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5.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omments2.xml" ContentType="application/vnd.openxmlformats-officedocument.spreadsheetml.comments+xml"/>
  <Override PartName="/xl/drawings/drawing6.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3.xml" ContentType="application/vnd.openxmlformats-officedocument.spreadsheetml.comments+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7.xml" ContentType="application/vnd.openxmlformats-officedocument.drawing+xml"/>
  <Override PartName="/xl/comments4.xml" ContentType="application/vnd.openxmlformats-officedocument.spreadsheetml.comments+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ЭтаКнига" defaultThemeVersion="124226"/>
  <mc:AlternateContent xmlns:mc="http://schemas.openxmlformats.org/markup-compatibility/2006">
    <mc:Choice Requires="x15">
      <x15ac:absPath xmlns:x15ac="http://schemas.microsoft.com/office/spreadsheetml/2010/11/ac" url="C:\Users\Carlos\Desktop\GMC\A-Competicion-Ruso\calculation_model_pro_2_17C1\"/>
    </mc:Choice>
  </mc:AlternateContent>
  <bookViews>
    <workbookView xWindow="0" yWindow="0" windowWidth="20496" windowHeight="7488" tabRatio="856" firstSheet="2" activeTab="3"/>
  </bookViews>
  <sheets>
    <sheet name="1" sheetId="116" r:id="rId1"/>
    <sheet name="2" sheetId="115" r:id="rId2"/>
    <sheet name="3" sheetId="114" r:id="rId3"/>
    <sheet name="4" sheetId="113" r:id="rId4"/>
    <sheet name="5" sheetId="110" r:id="rId5"/>
    <sheet name="Finance" sheetId="9" r:id="rId6"/>
    <sheet name="History" sheetId="8" r:id="rId7"/>
    <sheet name="Goodwill" sheetId="54" r:id="rId8"/>
    <sheet name="Strategy" sheetId="124" r:id="rId9"/>
    <sheet name="Config" sheetId="94" r:id="rId10"/>
    <sheet name="Lang" sheetId="125" r:id="rId11"/>
    <sheet name="D1" sheetId="120" r:id="rId12"/>
    <sheet name="D2" sheetId="119" r:id="rId13"/>
    <sheet name="D3" sheetId="118" r:id="rId14"/>
    <sheet name="D4" sheetId="117" r:id="rId15"/>
    <sheet name="D5" sheetId="111" r:id="rId16"/>
    <sheet name="11" sheetId="55" state="hidden" r:id="rId17"/>
    <sheet name="12" sheetId="56" state="hidden" r:id="rId18"/>
    <sheet name="13" sheetId="57" state="hidden" r:id="rId19"/>
    <sheet name="14" sheetId="58" state="hidden" r:id="rId20"/>
    <sheet name="15" sheetId="105" state="hidden" r:id="rId21"/>
    <sheet name="21" sheetId="59" state="hidden" r:id="rId22"/>
    <sheet name="22" sheetId="60" state="hidden" r:id="rId23"/>
    <sheet name="23" sheetId="61" state="hidden" r:id="rId24"/>
    <sheet name="24" sheetId="62" state="hidden" r:id="rId25"/>
    <sheet name="25" sheetId="102" state="hidden" r:id="rId26"/>
    <sheet name="31" sheetId="63" state="hidden" r:id="rId27"/>
    <sheet name="32" sheetId="64" state="hidden" r:id="rId28"/>
    <sheet name="33" sheetId="65" state="hidden" r:id="rId29"/>
    <sheet name="34" sheetId="66" state="hidden" r:id="rId30"/>
    <sheet name="35" sheetId="103" state="hidden" r:id="rId31"/>
    <sheet name="41" sheetId="67" state="hidden" r:id="rId32"/>
    <sheet name="42" sheetId="68" state="hidden" r:id="rId33"/>
    <sheet name="43" sheetId="69" state="hidden" r:id="rId34"/>
    <sheet name="44" sheetId="70" state="hidden" r:id="rId35"/>
    <sheet name="45" sheetId="104" state="hidden" r:id="rId36"/>
    <sheet name="51" sheetId="71" state="hidden" r:id="rId37"/>
    <sheet name="52" sheetId="72" r:id="rId38"/>
    <sheet name="53" sheetId="73" state="hidden" r:id="rId39"/>
    <sheet name="54" sheetId="74" state="hidden" r:id="rId40"/>
    <sheet name="55" sheetId="101" state="hidden" r:id="rId41"/>
    <sheet name="61" sheetId="4" r:id="rId42"/>
    <sheet name="62" sheetId="5" r:id="rId43"/>
    <sheet name="63" sheetId="75" r:id="rId44"/>
    <sheet name="64" sheetId="76" r:id="rId45"/>
    <sheet name="65" sheetId="99" r:id="rId46"/>
    <sheet name="71" sheetId="28" r:id="rId47"/>
    <sheet name="72" sheetId="29" r:id="rId48"/>
    <sheet name="73" sheetId="77" r:id="rId49"/>
    <sheet name="74" sheetId="78" r:id="rId50"/>
    <sheet name="75" sheetId="100" r:id="rId51"/>
    <sheet name="81" sheetId="30" r:id="rId52"/>
    <sheet name="82" sheetId="34" r:id="rId53"/>
    <sheet name="83" sheetId="79" r:id="rId54"/>
    <sheet name="84" sheetId="80" r:id="rId55"/>
    <sheet name="85" sheetId="98" r:id="rId56"/>
    <sheet name="91" sheetId="31" r:id="rId57"/>
    <sheet name="92" sheetId="35" r:id="rId58"/>
    <sheet name="93" sheetId="81" r:id="rId59"/>
    <sheet name="94" sheetId="82" r:id="rId60"/>
    <sheet name="95" sheetId="97" r:id="rId61"/>
    <sheet name="101" sheetId="32" r:id="rId62"/>
    <sheet name="102" sheetId="33" r:id="rId63"/>
    <sheet name="103" sheetId="83" r:id="rId64"/>
    <sheet name="104" sheetId="84" r:id="rId65"/>
    <sheet name="105" sheetId="96" r:id="rId66"/>
  </sheets>
  <externalReferences>
    <externalReference r:id="rId67"/>
  </externalReferences>
  <definedNames>
    <definedName name="_xlnm._FilterDatabase" localSheetId="40" hidden="1">'55'!$A$2:$AG$2</definedName>
    <definedName name="_xlnm._FilterDatabase" localSheetId="10" hidden="1">Lang!$A$1:$A$299</definedName>
    <definedName name="_xlnm.Print_Area" localSheetId="61">'101'!$A$1:$AG$55</definedName>
    <definedName name="_xlnm.Print_Area" localSheetId="63">'103'!$A$2:$AG$56</definedName>
    <definedName name="_xlnm.Print_Area" localSheetId="16">'11'!$A$1:$Y$37</definedName>
    <definedName name="_xlnm.Print_Area" localSheetId="17">'12'!$B$2:$AA$47</definedName>
    <definedName name="_xlnm.Print_Area" localSheetId="18">'13'!$A$2:$Y$38</definedName>
    <definedName name="_xlnm.Print_Area" localSheetId="19">'14'!$A$1:$N$113</definedName>
    <definedName name="_xlnm.Print_Area" localSheetId="21">'21'!$A$1:$Y$37</definedName>
    <definedName name="_xlnm.Print_Area" localSheetId="22">'22'!$B$2:$AA$47</definedName>
    <definedName name="_xlnm.Print_Area" localSheetId="23">'23'!$A$2:$Y$38</definedName>
    <definedName name="_xlnm.Print_Area" localSheetId="24">'24'!$A$1:$N$113</definedName>
    <definedName name="_xlnm.Print_Area" localSheetId="26">'31'!$A$1:$Y$37</definedName>
    <definedName name="_xlnm.Print_Area" localSheetId="27">'32'!$B$2:$AA$47</definedName>
    <definedName name="_xlnm.Print_Area" localSheetId="28">'33'!$A$2:$Y$38</definedName>
    <definedName name="_xlnm.Print_Area" localSheetId="29">'34'!$A$1:$N$113</definedName>
    <definedName name="_xlnm.Print_Area" localSheetId="31">'41'!$A$1:$Y$37</definedName>
    <definedName name="_xlnm.Print_Area" localSheetId="32">'42'!$B$2:$AA$47</definedName>
    <definedName name="_xlnm.Print_Area" localSheetId="33">'43'!$A$2:$Y$38</definedName>
    <definedName name="_xlnm.Print_Area" localSheetId="34">'44'!$A$1:$N$113</definedName>
    <definedName name="_xlnm.Print_Area" localSheetId="36">'51'!$A$1:$Y$37</definedName>
    <definedName name="_xlnm.Print_Area" localSheetId="37">'52'!$B$2:$AA$47</definedName>
    <definedName name="_xlnm.Print_Area" localSheetId="38">'53'!$A$2:$Y$38</definedName>
    <definedName name="_xlnm.Print_Area" localSheetId="39">'54'!$A$1:$N$113</definedName>
    <definedName name="_xlnm.Print_Area" localSheetId="41">'61'!$A$1:$AG$55</definedName>
    <definedName name="_xlnm.Print_Area" localSheetId="43">'63'!$A$2:$AG$56</definedName>
    <definedName name="_xlnm.Print_Area" localSheetId="46">'71'!$A$1:$AG$55</definedName>
    <definedName name="_xlnm.Print_Area" localSheetId="48">'73'!$A$2:$AG$56</definedName>
    <definedName name="_xlnm.Print_Area" localSheetId="51">'81'!$A$1:$AG$55</definedName>
    <definedName name="_xlnm.Print_Area" localSheetId="53">'83'!$A$2:$AG$56</definedName>
    <definedName name="_xlnm.Print_Area" localSheetId="56">'91'!$A$1:$AG$55</definedName>
    <definedName name="_xlnm.Print_Area" localSheetId="58">'93'!$A$2:$AG$56</definedName>
    <definedName name="solver_adj" localSheetId="9" hidden="1">Config!$K$27</definedName>
    <definedName name="solver_adj" localSheetId="8" hidden="1">Strategy!$G$108:$I$108,Strategy!$G$122:$I$122,Strategy!$L$108:$N$108,Strategy!$L$122:$N$122,Strategy!$Q$108:$S$108,Strategy!$Q$122:$S$122,Strategy!$V$108:$X$108,Strategy!$V$122:$X$122,Strategy!$B$122:$D$122,Strategy!$B$108:$D$108</definedName>
    <definedName name="solver_cvg" localSheetId="9" hidden="1">0.0001</definedName>
    <definedName name="solver_cvg" localSheetId="8" hidden="1">0.0001</definedName>
    <definedName name="solver_drv" localSheetId="9" hidden="1">1</definedName>
    <definedName name="solver_drv" localSheetId="8" hidden="1">1</definedName>
    <definedName name="solver_eng" localSheetId="9" hidden="1">1</definedName>
    <definedName name="solver_eng" localSheetId="8" hidden="1">1</definedName>
    <definedName name="solver_est" localSheetId="9" hidden="1">1</definedName>
    <definedName name="solver_est" localSheetId="8" hidden="1">1</definedName>
    <definedName name="solver_itr" localSheetId="9" hidden="1">2147483647</definedName>
    <definedName name="solver_itr" localSheetId="8" hidden="1">2147483647</definedName>
    <definedName name="solver_lhs1" localSheetId="8" hidden="1">Strategy!$B$108:$D$108</definedName>
    <definedName name="solver_lhs10" localSheetId="8" hidden="1">Strategy!$V$122:$X$122</definedName>
    <definedName name="solver_lhs11" localSheetId="8" hidden="1">Strategy!$L$138:$N$140</definedName>
    <definedName name="solver_lhs12" localSheetId="8" hidden="1">Strategy!$L$108:$N$108</definedName>
    <definedName name="solver_lhs13" localSheetId="8" hidden="1">Strategy!$K$244:$M$246</definedName>
    <definedName name="solver_lhs14" localSheetId="8" hidden="1">Strategy!$G$122:$I$122</definedName>
    <definedName name="solver_lhs15" localSheetId="8" hidden="1">Strategy!$G$138:$I$140</definedName>
    <definedName name="solver_lhs16" localSheetId="8" hidden="1">Strategy!$G$108:$I$108</definedName>
    <definedName name="solver_lhs17" localSheetId="8" hidden="1">Strategy!$F$244:$H$246</definedName>
    <definedName name="solver_lhs18" localSheetId="8" hidden="1">Strategy!$B$122:$D$122</definedName>
    <definedName name="solver_lhs19" localSheetId="8" hidden="1">Strategy!$A$244:$C$246</definedName>
    <definedName name="solver_lhs2" localSheetId="8" hidden="1">Strategy!$B$122:$D$122</definedName>
    <definedName name="solver_lhs20" localSheetId="8" hidden="1">Strategy!$B$138:$D$140</definedName>
    <definedName name="solver_lhs3" localSheetId="8" hidden="1">Strategy!$G$108:$I$108</definedName>
    <definedName name="solver_lhs4" localSheetId="8" hidden="1">Strategy!$G$122:$I$122</definedName>
    <definedName name="solver_lhs5" localSheetId="8" hidden="1">Strategy!$L$108:$N$108</definedName>
    <definedName name="solver_lhs6" localSheetId="8" hidden="1">Strategy!$L$122:$N$122</definedName>
    <definedName name="solver_lhs7" localSheetId="8" hidden="1">Strategy!$Q$108:$S$108</definedName>
    <definedName name="solver_lhs8" localSheetId="8" hidden="1">Strategy!$Q$122:$S$122</definedName>
    <definedName name="solver_lhs9" localSheetId="8" hidden="1">Strategy!$V$108:$X$108</definedName>
    <definedName name="solver_lin" localSheetId="8" hidden="1">2</definedName>
    <definedName name="solver_mip" localSheetId="9" hidden="1">2147483647</definedName>
    <definedName name="solver_mip" localSheetId="8" hidden="1">2147483647</definedName>
    <definedName name="solver_mni" localSheetId="9" hidden="1">30</definedName>
    <definedName name="solver_mni" localSheetId="8" hidden="1">30</definedName>
    <definedName name="solver_mrt" localSheetId="9" hidden="1">0.075</definedName>
    <definedName name="solver_mrt" localSheetId="8" hidden="1">0.075</definedName>
    <definedName name="solver_msl" localSheetId="9" hidden="1">2</definedName>
    <definedName name="solver_msl" localSheetId="8" hidden="1">2</definedName>
    <definedName name="solver_neg" localSheetId="9" hidden="1">2</definedName>
    <definedName name="solver_neg" localSheetId="8" hidden="1">1</definedName>
    <definedName name="solver_nod" localSheetId="9" hidden="1">2147483647</definedName>
    <definedName name="solver_nod" localSheetId="8" hidden="1">2147483647</definedName>
    <definedName name="solver_num" localSheetId="9" hidden="1">0</definedName>
    <definedName name="solver_num" localSheetId="8" hidden="1">10</definedName>
    <definedName name="solver_nwt" localSheetId="9" hidden="1">1</definedName>
    <definedName name="solver_nwt" localSheetId="8" hidden="1">1</definedName>
    <definedName name="solver_opt" localSheetId="9" hidden="1">Config!$M$48</definedName>
    <definedName name="solver_opt" localSheetId="8" hidden="1">Strategy!$K$151</definedName>
    <definedName name="solver_pre" localSheetId="9" hidden="1">0.000001</definedName>
    <definedName name="solver_pre" localSheetId="8" hidden="1">0.000001</definedName>
    <definedName name="solver_rbv" localSheetId="9" hidden="1">1</definedName>
    <definedName name="solver_rbv" localSheetId="8" hidden="1">1</definedName>
    <definedName name="solver_rel1" localSheetId="8" hidden="1">1</definedName>
    <definedName name="solver_rel10" localSheetId="8" hidden="1">1</definedName>
    <definedName name="solver_rel11" localSheetId="8" hidden="1">1</definedName>
    <definedName name="solver_rel12" localSheetId="8" hidden="1">1</definedName>
    <definedName name="solver_rel13" localSheetId="8" hidden="1">1</definedName>
    <definedName name="solver_rel14" localSheetId="8" hidden="1">1</definedName>
    <definedName name="solver_rel15" localSheetId="8" hidden="1">1</definedName>
    <definedName name="solver_rel16" localSheetId="8" hidden="1">1</definedName>
    <definedName name="solver_rel17" localSheetId="8" hidden="1">1</definedName>
    <definedName name="solver_rel18" localSheetId="8" hidden="1">1</definedName>
    <definedName name="solver_rel19" localSheetId="8" hidden="1">1</definedName>
    <definedName name="solver_rel2" localSheetId="8" hidden="1">1</definedName>
    <definedName name="solver_rel20" localSheetId="8" hidden="1">1</definedName>
    <definedName name="solver_rel3" localSheetId="8" hidden="1">1</definedName>
    <definedName name="solver_rel4" localSheetId="8" hidden="1">1</definedName>
    <definedName name="solver_rel5" localSheetId="8" hidden="1">1</definedName>
    <definedName name="solver_rel6" localSheetId="8" hidden="1">1</definedName>
    <definedName name="solver_rel7" localSheetId="8" hidden="1">1</definedName>
    <definedName name="solver_rel8" localSheetId="8" hidden="1">1</definedName>
    <definedName name="solver_rel9" localSheetId="8" hidden="1">1</definedName>
    <definedName name="solver_rhs1" localSheetId="8" hidden="1">9999</definedName>
    <definedName name="solver_rhs10" localSheetId="8" hidden="1">1</definedName>
    <definedName name="solver_rhs11" localSheetId="8" hidden="1">99</definedName>
    <definedName name="solver_rhs12" localSheetId="8" hidden="1">9999</definedName>
    <definedName name="solver_rhs13" localSheetId="8" hidden="1">999</definedName>
    <definedName name="solver_rhs14" localSheetId="8" hidden="1">1</definedName>
    <definedName name="solver_rhs15" localSheetId="8" hidden="1">99</definedName>
    <definedName name="solver_rhs16" localSheetId="8" hidden="1">9999</definedName>
    <definedName name="solver_rhs17" localSheetId="8" hidden="1">999</definedName>
    <definedName name="solver_rhs18" localSheetId="8" hidden="1">1</definedName>
    <definedName name="solver_rhs19" localSheetId="8" hidden="1">999</definedName>
    <definedName name="solver_rhs2" localSheetId="8" hidden="1">1</definedName>
    <definedName name="solver_rhs20" localSheetId="8" hidden="1">99</definedName>
    <definedName name="solver_rhs3" localSheetId="8" hidden="1">9999</definedName>
    <definedName name="solver_rhs4" localSheetId="8" hidden="1">1</definedName>
    <definedName name="solver_rhs5" localSheetId="8" hidden="1">9999</definedName>
    <definedName name="solver_rhs6" localSheetId="8" hidden="1">1</definedName>
    <definedName name="solver_rhs7" localSheetId="8" hidden="1">9999</definedName>
    <definedName name="solver_rhs8" localSheetId="8" hidden="1">1</definedName>
    <definedName name="solver_rhs9" localSheetId="8" hidden="1">9999</definedName>
    <definedName name="solver_rlx" localSheetId="9" hidden="1">2</definedName>
    <definedName name="solver_rlx" localSheetId="8" hidden="1">2</definedName>
    <definedName name="solver_rsd" localSheetId="9" hidden="1">0</definedName>
    <definedName name="solver_rsd" localSheetId="8" hidden="1">0</definedName>
    <definedName name="solver_scl" localSheetId="9" hidden="1">1</definedName>
    <definedName name="solver_scl" localSheetId="8" hidden="1">1</definedName>
    <definedName name="solver_sho" localSheetId="9" hidden="1">2</definedName>
    <definedName name="solver_sho" localSheetId="8" hidden="1">2</definedName>
    <definedName name="solver_ssz" localSheetId="9" hidden="1">100</definedName>
    <definedName name="solver_ssz" localSheetId="8" hidden="1">100</definedName>
    <definedName name="solver_tim" localSheetId="9" hidden="1">2147483647</definedName>
    <definedName name="solver_tim" localSheetId="8" hidden="1">2147483647</definedName>
    <definedName name="solver_tol" localSheetId="9" hidden="1">0.01</definedName>
    <definedName name="solver_tol" localSheetId="8" hidden="1">0.01</definedName>
    <definedName name="solver_typ" localSheetId="9" hidden="1">2</definedName>
    <definedName name="solver_typ" localSheetId="8" hidden="1">1</definedName>
    <definedName name="solver_val" localSheetId="9" hidden="1">0</definedName>
    <definedName name="solver_val" localSheetId="8" hidden="1">0</definedName>
    <definedName name="solver_ver" localSheetId="9" hidden="1">3</definedName>
    <definedName name="solver_ver" localSheetId="8" hidden="1">3</definedName>
    <definedName name="W013131_" localSheetId="45">'65'!$A$1:$B$865</definedName>
    <definedName name="W013132_" localSheetId="50">'75'!$A$1:$B$865</definedName>
    <definedName name="W013133_" localSheetId="55">'85'!$A$1:$B$865</definedName>
    <definedName name="W013134_" localSheetId="60">'95'!$A$1:$B$865</definedName>
    <definedName name="W015131_" localSheetId="45">'65'!$A$1:$B$865</definedName>
    <definedName name="W015131_1" localSheetId="45">'65'!$A$1:$B$865</definedName>
    <definedName name="W015131_2" localSheetId="45">'65'!$A$1:$B$865</definedName>
    <definedName name="W015131_3" localSheetId="45">'65'!$A$1:$B$865</definedName>
    <definedName name="W015131_4" localSheetId="45">'65'!$A$1:$B$865</definedName>
    <definedName name="W015131_5" localSheetId="45">'65'!$A$1:$B$865</definedName>
    <definedName name="W033131_" localSheetId="45">'65'!$A$1:$B$865</definedName>
    <definedName name="WHStest_6" localSheetId="0">[1]W!#REF!</definedName>
    <definedName name="WHStest_6" localSheetId="65">[1]W!#REF!</definedName>
    <definedName name="WHStest_6" localSheetId="20">[1]W!#REF!</definedName>
    <definedName name="WHStest_6" localSheetId="1">[1]W!#REF!</definedName>
    <definedName name="WHStest_6" localSheetId="25">[1]W!#REF!</definedName>
    <definedName name="WHStest_6" localSheetId="2">[1]W!#REF!</definedName>
    <definedName name="WHStest_6" localSheetId="30">[1]W!#REF!</definedName>
    <definedName name="WHStest_6" localSheetId="3">[1]W!#REF!</definedName>
    <definedName name="WHStest_6" localSheetId="35">[1]W!#REF!</definedName>
    <definedName name="WHStest_6" localSheetId="4">[1]W!#REF!</definedName>
    <definedName name="WHStest_6" localSheetId="40">[1]W!#REF!</definedName>
    <definedName name="WHStest_6" localSheetId="45">[1]W!#REF!</definedName>
    <definedName name="WHStest_6" localSheetId="50">[1]W!#REF!</definedName>
    <definedName name="WHStest_6" localSheetId="55">[1]W!#REF!</definedName>
    <definedName name="WHStest_6" localSheetId="60">[1]W!#REF!</definedName>
    <definedName name="WHStest_6" localSheetId="11">[1]W!#REF!</definedName>
    <definedName name="WHStest_6" localSheetId="12">[1]W!#REF!</definedName>
    <definedName name="WHStest_6" localSheetId="13">[1]W!#REF!</definedName>
    <definedName name="WHStest_6" localSheetId="14">[1]W!#REF!</definedName>
    <definedName name="WHStest_6" localSheetId="15">[1]W!#REF!</definedName>
    <definedName name="WHStest_6" localSheetId="8">[1]W!#REF!</definedName>
    <definedName name="WHStest_6">[1]W!#REF!</definedName>
  </definedNames>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20" i="113" l="1"/>
  <c r="G96" i="9" l="1"/>
  <c r="D95" i="9"/>
  <c r="B19" i="114" l="1"/>
  <c r="I45" i="116" l="1"/>
  <c r="H45" i="116" s="1"/>
  <c r="D41" i="94" l="1"/>
  <c r="D40" i="94"/>
  <c r="D36" i="94"/>
  <c r="D37" i="94" s="1"/>
  <c r="D35" i="94"/>
  <c r="D31" i="94"/>
  <c r="D30" i="94"/>
  <c r="D32" i="94" l="1"/>
  <c r="D42" i="94"/>
  <c r="Q29" i="94"/>
  <c r="Q15" i="94"/>
  <c r="A376" i="94"/>
  <c r="A53" i="94"/>
  <c r="G376" i="94"/>
  <c r="G53" i="94"/>
  <c r="C28" i="111"/>
  <c r="C28" i="117"/>
  <c r="C28" i="118"/>
  <c r="C28" i="119"/>
  <c r="C28" i="120"/>
  <c r="M14" i="111"/>
  <c r="M14" i="117"/>
  <c r="M14" i="118"/>
  <c r="M14" i="119"/>
  <c r="M14" i="120"/>
  <c r="M13" i="111"/>
  <c r="M13" i="117"/>
  <c r="M13" i="118"/>
  <c r="M13" i="119"/>
  <c r="M13" i="120"/>
  <c r="N9" i="111"/>
  <c r="D19" i="111"/>
  <c r="N9" i="117"/>
  <c r="D19" i="117"/>
  <c r="N9" i="118"/>
  <c r="D19" i="118"/>
  <c r="D19" i="119"/>
  <c r="N9" i="119"/>
  <c r="N9" i="120"/>
  <c r="D19" i="120"/>
  <c r="D18" i="111"/>
  <c r="N8" i="111"/>
  <c r="D18" i="117"/>
  <c r="N8" i="117"/>
  <c r="D18" i="118"/>
  <c r="N8" i="118"/>
  <c r="D18" i="119"/>
  <c r="N8" i="119"/>
  <c r="D18" i="120"/>
  <c r="N8" i="120"/>
  <c r="D17" i="111"/>
  <c r="N7" i="111"/>
  <c r="D17" i="117"/>
  <c r="N7" i="117"/>
  <c r="D17" i="118"/>
  <c r="N7" i="118"/>
  <c r="D17" i="119"/>
  <c r="N7" i="119"/>
  <c r="D17" i="120"/>
  <c r="N7" i="120"/>
  <c r="S17" i="111" l="1"/>
  <c r="S17" i="117"/>
  <c r="S17" i="118"/>
  <c r="S17" i="119"/>
  <c r="S17" i="120"/>
  <c r="AH89" i="110" l="1"/>
  <c r="AH89" i="113"/>
  <c r="AH89" i="114"/>
  <c r="AH89" i="115"/>
  <c r="AH89" i="116"/>
  <c r="U292" i="124"/>
  <c r="P292" i="124"/>
  <c r="K292" i="124"/>
  <c r="F292" i="124"/>
  <c r="A292" i="124"/>
  <c r="F62" i="110"/>
  <c r="F62" i="113"/>
  <c r="F62" i="114"/>
  <c r="F62" i="115"/>
  <c r="F62" i="116"/>
  <c r="AH85" i="110"/>
  <c r="AH85" i="113"/>
  <c r="AH85" i="114"/>
  <c r="AH85" i="115"/>
  <c r="AH85" i="116"/>
  <c r="U293" i="124"/>
  <c r="P293" i="124"/>
  <c r="K293" i="124"/>
  <c r="F293" i="124"/>
  <c r="A293" i="124"/>
  <c r="F63" i="110"/>
  <c r="F63" i="113"/>
  <c r="F63" i="114"/>
  <c r="F63" i="115"/>
  <c r="F63" i="116"/>
  <c r="U262" i="124"/>
  <c r="P262" i="124"/>
  <c r="K262" i="124"/>
  <c r="F262" i="124"/>
  <c r="A262" i="124"/>
  <c r="A61" i="110"/>
  <c r="A61" i="113"/>
  <c r="A61" i="114"/>
  <c r="A61" i="115"/>
  <c r="A61" i="116"/>
  <c r="C24" i="111"/>
  <c r="C24" i="117"/>
  <c r="C24" i="118"/>
  <c r="C24" i="119"/>
  <c r="C24" i="120"/>
  <c r="C11" i="111"/>
  <c r="C11" i="117"/>
  <c r="C11" i="118"/>
  <c r="C11" i="119"/>
  <c r="C11" i="120"/>
  <c r="M19" i="111"/>
  <c r="M19" i="117"/>
  <c r="M19" i="118"/>
  <c r="M19" i="119"/>
  <c r="M19" i="120"/>
  <c r="S19" i="111"/>
  <c r="S19" i="117"/>
  <c r="S19" i="118"/>
  <c r="S19" i="119"/>
  <c r="S19" i="120"/>
  <c r="M18" i="111"/>
  <c r="M18" i="117"/>
  <c r="M18" i="118"/>
  <c r="M18" i="119"/>
  <c r="M18" i="120"/>
  <c r="M23" i="111"/>
  <c r="M23" i="117"/>
  <c r="M23" i="118"/>
  <c r="M23" i="119"/>
  <c r="M23" i="120"/>
  <c r="C6" i="111"/>
  <c r="C6" i="117"/>
  <c r="C6" i="118"/>
  <c r="C6" i="119"/>
  <c r="C6" i="120"/>
  <c r="C25" i="111"/>
  <c r="C25" i="117"/>
  <c r="C25" i="118"/>
  <c r="C25" i="119"/>
  <c r="C25" i="120"/>
  <c r="M17" i="111"/>
  <c r="M17" i="117"/>
  <c r="M17" i="118"/>
  <c r="M17" i="119"/>
  <c r="M17" i="120"/>
  <c r="F15" i="8"/>
  <c r="S22" i="111"/>
  <c r="S22" i="117"/>
  <c r="S22" i="118"/>
  <c r="S22" i="119"/>
  <c r="S22" i="120"/>
  <c r="S23" i="111"/>
  <c r="S23" i="117"/>
  <c r="S23" i="118"/>
  <c r="S23" i="119"/>
  <c r="S23" i="120"/>
  <c r="U263" i="124" l="1"/>
  <c r="P263" i="124"/>
  <c r="K263" i="124"/>
  <c r="F263" i="124"/>
  <c r="A263" i="124"/>
  <c r="A62" i="110"/>
  <c r="A62" i="113"/>
  <c r="A62" i="114"/>
  <c r="A62" i="115"/>
  <c r="A62" i="116"/>
  <c r="P56" i="110"/>
  <c r="P56" i="113"/>
  <c r="P56" i="114"/>
  <c r="P56" i="115"/>
  <c r="P56" i="116"/>
  <c r="P58" i="110"/>
  <c r="P58" i="113"/>
  <c r="P58" i="114"/>
  <c r="P58" i="115"/>
  <c r="P58" i="116"/>
  <c r="K65" i="110"/>
  <c r="K65" i="113"/>
  <c r="K65" i="114"/>
  <c r="K65" i="115"/>
  <c r="K65" i="116"/>
  <c r="K74" i="110"/>
  <c r="K74" i="113"/>
  <c r="K74" i="114"/>
  <c r="K74" i="115"/>
  <c r="K74" i="116"/>
  <c r="A76" i="110"/>
  <c r="A76" i="113"/>
  <c r="A76" i="114"/>
  <c r="A76" i="115"/>
  <c r="A76" i="116"/>
  <c r="P59" i="110"/>
  <c r="P59" i="113"/>
  <c r="P59" i="114"/>
  <c r="P59" i="115"/>
  <c r="P59" i="116"/>
  <c r="K73" i="110"/>
  <c r="K73" i="113"/>
  <c r="K73" i="114"/>
  <c r="K73" i="115"/>
  <c r="K73" i="116"/>
  <c r="F76" i="110"/>
  <c r="F76" i="113"/>
  <c r="F76" i="114"/>
  <c r="F76" i="115"/>
  <c r="F76" i="116"/>
  <c r="P70" i="110"/>
  <c r="P70" i="113"/>
  <c r="P70" i="114"/>
  <c r="P70" i="115"/>
  <c r="P70" i="116"/>
  <c r="P69" i="110"/>
  <c r="P69" i="113"/>
  <c r="P69" i="114"/>
  <c r="P69" i="115"/>
  <c r="P69" i="116"/>
  <c r="K84" i="110"/>
  <c r="K84" i="113"/>
  <c r="K84" i="114"/>
  <c r="K84" i="115"/>
  <c r="K84" i="116"/>
  <c r="K83" i="110"/>
  <c r="K83" i="113"/>
  <c r="K83" i="114"/>
  <c r="K83" i="115"/>
  <c r="K83" i="116"/>
  <c r="U260" i="124"/>
  <c r="P260" i="124"/>
  <c r="K260" i="124"/>
  <c r="F260" i="124"/>
  <c r="A260" i="124"/>
  <c r="A59" i="110"/>
  <c r="A59" i="113"/>
  <c r="A59" i="114"/>
  <c r="A59" i="115"/>
  <c r="A59" i="116"/>
  <c r="AI83" i="124"/>
  <c r="Q57" i="94"/>
  <c r="Q14" i="8"/>
  <c r="AH33" i="115"/>
  <c r="N1" i="8"/>
  <c r="AH33" i="110"/>
  <c r="AH33" i="113"/>
  <c r="AH33" i="114"/>
  <c r="AH73" i="110"/>
  <c r="AH69" i="110"/>
  <c r="AH65" i="110"/>
  <c r="AH61" i="110"/>
  <c r="AH57" i="110"/>
  <c r="AH53" i="110"/>
  <c r="AH49" i="110"/>
  <c r="AH73" i="113"/>
  <c r="AH69" i="113"/>
  <c r="AH65" i="113"/>
  <c r="AH61" i="113"/>
  <c r="AH57" i="113"/>
  <c r="AH53" i="113"/>
  <c r="AH49" i="113"/>
  <c r="AH73" i="114"/>
  <c r="AH69" i="114"/>
  <c r="AH65" i="114"/>
  <c r="AH61" i="114"/>
  <c r="AH57" i="114"/>
  <c r="AH53" i="114"/>
  <c r="AH49" i="114"/>
  <c r="AH73" i="115"/>
  <c r="AH69" i="115"/>
  <c r="AH65" i="115"/>
  <c r="AH61" i="115"/>
  <c r="AH57" i="115"/>
  <c r="AH53" i="115"/>
  <c r="AH49" i="115"/>
  <c r="AH73" i="116"/>
  <c r="AH49" i="116"/>
  <c r="A76" i="124"/>
  <c r="F76" i="124" s="1"/>
  <c r="R26" i="110"/>
  <c r="R26" i="113"/>
  <c r="R26" i="114"/>
  <c r="R26" i="115"/>
  <c r="R26" i="116"/>
  <c r="U198" i="124"/>
  <c r="P198" i="124"/>
  <c r="K198" i="124"/>
  <c r="F198" i="124"/>
  <c r="A198" i="124"/>
  <c r="F47" i="110"/>
  <c r="F47" i="113"/>
  <c r="F47" i="114"/>
  <c r="F47" i="115"/>
  <c r="F47" i="116"/>
  <c r="U272" i="124"/>
  <c r="U271" i="124"/>
  <c r="U270" i="124"/>
  <c r="U269" i="124"/>
  <c r="U268" i="124"/>
  <c r="U267" i="124"/>
  <c r="U266" i="124"/>
  <c r="U265" i="124"/>
  <c r="U264" i="124"/>
  <c r="U261" i="124"/>
  <c r="U259" i="124"/>
  <c r="U258" i="124"/>
  <c r="U257" i="124"/>
  <c r="U256" i="124"/>
  <c r="P272" i="124"/>
  <c r="P271" i="124"/>
  <c r="P270" i="124"/>
  <c r="P269" i="124"/>
  <c r="P268" i="124"/>
  <c r="P267" i="124"/>
  <c r="P266" i="124"/>
  <c r="P265" i="124"/>
  <c r="P264" i="124"/>
  <c r="P261" i="124"/>
  <c r="P259" i="124"/>
  <c r="P258" i="124"/>
  <c r="P257" i="124"/>
  <c r="P256" i="124"/>
  <c r="K272" i="124"/>
  <c r="K271" i="124"/>
  <c r="K270" i="124"/>
  <c r="K269" i="124"/>
  <c r="K268" i="124"/>
  <c r="K267" i="124"/>
  <c r="K266" i="124"/>
  <c r="K265" i="124"/>
  <c r="K264" i="124"/>
  <c r="K261" i="124"/>
  <c r="K259" i="124"/>
  <c r="K258" i="124"/>
  <c r="K257" i="124"/>
  <c r="K256" i="124"/>
  <c r="F272" i="124"/>
  <c r="F271" i="124"/>
  <c r="F270" i="124"/>
  <c r="F269" i="124"/>
  <c r="F268" i="124"/>
  <c r="F267" i="124"/>
  <c r="F266" i="124"/>
  <c r="F265" i="124"/>
  <c r="F264" i="124"/>
  <c r="F261" i="124"/>
  <c r="F259" i="124"/>
  <c r="F258" i="124"/>
  <c r="F257" i="124"/>
  <c r="F256" i="124"/>
  <c r="A272" i="124"/>
  <c r="A271" i="124"/>
  <c r="A270" i="124"/>
  <c r="A269" i="124"/>
  <c r="A268" i="124"/>
  <c r="A267" i="124"/>
  <c r="A266" i="124"/>
  <c r="A265" i="124"/>
  <c r="A264" i="124"/>
  <c r="A261" i="124"/>
  <c r="A259" i="124"/>
  <c r="A258" i="124"/>
  <c r="A257" i="124"/>
  <c r="A256" i="124"/>
  <c r="A71" i="110"/>
  <c r="A70" i="110"/>
  <c r="A69" i="110"/>
  <c r="A68" i="110"/>
  <c r="A67" i="110"/>
  <c r="A66" i="110"/>
  <c r="A65" i="110"/>
  <c r="A64" i="110"/>
  <c r="A63" i="110"/>
  <c r="A60" i="110"/>
  <c r="A58" i="110"/>
  <c r="A57" i="110"/>
  <c r="A56" i="110"/>
  <c r="A55" i="110"/>
  <c r="A71" i="113"/>
  <c r="A70" i="113"/>
  <c r="A69" i="113"/>
  <c r="A68" i="113"/>
  <c r="A67" i="113"/>
  <c r="A66" i="113"/>
  <c r="A65" i="113"/>
  <c r="A64" i="113"/>
  <c r="A63" i="113"/>
  <c r="A60" i="113"/>
  <c r="A58" i="113"/>
  <c r="A57" i="113"/>
  <c r="A56" i="113"/>
  <c r="A55" i="113"/>
  <c r="A71" i="114"/>
  <c r="A70" i="114"/>
  <c r="A69" i="114"/>
  <c r="A68" i="114"/>
  <c r="A67" i="114"/>
  <c r="A66" i="114"/>
  <c r="A65" i="114"/>
  <c r="A64" i="114"/>
  <c r="A63" i="114"/>
  <c r="A60" i="114"/>
  <c r="A58" i="114"/>
  <c r="A57" i="114"/>
  <c r="A56" i="114"/>
  <c r="A55" i="114"/>
  <c r="A71" i="115"/>
  <c r="A70" i="115"/>
  <c r="A69" i="115"/>
  <c r="A68" i="115"/>
  <c r="A67" i="115"/>
  <c r="A66" i="115"/>
  <c r="A65" i="115"/>
  <c r="A64" i="115"/>
  <c r="A63" i="115"/>
  <c r="A60" i="115"/>
  <c r="A58" i="115"/>
  <c r="A57" i="115"/>
  <c r="A56" i="115"/>
  <c r="A55" i="115"/>
  <c r="A69" i="116"/>
  <c r="A63" i="116"/>
  <c r="U346" i="124" l="1"/>
  <c r="P346" i="124"/>
  <c r="K346" i="124"/>
  <c r="F346" i="124"/>
  <c r="A346" i="124"/>
  <c r="U313" i="124"/>
  <c r="P313" i="124"/>
  <c r="K313" i="124"/>
  <c r="F313" i="124"/>
  <c r="A313" i="124"/>
  <c r="A137" i="9"/>
  <c r="A112" i="9"/>
  <c r="A87" i="9"/>
  <c r="A62" i="9"/>
  <c r="A37" i="9"/>
  <c r="A14" i="9"/>
  <c r="F83" i="110"/>
  <c r="F83" i="113"/>
  <c r="F83" i="114"/>
  <c r="F83" i="115"/>
  <c r="F83" i="116"/>
  <c r="F64" i="110"/>
  <c r="F64" i="113"/>
  <c r="F64" i="114"/>
  <c r="F64" i="115"/>
  <c r="F64" i="116"/>
  <c r="AH57" i="116"/>
  <c r="A74" i="110"/>
  <c r="A74" i="113"/>
  <c r="A74" i="114"/>
  <c r="A74" i="115"/>
  <c r="A74" i="116"/>
  <c r="K62" i="110"/>
  <c r="K62" i="113"/>
  <c r="K62" i="114"/>
  <c r="K62" i="115"/>
  <c r="K62" i="116"/>
  <c r="A75" i="110"/>
  <c r="A75" i="113"/>
  <c r="A75" i="114"/>
  <c r="A75" i="115"/>
  <c r="A75" i="116"/>
  <c r="A70" i="116"/>
  <c r="F58" i="110"/>
  <c r="F58" i="113"/>
  <c r="F58" i="114"/>
  <c r="F58" i="115"/>
  <c r="F58" i="116"/>
  <c r="F60" i="110"/>
  <c r="F60" i="113"/>
  <c r="F60" i="114"/>
  <c r="F60" i="115"/>
  <c r="F60" i="116"/>
  <c r="K64" i="110"/>
  <c r="K64" i="113"/>
  <c r="K64" i="114"/>
  <c r="K64" i="115"/>
  <c r="K64" i="116"/>
  <c r="K58" i="110"/>
  <c r="K58" i="113"/>
  <c r="K58" i="114"/>
  <c r="K58" i="115"/>
  <c r="K58" i="116"/>
  <c r="F61" i="110"/>
  <c r="F61" i="113"/>
  <c r="F61" i="114"/>
  <c r="F61" i="115"/>
  <c r="F61" i="116"/>
  <c r="A64" i="116"/>
  <c r="F66" i="110"/>
  <c r="F66" i="113"/>
  <c r="F66" i="114"/>
  <c r="F66" i="115"/>
  <c r="F66" i="116"/>
  <c r="K56" i="110"/>
  <c r="K56" i="113"/>
  <c r="K56" i="114"/>
  <c r="K56" i="115"/>
  <c r="K56" i="116"/>
  <c r="A57" i="116"/>
  <c r="A56" i="116"/>
  <c r="P63" i="110"/>
  <c r="P63" i="113"/>
  <c r="P63" i="114"/>
  <c r="P63" i="115"/>
  <c r="P63" i="116"/>
  <c r="P73" i="110"/>
  <c r="P73" i="113"/>
  <c r="P73" i="114"/>
  <c r="P73" i="115"/>
  <c r="P73" i="116"/>
  <c r="F70" i="110"/>
  <c r="P57" i="110"/>
  <c r="F70" i="113"/>
  <c r="P57" i="113"/>
  <c r="F70" i="114"/>
  <c r="P57" i="114"/>
  <c r="F70" i="115"/>
  <c r="P57" i="115"/>
  <c r="F70" i="116"/>
  <c r="P57" i="116"/>
  <c r="A68" i="116"/>
  <c r="F65" i="110"/>
  <c r="F65" i="113"/>
  <c r="F65" i="114"/>
  <c r="F65" i="115"/>
  <c r="F65" i="116"/>
  <c r="A60" i="116"/>
  <c r="F73" i="110"/>
  <c r="F73" i="113"/>
  <c r="F73" i="114"/>
  <c r="F73" i="115"/>
  <c r="F73" i="116"/>
  <c r="F74" i="110"/>
  <c r="F74" i="113"/>
  <c r="F74" i="114"/>
  <c r="F74" i="115"/>
  <c r="F74" i="116"/>
  <c r="P71" i="110"/>
  <c r="P71" i="113"/>
  <c r="P71" i="114"/>
  <c r="P71" i="115"/>
  <c r="P71" i="116"/>
  <c r="F71" i="110"/>
  <c r="F71" i="113"/>
  <c r="F71" i="114"/>
  <c r="F71" i="115"/>
  <c r="F71" i="116"/>
  <c r="AH65" i="116"/>
  <c r="F59" i="110"/>
  <c r="F59" i="113"/>
  <c r="F59" i="114"/>
  <c r="F59" i="115"/>
  <c r="F59" i="116"/>
  <c r="K63" i="110"/>
  <c r="K63" i="113"/>
  <c r="K63" i="114"/>
  <c r="K63" i="115"/>
  <c r="K63" i="116"/>
  <c r="K67" i="110"/>
  <c r="K67" i="113"/>
  <c r="K67" i="114"/>
  <c r="K67" i="115"/>
  <c r="K67" i="116"/>
  <c r="K66" i="110"/>
  <c r="K66" i="113"/>
  <c r="K66" i="114"/>
  <c r="K66" i="115"/>
  <c r="K66" i="116"/>
  <c r="AH61" i="116"/>
  <c r="K57" i="110"/>
  <c r="K57" i="113"/>
  <c r="K57" i="114"/>
  <c r="K57" i="115"/>
  <c r="K57" i="116"/>
  <c r="K76" i="110"/>
  <c r="K76" i="113"/>
  <c r="K76" i="114"/>
  <c r="K76" i="115"/>
  <c r="K76" i="116"/>
  <c r="K75" i="110"/>
  <c r="K75" i="113"/>
  <c r="K75" i="114"/>
  <c r="K75" i="115"/>
  <c r="K75" i="116"/>
  <c r="P65" i="110"/>
  <c r="P65" i="113"/>
  <c r="P65" i="114"/>
  <c r="P65" i="115"/>
  <c r="P65" i="116"/>
  <c r="P64" i="110"/>
  <c r="P64" i="113"/>
  <c r="P64" i="114"/>
  <c r="P64" i="115"/>
  <c r="P64" i="116"/>
  <c r="A58" i="116"/>
  <c r="A55" i="116"/>
  <c r="F69" i="110"/>
  <c r="F69" i="113"/>
  <c r="F69" i="114"/>
  <c r="F69" i="115"/>
  <c r="F69" i="116"/>
  <c r="P72" i="110"/>
  <c r="P72" i="113"/>
  <c r="P72" i="114"/>
  <c r="P72" i="115"/>
  <c r="P72" i="116"/>
  <c r="N40" i="8"/>
  <c r="P81" i="110"/>
  <c r="P81" i="113"/>
  <c r="P81" i="114"/>
  <c r="P81" i="115"/>
  <c r="P81" i="116"/>
  <c r="U316" i="124"/>
  <c r="P316" i="124"/>
  <c r="K316" i="124"/>
  <c r="F316" i="124"/>
  <c r="A316" i="124"/>
  <c r="K55" i="110"/>
  <c r="K55" i="113"/>
  <c r="K55" i="114"/>
  <c r="K55" i="115"/>
  <c r="K55" i="116"/>
  <c r="U159" i="124"/>
  <c r="P159" i="124"/>
  <c r="K159" i="124"/>
  <c r="F159" i="124"/>
  <c r="A159" i="124"/>
  <c r="A22" i="9"/>
  <c r="F8" i="110"/>
  <c r="F8" i="113"/>
  <c r="F8" i="114"/>
  <c r="F8" i="115"/>
  <c r="F8" i="116"/>
  <c r="L109" i="110"/>
  <c r="L93" i="110"/>
  <c r="L109" i="113"/>
  <c r="L93" i="113"/>
  <c r="L109" i="114"/>
  <c r="L93" i="114"/>
  <c r="L109" i="115"/>
  <c r="L93" i="115"/>
  <c r="L109" i="116"/>
  <c r="L93" i="116"/>
  <c r="K109" i="110"/>
  <c r="K93" i="110"/>
  <c r="K109" i="113"/>
  <c r="K93" i="113"/>
  <c r="K109" i="114"/>
  <c r="K93" i="114"/>
  <c r="K109" i="115"/>
  <c r="K93" i="115"/>
  <c r="K109" i="116"/>
  <c r="K93" i="116"/>
  <c r="J109" i="110"/>
  <c r="J93" i="110"/>
  <c r="J109" i="113"/>
  <c r="J93" i="113"/>
  <c r="J109" i="114"/>
  <c r="J93" i="114"/>
  <c r="J109" i="115"/>
  <c r="J93" i="115"/>
  <c r="J109" i="116"/>
  <c r="J93" i="116"/>
  <c r="K108" i="9"/>
  <c r="AG83" i="9"/>
  <c r="V83" i="9"/>
  <c r="K83" i="9"/>
  <c r="AG58" i="9"/>
  <c r="V58" i="9"/>
  <c r="K58" i="9"/>
  <c r="AG33" i="9"/>
  <c r="V33" i="9"/>
  <c r="K33" i="9"/>
  <c r="I109" i="116"/>
  <c r="I93" i="116"/>
  <c r="I109" i="115"/>
  <c r="I93" i="115"/>
  <c r="I109" i="114"/>
  <c r="I93" i="114"/>
  <c r="I109" i="113"/>
  <c r="I93" i="113"/>
  <c r="I109" i="110"/>
  <c r="I93" i="110"/>
  <c r="AG133" i="9"/>
  <c r="V133" i="9"/>
  <c r="K133" i="9"/>
  <c r="AG108" i="9"/>
  <c r="V108" i="9"/>
  <c r="AH33" i="116"/>
  <c r="F109" i="110"/>
  <c r="F93" i="110"/>
  <c r="F109" i="113"/>
  <c r="F93" i="113"/>
  <c r="F109" i="114"/>
  <c r="F93" i="114"/>
  <c r="F109" i="115"/>
  <c r="F93" i="115"/>
  <c r="F109" i="116"/>
  <c r="F93" i="116"/>
  <c r="E109" i="110"/>
  <c r="E93" i="110"/>
  <c r="E109" i="113"/>
  <c r="E93" i="113"/>
  <c r="E109" i="114"/>
  <c r="E93" i="114"/>
  <c r="E109" i="115"/>
  <c r="E93" i="115"/>
  <c r="E109" i="116"/>
  <c r="E93" i="116"/>
  <c r="D109" i="110"/>
  <c r="D93" i="110"/>
  <c r="D109" i="113"/>
  <c r="D93" i="113"/>
  <c r="D109" i="114"/>
  <c r="D93" i="114"/>
  <c r="D109" i="115"/>
  <c r="D93" i="115"/>
  <c r="D109" i="116"/>
  <c r="D93" i="116"/>
  <c r="I2" i="8"/>
  <c r="U322" i="124"/>
  <c r="P322" i="124"/>
  <c r="K322" i="124"/>
  <c r="F322" i="124"/>
  <c r="A322" i="124"/>
  <c r="K61" i="110"/>
  <c r="K61" i="113"/>
  <c r="K61" i="114"/>
  <c r="K61" i="115"/>
  <c r="K61" i="116"/>
  <c r="P82" i="110"/>
  <c r="P82" i="113"/>
  <c r="P82" i="114"/>
  <c r="P82" i="115"/>
  <c r="P82" i="116"/>
  <c r="A8" i="54"/>
  <c r="V12" i="111"/>
  <c r="V12" i="117"/>
  <c r="V12" i="118"/>
  <c r="V12" i="119"/>
  <c r="V12" i="120"/>
  <c r="S12" i="111"/>
  <c r="S12" i="117"/>
  <c r="S12" i="118"/>
  <c r="S12" i="119"/>
  <c r="S12" i="120"/>
  <c r="S28" i="111" l="1"/>
  <c r="M28" i="111"/>
  <c r="M27" i="111"/>
  <c r="C27" i="111"/>
  <c r="S25" i="111"/>
  <c r="M25" i="111"/>
  <c r="S24" i="111"/>
  <c r="M24" i="111"/>
  <c r="C23" i="111"/>
  <c r="M22" i="111"/>
  <c r="C22" i="111"/>
  <c r="M21" i="111"/>
  <c r="C21" i="111"/>
  <c r="M16" i="111"/>
  <c r="C16" i="111"/>
  <c r="S14" i="111"/>
  <c r="D14" i="111"/>
  <c r="S13" i="111"/>
  <c r="D13" i="111"/>
  <c r="O12" i="111"/>
  <c r="M12" i="111"/>
  <c r="D12" i="111"/>
  <c r="M11" i="111"/>
  <c r="D9" i="111"/>
  <c r="D8" i="111"/>
  <c r="D7" i="111"/>
  <c r="M6" i="111"/>
  <c r="W5" i="111"/>
  <c r="T5" i="111"/>
  <c r="P5" i="111"/>
  <c r="J5" i="111"/>
  <c r="H5" i="111"/>
  <c r="F5" i="111"/>
  <c r="E5" i="111"/>
  <c r="H2" i="111"/>
  <c r="S28" i="117"/>
  <c r="M28" i="117"/>
  <c r="M27" i="117"/>
  <c r="C27" i="117"/>
  <c r="S25" i="117"/>
  <c r="M25" i="117"/>
  <c r="S24" i="117"/>
  <c r="M24" i="117"/>
  <c r="C23" i="117"/>
  <c r="M22" i="117"/>
  <c r="C22" i="117"/>
  <c r="M21" i="117"/>
  <c r="C21" i="117"/>
  <c r="M16" i="117"/>
  <c r="C16" i="117"/>
  <c r="S14" i="117"/>
  <c r="D14" i="117"/>
  <c r="S13" i="117"/>
  <c r="D13" i="117"/>
  <c r="O12" i="117"/>
  <c r="M12" i="117"/>
  <c r="D12" i="117"/>
  <c r="M11" i="117"/>
  <c r="D9" i="117"/>
  <c r="D8" i="117"/>
  <c r="D7" i="117"/>
  <c r="M6" i="117"/>
  <c r="W5" i="117"/>
  <c r="T5" i="117"/>
  <c r="P5" i="117"/>
  <c r="J5" i="117"/>
  <c r="H5" i="117"/>
  <c r="F5" i="117"/>
  <c r="E5" i="117"/>
  <c r="H2" i="117"/>
  <c r="S28" i="118"/>
  <c r="M28" i="118"/>
  <c r="M27" i="118"/>
  <c r="C27" i="118"/>
  <c r="S25" i="118"/>
  <c r="M25" i="118"/>
  <c r="S24" i="118"/>
  <c r="M24" i="118"/>
  <c r="C23" i="118"/>
  <c r="M22" i="118"/>
  <c r="C22" i="118"/>
  <c r="M21" i="118"/>
  <c r="C21" i="118"/>
  <c r="M16" i="118"/>
  <c r="C16" i="118"/>
  <c r="S14" i="118"/>
  <c r="D14" i="118"/>
  <c r="S13" i="118"/>
  <c r="D13" i="118"/>
  <c r="O12" i="118"/>
  <c r="M12" i="118"/>
  <c r="D12" i="118"/>
  <c r="M11" i="118"/>
  <c r="D9" i="118"/>
  <c r="D8" i="118"/>
  <c r="D7" i="118"/>
  <c r="M6" i="118"/>
  <c r="W5" i="118"/>
  <c r="T5" i="118"/>
  <c r="P5" i="118"/>
  <c r="J5" i="118"/>
  <c r="H5" i="118"/>
  <c r="F5" i="118"/>
  <c r="E5" i="118"/>
  <c r="H2" i="118"/>
  <c r="S28" i="119"/>
  <c r="M28" i="119"/>
  <c r="M27" i="119"/>
  <c r="C27" i="119"/>
  <c r="S25" i="119"/>
  <c r="M25" i="119"/>
  <c r="S24" i="119"/>
  <c r="M24" i="119"/>
  <c r="C23" i="119"/>
  <c r="M22" i="119"/>
  <c r="C22" i="119"/>
  <c r="M21" i="119"/>
  <c r="C21" i="119"/>
  <c r="M16" i="119"/>
  <c r="C16" i="119"/>
  <c r="S14" i="119"/>
  <c r="D14" i="119"/>
  <c r="S13" i="119"/>
  <c r="D13" i="119"/>
  <c r="O12" i="119"/>
  <c r="M12" i="119"/>
  <c r="D12" i="119"/>
  <c r="M11" i="119"/>
  <c r="D9" i="119"/>
  <c r="D8" i="119"/>
  <c r="D7" i="119"/>
  <c r="M6" i="119"/>
  <c r="W5" i="119"/>
  <c r="T5" i="119"/>
  <c r="P5" i="119"/>
  <c r="J5" i="119"/>
  <c r="H5" i="119"/>
  <c r="F5" i="119"/>
  <c r="E5" i="119"/>
  <c r="H2" i="119"/>
  <c r="W5" i="120"/>
  <c r="S28" i="120"/>
  <c r="M28" i="120"/>
  <c r="M27" i="120"/>
  <c r="C27" i="120"/>
  <c r="S25" i="120"/>
  <c r="M25" i="120"/>
  <c r="S24" i="120"/>
  <c r="M24" i="120"/>
  <c r="C23" i="120"/>
  <c r="M22" i="120"/>
  <c r="C22" i="120"/>
  <c r="M21" i="120"/>
  <c r="C21" i="120"/>
  <c r="M16" i="120"/>
  <c r="C16" i="120"/>
  <c r="S14" i="120"/>
  <c r="D14" i="120"/>
  <c r="S13" i="120"/>
  <c r="D13" i="120"/>
  <c r="O12" i="120"/>
  <c r="M12" i="120"/>
  <c r="D12" i="120"/>
  <c r="M11" i="120"/>
  <c r="D9" i="120"/>
  <c r="D8" i="120"/>
  <c r="D7" i="120"/>
  <c r="M6" i="120"/>
  <c r="T5" i="120"/>
  <c r="P5" i="120"/>
  <c r="J5" i="120"/>
  <c r="H5" i="120"/>
  <c r="F5" i="120"/>
  <c r="E5" i="120"/>
  <c r="H2" i="120"/>
  <c r="W28" i="120"/>
  <c r="J28" i="120"/>
  <c r="H28" i="120"/>
  <c r="F28" i="120"/>
  <c r="P25" i="120"/>
  <c r="J25" i="120"/>
  <c r="H25" i="120"/>
  <c r="F25" i="120"/>
  <c r="W24" i="120"/>
  <c r="P24" i="120"/>
  <c r="J24" i="120"/>
  <c r="H24" i="120"/>
  <c r="F24" i="120"/>
  <c r="W23" i="120"/>
  <c r="P23" i="120"/>
  <c r="W22" i="120"/>
  <c r="J22" i="120"/>
  <c r="H22" i="120"/>
  <c r="F22" i="120"/>
  <c r="W19" i="120"/>
  <c r="P19" i="120"/>
  <c r="P18" i="120"/>
  <c r="W17" i="120"/>
  <c r="P17" i="120"/>
  <c r="W14" i="120"/>
  <c r="J14" i="120"/>
  <c r="H14" i="120"/>
  <c r="F14" i="120"/>
  <c r="W13" i="120"/>
  <c r="P13" i="120"/>
  <c r="J13" i="120"/>
  <c r="H13" i="120"/>
  <c r="F13" i="120"/>
  <c r="W12" i="120"/>
  <c r="T12" i="120"/>
  <c r="P12" i="120"/>
  <c r="J12" i="120"/>
  <c r="H12" i="120"/>
  <c r="F12" i="120"/>
  <c r="W9" i="120"/>
  <c r="T9" i="120"/>
  <c r="J9" i="120"/>
  <c r="H9" i="120"/>
  <c r="F9" i="120"/>
  <c r="E9" i="120"/>
  <c r="W8" i="120"/>
  <c r="T8" i="120"/>
  <c r="P8" i="120"/>
  <c r="J8" i="120"/>
  <c r="H8" i="120"/>
  <c r="F8" i="120"/>
  <c r="E8" i="120"/>
  <c r="W7" i="120"/>
  <c r="T7" i="120"/>
  <c r="P7" i="120"/>
  <c r="J7" i="120"/>
  <c r="H7" i="120"/>
  <c r="F7" i="120"/>
  <c r="E7" i="120"/>
  <c r="M2" i="120"/>
  <c r="K376" i="94"/>
  <c r="J376" i="94"/>
  <c r="I376" i="94"/>
  <c r="H376" i="94"/>
  <c r="E376" i="94"/>
  <c r="D376" i="94"/>
  <c r="C376" i="94"/>
  <c r="B376" i="94"/>
  <c r="G375" i="94"/>
  <c r="A375" i="94"/>
  <c r="M260" i="94"/>
  <c r="Q71" i="94"/>
  <c r="M58" i="94"/>
  <c r="M56" i="94"/>
  <c r="M55" i="94"/>
  <c r="M54" i="94"/>
  <c r="M53" i="94"/>
  <c r="K53" i="94"/>
  <c r="J53" i="94"/>
  <c r="I53" i="94"/>
  <c r="H53" i="94"/>
  <c r="E53" i="94"/>
  <c r="D53" i="94"/>
  <c r="C53" i="94"/>
  <c r="B53" i="94"/>
  <c r="G52" i="94"/>
  <c r="A52" i="94"/>
  <c r="Q43" i="94"/>
  <c r="Y21" i="94"/>
  <c r="AK1" i="94"/>
  <c r="Y1" i="94"/>
  <c r="Q1" i="94"/>
  <c r="U380" i="124"/>
  <c r="P380" i="124"/>
  <c r="K380" i="124"/>
  <c r="F380" i="124"/>
  <c r="A380" i="124"/>
  <c r="U379" i="124"/>
  <c r="P379" i="124"/>
  <c r="K379" i="124"/>
  <c r="F379" i="124"/>
  <c r="A379" i="124"/>
  <c r="U377" i="124"/>
  <c r="P377" i="124"/>
  <c r="K377" i="124"/>
  <c r="F377" i="124"/>
  <c r="A377" i="124"/>
  <c r="U376" i="124"/>
  <c r="P376" i="124"/>
  <c r="K376" i="124"/>
  <c r="F376" i="124"/>
  <c r="A376" i="124"/>
  <c r="U374" i="124"/>
  <c r="P374" i="124"/>
  <c r="K374" i="124"/>
  <c r="F374" i="124"/>
  <c r="A374" i="124"/>
  <c r="U373" i="124"/>
  <c r="P373" i="124"/>
  <c r="K373" i="124"/>
  <c r="F373" i="124"/>
  <c r="A373" i="124"/>
  <c r="U372" i="124"/>
  <c r="P372" i="124"/>
  <c r="K372" i="124"/>
  <c r="F372" i="124"/>
  <c r="A372" i="124"/>
  <c r="U371" i="124"/>
  <c r="P371" i="124"/>
  <c r="K371" i="124"/>
  <c r="F371" i="124"/>
  <c r="A371" i="124"/>
  <c r="U369" i="124"/>
  <c r="P369" i="124"/>
  <c r="K369" i="124"/>
  <c r="F369" i="124"/>
  <c r="A369" i="124"/>
  <c r="U368" i="124"/>
  <c r="P368" i="124"/>
  <c r="K368" i="124"/>
  <c r="F368" i="124"/>
  <c r="A368" i="124"/>
  <c r="U367" i="124"/>
  <c r="P367" i="124"/>
  <c r="K367" i="124"/>
  <c r="F367" i="124"/>
  <c r="A367" i="124"/>
  <c r="U366" i="124"/>
  <c r="P366" i="124"/>
  <c r="K366" i="124"/>
  <c r="F366" i="124"/>
  <c r="A366" i="124"/>
  <c r="U365" i="124"/>
  <c r="P365" i="124"/>
  <c r="K365" i="124"/>
  <c r="F365" i="124"/>
  <c r="A365" i="124"/>
  <c r="U364" i="124"/>
  <c r="P364" i="124"/>
  <c r="K364" i="124"/>
  <c r="F364" i="124"/>
  <c r="A364" i="124"/>
  <c r="U363" i="124"/>
  <c r="P363" i="124"/>
  <c r="K363" i="124"/>
  <c r="F363" i="124"/>
  <c r="A363" i="124"/>
  <c r="U361" i="124"/>
  <c r="P361" i="124"/>
  <c r="K361" i="124"/>
  <c r="F361" i="124"/>
  <c r="A361" i="124"/>
  <c r="U360" i="124"/>
  <c r="P360" i="124"/>
  <c r="K360" i="124"/>
  <c r="F360" i="124"/>
  <c r="A360" i="124"/>
  <c r="U359" i="124"/>
  <c r="P359" i="124"/>
  <c r="K359" i="124"/>
  <c r="F359" i="124"/>
  <c r="A359" i="124"/>
  <c r="U358" i="124"/>
  <c r="P358" i="124"/>
  <c r="K358" i="124"/>
  <c r="F358" i="124"/>
  <c r="A358" i="124"/>
  <c r="U357" i="124"/>
  <c r="P357" i="124"/>
  <c r="K357" i="124"/>
  <c r="F357" i="124"/>
  <c r="A357" i="124"/>
  <c r="U355" i="124"/>
  <c r="P355" i="124"/>
  <c r="K355" i="124"/>
  <c r="F355" i="124"/>
  <c r="A355" i="124"/>
  <c r="U354" i="124"/>
  <c r="P354" i="124"/>
  <c r="K354" i="124"/>
  <c r="F354" i="124"/>
  <c r="A354" i="124"/>
  <c r="U353" i="124"/>
  <c r="P353" i="124"/>
  <c r="K353" i="124"/>
  <c r="F353" i="124"/>
  <c r="A353" i="124"/>
  <c r="U352" i="124"/>
  <c r="P352" i="124"/>
  <c r="K352" i="124"/>
  <c r="F352" i="124"/>
  <c r="A352" i="124"/>
  <c r="U351" i="124"/>
  <c r="P351" i="124"/>
  <c r="K351" i="124"/>
  <c r="F351" i="124"/>
  <c r="A351" i="124"/>
  <c r="U350" i="124"/>
  <c r="P350" i="124"/>
  <c r="K350" i="124"/>
  <c r="F350" i="124"/>
  <c r="A350" i="124"/>
  <c r="U349" i="124"/>
  <c r="P349" i="124"/>
  <c r="K349" i="124"/>
  <c r="F349" i="124"/>
  <c r="A349" i="124"/>
  <c r="U347" i="124"/>
  <c r="P347" i="124"/>
  <c r="K347" i="124"/>
  <c r="F347" i="124"/>
  <c r="A347" i="124"/>
  <c r="U345" i="124"/>
  <c r="P345" i="124"/>
  <c r="K345" i="124"/>
  <c r="F345" i="124"/>
  <c r="A345" i="124"/>
  <c r="U344" i="124"/>
  <c r="P344" i="124"/>
  <c r="K344" i="124"/>
  <c r="F344" i="124"/>
  <c r="A344" i="124"/>
  <c r="U343" i="124"/>
  <c r="P343" i="124"/>
  <c r="K343" i="124"/>
  <c r="F343" i="124"/>
  <c r="A343" i="124"/>
  <c r="U341" i="124"/>
  <c r="P341" i="124"/>
  <c r="K341" i="124"/>
  <c r="F341" i="124"/>
  <c r="A341" i="124"/>
  <c r="U339" i="124"/>
  <c r="P339" i="124"/>
  <c r="K339" i="124"/>
  <c r="F339" i="124"/>
  <c r="A339" i="124"/>
  <c r="U338" i="124"/>
  <c r="P338" i="124"/>
  <c r="K338" i="124"/>
  <c r="F338" i="124"/>
  <c r="A338" i="124"/>
  <c r="U337" i="124"/>
  <c r="P337" i="124"/>
  <c r="K337" i="124"/>
  <c r="F337" i="124"/>
  <c r="A337" i="124"/>
  <c r="U336" i="124"/>
  <c r="P336" i="124"/>
  <c r="K336" i="124"/>
  <c r="F336" i="124"/>
  <c r="A336" i="124"/>
  <c r="U335" i="124"/>
  <c r="P335" i="124"/>
  <c r="K335" i="124"/>
  <c r="F335" i="124"/>
  <c r="A335" i="124"/>
  <c r="U334" i="124"/>
  <c r="P334" i="124"/>
  <c r="K334" i="124"/>
  <c r="F334" i="124"/>
  <c r="A334" i="124"/>
  <c r="U333" i="124"/>
  <c r="P333" i="124"/>
  <c r="K333" i="124"/>
  <c r="F333" i="124"/>
  <c r="A333" i="124"/>
  <c r="U331" i="124"/>
  <c r="P331" i="124"/>
  <c r="K331" i="124"/>
  <c r="F331" i="124"/>
  <c r="A331" i="124"/>
  <c r="U329" i="124"/>
  <c r="P329" i="124"/>
  <c r="K329" i="124"/>
  <c r="F329" i="124"/>
  <c r="A329" i="124"/>
  <c r="U328" i="124"/>
  <c r="P328" i="124"/>
  <c r="K328" i="124"/>
  <c r="F328" i="124"/>
  <c r="A328" i="124"/>
  <c r="U327" i="124"/>
  <c r="P327" i="124"/>
  <c r="K327" i="124"/>
  <c r="F327" i="124"/>
  <c r="A327" i="124"/>
  <c r="U326" i="124"/>
  <c r="P326" i="124"/>
  <c r="K326" i="124"/>
  <c r="F326" i="124"/>
  <c r="A326" i="124"/>
  <c r="U325" i="124"/>
  <c r="P325" i="124"/>
  <c r="K325" i="124"/>
  <c r="F325" i="124"/>
  <c r="A325" i="124"/>
  <c r="U324" i="124"/>
  <c r="P324" i="124"/>
  <c r="K324" i="124"/>
  <c r="F324" i="124"/>
  <c r="A324" i="124"/>
  <c r="U323" i="124"/>
  <c r="P323" i="124"/>
  <c r="K323" i="124"/>
  <c r="F323" i="124"/>
  <c r="A323" i="124"/>
  <c r="U320" i="124"/>
  <c r="P320" i="124"/>
  <c r="K320" i="124"/>
  <c r="F320" i="124"/>
  <c r="A320" i="124"/>
  <c r="U319" i="124"/>
  <c r="P319" i="124"/>
  <c r="K319" i="124"/>
  <c r="F319" i="124"/>
  <c r="A319" i="124"/>
  <c r="U318" i="124"/>
  <c r="P318" i="124"/>
  <c r="K318" i="124"/>
  <c r="F318" i="124"/>
  <c r="A318" i="124"/>
  <c r="U317" i="124"/>
  <c r="P317" i="124"/>
  <c r="K317" i="124"/>
  <c r="F317" i="124"/>
  <c r="A317" i="124"/>
  <c r="U315" i="124"/>
  <c r="P315" i="124"/>
  <c r="K315" i="124"/>
  <c r="F315" i="124"/>
  <c r="A315" i="124"/>
  <c r="U312" i="124"/>
  <c r="P312" i="124"/>
  <c r="K312" i="124"/>
  <c r="F312" i="124"/>
  <c r="A312" i="124"/>
  <c r="U311" i="124"/>
  <c r="P311" i="124"/>
  <c r="K311" i="124"/>
  <c r="F311" i="124"/>
  <c r="A311" i="124"/>
  <c r="U310" i="124"/>
  <c r="P310" i="124"/>
  <c r="K310" i="124"/>
  <c r="F310" i="124"/>
  <c r="A310" i="124"/>
  <c r="U308" i="124"/>
  <c r="P308" i="124"/>
  <c r="K308" i="124"/>
  <c r="F308" i="124"/>
  <c r="A308" i="124"/>
  <c r="U307" i="124"/>
  <c r="P307" i="124"/>
  <c r="K307" i="124"/>
  <c r="F307" i="124"/>
  <c r="A307" i="124"/>
  <c r="U306" i="124"/>
  <c r="P306" i="124"/>
  <c r="K306" i="124"/>
  <c r="F306" i="124"/>
  <c r="A306" i="124"/>
  <c r="U305" i="124"/>
  <c r="P305" i="124"/>
  <c r="K305" i="124"/>
  <c r="F305" i="124"/>
  <c r="A305" i="124"/>
  <c r="U304" i="124"/>
  <c r="P304" i="124"/>
  <c r="K304" i="124"/>
  <c r="F304" i="124"/>
  <c r="A304" i="124"/>
  <c r="U303" i="124"/>
  <c r="P303" i="124"/>
  <c r="K303" i="124"/>
  <c r="F303" i="124"/>
  <c r="A303" i="124"/>
  <c r="U302" i="124"/>
  <c r="P302" i="124"/>
  <c r="K302" i="124"/>
  <c r="F302" i="124"/>
  <c r="A302" i="124"/>
  <c r="U301" i="124"/>
  <c r="P301" i="124"/>
  <c r="K301" i="124"/>
  <c r="F301" i="124"/>
  <c r="A301" i="124"/>
  <c r="U300" i="124"/>
  <c r="P300" i="124"/>
  <c r="K300" i="124"/>
  <c r="F300" i="124"/>
  <c r="A300" i="124"/>
  <c r="U299" i="124"/>
  <c r="P299" i="124"/>
  <c r="K299" i="124"/>
  <c r="F299" i="124"/>
  <c r="A299" i="124"/>
  <c r="U298" i="124"/>
  <c r="P298" i="124"/>
  <c r="K298" i="124"/>
  <c r="F298" i="124"/>
  <c r="A298" i="124"/>
  <c r="U297" i="124"/>
  <c r="P297" i="124"/>
  <c r="K297" i="124"/>
  <c r="F297" i="124"/>
  <c r="A297" i="124"/>
  <c r="U296" i="124"/>
  <c r="P296" i="124"/>
  <c r="K296" i="124"/>
  <c r="F296" i="124"/>
  <c r="A296" i="124"/>
  <c r="U295" i="124"/>
  <c r="P295" i="124"/>
  <c r="K295" i="124"/>
  <c r="F295" i="124"/>
  <c r="A295" i="124"/>
  <c r="U294" i="124"/>
  <c r="P294" i="124"/>
  <c r="K294" i="124"/>
  <c r="F294" i="124"/>
  <c r="A294" i="124"/>
  <c r="U291" i="124"/>
  <c r="P291" i="124"/>
  <c r="K291" i="124"/>
  <c r="F291" i="124"/>
  <c r="A291" i="124"/>
  <c r="U290" i="124"/>
  <c r="P290" i="124"/>
  <c r="K290" i="124"/>
  <c r="F290" i="124"/>
  <c r="A290" i="124"/>
  <c r="U289" i="124"/>
  <c r="P289" i="124"/>
  <c r="K289" i="124"/>
  <c r="F289" i="124"/>
  <c r="A289" i="124"/>
  <c r="U288" i="124"/>
  <c r="P288" i="124"/>
  <c r="K288" i="124"/>
  <c r="F288" i="124"/>
  <c r="A288" i="124"/>
  <c r="U286" i="124"/>
  <c r="P286" i="124"/>
  <c r="K286" i="124"/>
  <c r="F286" i="124"/>
  <c r="A286" i="124"/>
  <c r="U285" i="124"/>
  <c r="P285" i="124"/>
  <c r="K285" i="124"/>
  <c r="F285" i="124"/>
  <c r="A285" i="124"/>
  <c r="U284" i="124"/>
  <c r="P284" i="124"/>
  <c r="K284" i="124"/>
  <c r="F284" i="124"/>
  <c r="A284" i="124"/>
  <c r="U282" i="124"/>
  <c r="P282" i="124"/>
  <c r="K282" i="124"/>
  <c r="F282" i="124"/>
  <c r="A282" i="124"/>
  <c r="U281" i="124"/>
  <c r="P281" i="124"/>
  <c r="K281" i="124"/>
  <c r="F281" i="124"/>
  <c r="A281" i="124"/>
  <c r="U279" i="124"/>
  <c r="P279" i="124"/>
  <c r="K279" i="124"/>
  <c r="F279" i="124"/>
  <c r="A279" i="124"/>
  <c r="U277" i="124"/>
  <c r="P277" i="124"/>
  <c r="K277" i="124"/>
  <c r="F277" i="124"/>
  <c r="A277" i="124"/>
  <c r="U276" i="124"/>
  <c r="P276" i="124"/>
  <c r="K276" i="124"/>
  <c r="F276" i="124"/>
  <c r="A276" i="124"/>
  <c r="U275" i="124"/>
  <c r="P275" i="124"/>
  <c r="K275" i="124"/>
  <c r="F275" i="124"/>
  <c r="A275" i="124"/>
  <c r="U274" i="124"/>
  <c r="P274" i="124"/>
  <c r="K274" i="124"/>
  <c r="F274" i="124"/>
  <c r="A274" i="124"/>
  <c r="U255" i="124"/>
  <c r="P255" i="124"/>
  <c r="K255" i="124"/>
  <c r="F255" i="124"/>
  <c r="A255" i="124"/>
  <c r="W253" i="124"/>
  <c r="U253" i="124"/>
  <c r="R253" i="124"/>
  <c r="P253" i="124"/>
  <c r="M253" i="124"/>
  <c r="K253" i="124"/>
  <c r="H253" i="124"/>
  <c r="F253" i="124"/>
  <c r="C253" i="124"/>
  <c r="A253" i="124"/>
  <c r="A248" i="124"/>
  <c r="A243" i="124"/>
  <c r="A238" i="124"/>
  <c r="A233" i="124"/>
  <c r="A228" i="124"/>
  <c r="A223" i="124"/>
  <c r="A218" i="124"/>
  <c r="A213" i="124"/>
  <c r="A208" i="124"/>
  <c r="A203" i="124"/>
  <c r="U201" i="124"/>
  <c r="P201" i="124"/>
  <c r="K201" i="124"/>
  <c r="F201" i="124"/>
  <c r="A201" i="124"/>
  <c r="U200" i="124"/>
  <c r="P200" i="124"/>
  <c r="K200" i="124"/>
  <c r="F200" i="124"/>
  <c r="A200" i="124"/>
  <c r="U199" i="124"/>
  <c r="P199" i="124"/>
  <c r="K199" i="124"/>
  <c r="F199" i="124"/>
  <c r="A199" i="124"/>
  <c r="U197" i="124"/>
  <c r="P197" i="124"/>
  <c r="K197" i="124"/>
  <c r="F197" i="124"/>
  <c r="A197" i="124"/>
  <c r="U196" i="124"/>
  <c r="P196" i="124"/>
  <c r="K196" i="124"/>
  <c r="F196" i="124"/>
  <c r="A196" i="124"/>
  <c r="U195" i="124"/>
  <c r="P195" i="124"/>
  <c r="K195" i="124"/>
  <c r="F195" i="124"/>
  <c r="A195" i="124"/>
  <c r="U194" i="124"/>
  <c r="P194" i="124"/>
  <c r="K194" i="124"/>
  <c r="F194" i="124"/>
  <c r="A194" i="124"/>
  <c r="U193" i="124"/>
  <c r="P193" i="124"/>
  <c r="K193" i="124"/>
  <c r="F193" i="124"/>
  <c r="A193" i="124"/>
  <c r="U192" i="124"/>
  <c r="P192" i="124"/>
  <c r="K192" i="124"/>
  <c r="F192" i="124"/>
  <c r="A192" i="124"/>
  <c r="U191" i="124"/>
  <c r="P191" i="124"/>
  <c r="K191" i="124"/>
  <c r="F191" i="124"/>
  <c r="A191" i="124"/>
  <c r="U190" i="124"/>
  <c r="P190" i="124"/>
  <c r="K190" i="124"/>
  <c r="F190" i="124"/>
  <c r="A190" i="124"/>
  <c r="U189" i="124"/>
  <c r="P189" i="124"/>
  <c r="K189" i="124"/>
  <c r="F189" i="124"/>
  <c r="A189" i="124"/>
  <c r="A188" i="124"/>
  <c r="U186" i="124"/>
  <c r="P186" i="124"/>
  <c r="K186" i="124"/>
  <c r="F186" i="124"/>
  <c r="A186" i="124"/>
  <c r="U185" i="124"/>
  <c r="P185" i="124"/>
  <c r="K185" i="124"/>
  <c r="F185" i="124"/>
  <c r="A185" i="124"/>
  <c r="U184" i="124"/>
  <c r="P184" i="124"/>
  <c r="K184" i="124"/>
  <c r="F184" i="124"/>
  <c r="A184" i="124"/>
  <c r="U183" i="124"/>
  <c r="P183" i="124"/>
  <c r="K183" i="124"/>
  <c r="F183" i="124"/>
  <c r="A183" i="124"/>
  <c r="U182" i="124"/>
  <c r="P182" i="124"/>
  <c r="K182" i="124"/>
  <c r="F182" i="124"/>
  <c r="A182" i="124"/>
  <c r="U181" i="124"/>
  <c r="P181" i="124"/>
  <c r="K181" i="124"/>
  <c r="F181" i="124"/>
  <c r="A181" i="124"/>
  <c r="A180" i="124"/>
  <c r="U178" i="124"/>
  <c r="P178" i="124"/>
  <c r="K178" i="124"/>
  <c r="F178" i="124"/>
  <c r="A178" i="124"/>
  <c r="U177" i="124"/>
  <c r="P177" i="124"/>
  <c r="K177" i="124"/>
  <c r="F177" i="124"/>
  <c r="A177" i="124"/>
  <c r="U176" i="124"/>
  <c r="P176" i="124"/>
  <c r="K176" i="124"/>
  <c r="F176" i="124"/>
  <c r="A176" i="124"/>
  <c r="U175" i="124"/>
  <c r="P175" i="124"/>
  <c r="K175" i="124"/>
  <c r="F175" i="124"/>
  <c r="A175" i="124"/>
  <c r="U174" i="124"/>
  <c r="P174" i="124"/>
  <c r="K174" i="124"/>
  <c r="F174" i="124"/>
  <c r="A174" i="124"/>
  <c r="U173" i="124"/>
  <c r="P173" i="124"/>
  <c r="K173" i="124"/>
  <c r="F173" i="124"/>
  <c r="A173" i="124"/>
  <c r="U172" i="124"/>
  <c r="P172" i="124"/>
  <c r="K172" i="124"/>
  <c r="F172" i="124"/>
  <c r="A172" i="124"/>
  <c r="U171" i="124"/>
  <c r="P171" i="124"/>
  <c r="K171" i="124"/>
  <c r="F171" i="124"/>
  <c r="A171" i="124"/>
  <c r="U170" i="124"/>
  <c r="P170" i="124"/>
  <c r="K170" i="124"/>
  <c r="F170" i="124"/>
  <c r="A170" i="124"/>
  <c r="U169" i="124"/>
  <c r="P169" i="124"/>
  <c r="K169" i="124"/>
  <c r="F169" i="124"/>
  <c r="A169" i="124"/>
  <c r="U168" i="124"/>
  <c r="P168" i="124"/>
  <c r="K168" i="124"/>
  <c r="F168" i="124"/>
  <c r="A168" i="124"/>
  <c r="U167" i="124"/>
  <c r="P167" i="124"/>
  <c r="K167" i="124"/>
  <c r="F167" i="124"/>
  <c r="A167" i="124"/>
  <c r="U166" i="124"/>
  <c r="P166" i="124"/>
  <c r="K166" i="124"/>
  <c r="F166" i="124"/>
  <c r="A166" i="124"/>
  <c r="A165" i="124"/>
  <c r="U163" i="124"/>
  <c r="P163" i="124"/>
  <c r="K163" i="124"/>
  <c r="F163" i="124"/>
  <c r="A163" i="124"/>
  <c r="U162" i="124"/>
  <c r="P162" i="124"/>
  <c r="K162" i="124"/>
  <c r="F162" i="124"/>
  <c r="A162" i="124"/>
  <c r="U161" i="124"/>
  <c r="P161" i="124"/>
  <c r="K161" i="124"/>
  <c r="F161" i="124"/>
  <c r="A161" i="124"/>
  <c r="U160" i="124"/>
  <c r="P160" i="124"/>
  <c r="K160" i="124"/>
  <c r="F160" i="124"/>
  <c r="A160" i="124"/>
  <c r="U158" i="124"/>
  <c r="P158" i="124"/>
  <c r="K158" i="124"/>
  <c r="F158" i="124"/>
  <c r="A158" i="124"/>
  <c r="U157" i="124"/>
  <c r="P157" i="124"/>
  <c r="K157" i="124"/>
  <c r="F157" i="124"/>
  <c r="A157" i="124"/>
  <c r="U156" i="124"/>
  <c r="P156" i="124"/>
  <c r="K156" i="124"/>
  <c r="F156" i="124"/>
  <c r="A156" i="124"/>
  <c r="U155" i="124"/>
  <c r="P155" i="124"/>
  <c r="K155" i="124"/>
  <c r="F155" i="124"/>
  <c r="A155" i="124"/>
  <c r="U154" i="124"/>
  <c r="P154" i="124"/>
  <c r="K154" i="124"/>
  <c r="F154" i="124"/>
  <c r="A154" i="124"/>
  <c r="U153" i="124"/>
  <c r="P153" i="124"/>
  <c r="K153" i="124"/>
  <c r="F153" i="124"/>
  <c r="A153" i="124"/>
  <c r="A152" i="124"/>
  <c r="U150" i="124"/>
  <c r="P150" i="124"/>
  <c r="K150" i="124"/>
  <c r="F150" i="124"/>
  <c r="A150" i="124"/>
  <c r="U149" i="124"/>
  <c r="P149" i="124"/>
  <c r="K149" i="124"/>
  <c r="F149" i="124"/>
  <c r="A149" i="124"/>
  <c r="AL148" i="124"/>
  <c r="AI148" i="124"/>
  <c r="AF148" i="124"/>
  <c r="AC148" i="124"/>
  <c r="Z148" i="124"/>
  <c r="U148" i="124"/>
  <c r="P148" i="124"/>
  <c r="K148" i="124"/>
  <c r="F148" i="124"/>
  <c r="A148" i="124"/>
  <c r="Z147" i="124"/>
  <c r="A147" i="124"/>
  <c r="U145" i="124"/>
  <c r="P145" i="124"/>
  <c r="K145" i="124"/>
  <c r="F145" i="124"/>
  <c r="A145" i="124"/>
  <c r="U144" i="124"/>
  <c r="P144" i="124"/>
  <c r="K144" i="124"/>
  <c r="F144" i="124"/>
  <c r="A144" i="124"/>
  <c r="U143" i="124"/>
  <c r="P143" i="124"/>
  <c r="K143" i="124"/>
  <c r="F143" i="124"/>
  <c r="A143" i="124"/>
  <c r="A142" i="124"/>
  <c r="A137" i="124"/>
  <c r="A132" i="124"/>
  <c r="Z131" i="124"/>
  <c r="A127" i="124"/>
  <c r="U125" i="124"/>
  <c r="P125" i="124"/>
  <c r="K125" i="124"/>
  <c r="F125" i="124"/>
  <c r="A125" i="124"/>
  <c r="U124" i="124"/>
  <c r="P124" i="124"/>
  <c r="K124" i="124"/>
  <c r="F124" i="124"/>
  <c r="A124" i="124"/>
  <c r="U123" i="124"/>
  <c r="P123" i="124"/>
  <c r="K123" i="124"/>
  <c r="F123" i="124"/>
  <c r="A123" i="124"/>
  <c r="U122" i="124"/>
  <c r="P122" i="124"/>
  <c r="K122" i="124"/>
  <c r="F122" i="124"/>
  <c r="A122" i="124"/>
  <c r="U120" i="124"/>
  <c r="P120" i="124"/>
  <c r="K120" i="124"/>
  <c r="F120" i="124"/>
  <c r="A120" i="124"/>
  <c r="U118" i="124"/>
  <c r="P118" i="124"/>
  <c r="K118" i="124"/>
  <c r="F118" i="124"/>
  <c r="A118" i="124"/>
  <c r="U117" i="124"/>
  <c r="P117" i="124"/>
  <c r="K117" i="124"/>
  <c r="F117" i="124"/>
  <c r="A117" i="124"/>
  <c r="AI116" i="124"/>
  <c r="AB116" i="124"/>
  <c r="Z116" i="124"/>
  <c r="U116" i="124"/>
  <c r="P116" i="124"/>
  <c r="K116" i="124"/>
  <c r="F116" i="124"/>
  <c r="A116" i="124"/>
  <c r="AI115" i="124"/>
  <c r="Z115" i="124"/>
  <c r="A115" i="124"/>
  <c r="X112" i="124"/>
  <c r="W112" i="124"/>
  <c r="V112" i="124"/>
  <c r="U112" i="124"/>
  <c r="S112" i="124"/>
  <c r="R112" i="124"/>
  <c r="Q112" i="124"/>
  <c r="P112" i="124"/>
  <c r="N112" i="124"/>
  <c r="M112" i="124"/>
  <c r="L112" i="124"/>
  <c r="K112" i="124"/>
  <c r="I112" i="124"/>
  <c r="H112" i="124"/>
  <c r="G112" i="124"/>
  <c r="F112" i="124"/>
  <c r="D112" i="124"/>
  <c r="C112" i="124"/>
  <c r="B112" i="124"/>
  <c r="A112" i="124"/>
  <c r="U111" i="124"/>
  <c r="P111" i="124"/>
  <c r="K111" i="124"/>
  <c r="F111" i="124"/>
  <c r="A111" i="124"/>
  <c r="U110" i="124"/>
  <c r="P110" i="124"/>
  <c r="K110" i="124"/>
  <c r="F110" i="124"/>
  <c r="A110" i="124"/>
  <c r="U109" i="124"/>
  <c r="P109" i="124"/>
  <c r="K109" i="124"/>
  <c r="F109" i="124"/>
  <c r="A109" i="124"/>
  <c r="U108" i="124"/>
  <c r="P108" i="124"/>
  <c r="K108" i="124"/>
  <c r="F108" i="124"/>
  <c r="A108" i="124"/>
  <c r="U107" i="124"/>
  <c r="P107" i="124"/>
  <c r="K107" i="124"/>
  <c r="F107" i="124"/>
  <c r="A107" i="124"/>
  <c r="U106" i="124"/>
  <c r="P106" i="124"/>
  <c r="K106" i="124"/>
  <c r="F106" i="124"/>
  <c r="A106" i="124"/>
  <c r="U105" i="124"/>
  <c r="P105" i="124"/>
  <c r="K105" i="124"/>
  <c r="F105" i="124"/>
  <c r="A105" i="124"/>
  <c r="U104" i="124"/>
  <c r="P104" i="124"/>
  <c r="K104" i="124"/>
  <c r="F104" i="124"/>
  <c r="A104" i="124"/>
  <c r="U103" i="124"/>
  <c r="P103" i="124"/>
  <c r="K103" i="124"/>
  <c r="F103" i="124"/>
  <c r="A103" i="124"/>
  <c r="U102" i="124"/>
  <c r="P102" i="124"/>
  <c r="K102" i="124"/>
  <c r="F102" i="124"/>
  <c r="A102" i="124"/>
  <c r="A101" i="124"/>
  <c r="AI100" i="124"/>
  <c r="AD100" i="124"/>
  <c r="AB100" i="124"/>
  <c r="Z100" i="124"/>
  <c r="AI99" i="124"/>
  <c r="Z99" i="124"/>
  <c r="A96" i="124"/>
  <c r="U91" i="124"/>
  <c r="P91" i="124"/>
  <c r="K91" i="124"/>
  <c r="F91" i="124"/>
  <c r="A91" i="124"/>
  <c r="A86" i="124"/>
  <c r="AI84" i="124"/>
  <c r="Z83" i="124"/>
  <c r="A81" i="124"/>
  <c r="A71" i="124"/>
  <c r="AD68" i="124"/>
  <c r="AB68" i="124"/>
  <c r="Z68" i="124"/>
  <c r="Z67" i="124"/>
  <c r="A66" i="124"/>
  <c r="A61" i="124"/>
  <c r="A56" i="124"/>
  <c r="Z51" i="124"/>
  <c r="A51" i="124"/>
  <c r="A46" i="124"/>
  <c r="A41" i="124"/>
  <c r="A36" i="124"/>
  <c r="A31" i="124"/>
  <c r="A26" i="124"/>
  <c r="A21" i="124"/>
  <c r="A16" i="124"/>
  <c r="A11" i="124"/>
  <c r="A6" i="124"/>
  <c r="A1" i="124"/>
  <c r="E44" i="54" l="1"/>
  <c r="E43" i="54"/>
  <c r="E42" i="54"/>
  <c r="E41" i="54"/>
  <c r="E40" i="54"/>
  <c r="E39" i="54"/>
  <c r="E38" i="54"/>
  <c r="E37" i="54"/>
  <c r="E35" i="54"/>
  <c r="E34" i="54"/>
  <c r="E33" i="54"/>
  <c r="E32" i="54"/>
  <c r="E30" i="54"/>
  <c r="E29" i="54"/>
  <c r="E28" i="54"/>
  <c r="E27" i="54"/>
  <c r="A25" i="54"/>
  <c r="A24" i="54"/>
  <c r="A23" i="54"/>
  <c r="A22" i="54"/>
  <c r="A21" i="54"/>
  <c r="A20" i="54"/>
  <c r="A19" i="54"/>
  <c r="A18" i="54"/>
  <c r="A17" i="54"/>
  <c r="A16" i="54"/>
  <c r="A15" i="54"/>
  <c r="A14" i="54"/>
  <c r="A13" i="54"/>
  <c r="A12" i="54"/>
  <c r="A11" i="54"/>
  <c r="L10" i="54"/>
  <c r="A10" i="54"/>
  <c r="L9" i="54"/>
  <c r="A9" i="54"/>
  <c r="A7" i="54"/>
  <c r="A6" i="54"/>
  <c r="A5" i="54"/>
  <c r="A4" i="54"/>
  <c r="L3" i="54"/>
  <c r="A3" i="54"/>
  <c r="A2" i="54"/>
  <c r="A1" i="54"/>
  <c r="M80" i="8" l="1"/>
  <c r="J80" i="8"/>
  <c r="G80" i="8"/>
  <c r="D80" i="8"/>
  <c r="A80" i="8"/>
  <c r="A79" i="8"/>
  <c r="O67" i="8"/>
  <c r="N67" i="8"/>
  <c r="M67" i="8"/>
  <c r="L67" i="8"/>
  <c r="K67" i="8"/>
  <c r="G67" i="8"/>
  <c r="D67" i="8"/>
  <c r="A67" i="8"/>
  <c r="K66" i="8"/>
  <c r="A66" i="8"/>
  <c r="Q54" i="8"/>
  <c r="P54" i="8"/>
  <c r="O54" i="8"/>
  <c r="N54" i="8"/>
  <c r="M54" i="8"/>
  <c r="L54" i="8"/>
  <c r="K54" i="8"/>
  <c r="G54" i="8"/>
  <c r="D54" i="8"/>
  <c r="A54" i="8"/>
  <c r="P53" i="8"/>
  <c r="K53" i="8"/>
  <c r="A53" i="8"/>
  <c r="P41" i="8"/>
  <c r="O41" i="8"/>
  <c r="N41" i="8"/>
  <c r="I41" i="8"/>
  <c r="H41" i="8"/>
  <c r="G41" i="8"/>
  <c r="F41" i="8"/>
  <c r="E41" i="8"/>
  <c r="D41" i="8"/>
  <c r="C41" i="8"/>
  <c r="B41" i="8"/>
  <c r="A41" i="8"/>
  <c r="Q40" i="8"/>
  <c r="K40" i="8"/>
  <c r="G40" i="8"/>
  <c r="D40" i="8"/>
  <c r="A40" i="8"/>
  <c r="O28" i="8"/>
  <c r="N28" i="8"/>
  <c r="I28" i="8"/>
  <c r="E28" i="8"/>
  <c r="A28" i="8"/>
  <c r="Q27" i="8"/>
  <c r="P27" i="8"/>
  <c r="N27" i="8"/>
  <c r="A27" i="8"/>
  <c r="E15" i="8"/>
  <c r="D15" i="8"/>
  <c r="C15" i="8"/>
  <c r="B15" i="8"/>
  <c r="A15" i="8"/>
  <c r="N14" i="8"/>
  <c r="J14" i="8"/>
  <c r="G14" i="8"/>
  <c r="D14" i="8"/>
  <c r="A14" i="8"/>
  <c r="H2" i="8"/>
  <c r="G2" i="8"/>
  <c r="F2" i="8"/>
  <c r="E2" i="8"/>
  <c r="D2" i="8"/>
  <c r="C2" i="8"/>
  <c r="B2" i="8"/>
  <c r="A2" i="8"/>
  <c r="Z1" i="8"/>
  <c r="S1" i="8"/>
  <c r="J1" i="8"/>
  <c r="D1" i="8"/>
  <c r="A1" i="8"/>
  <c r="A148" i="9"/>
  <c r="A147" i="9"/>
  <c r="A146" i="9"/>
  <c r="A145" i="9"/>
  <c r="A144" i="9"/>
  <c r="A143" i="9"/>
  <c r="A142" i="9"/>
  <c r="A141" i="9"/>
  <c r="A140" i="9"/>
  <c r="A139" i="9"/>
  <c r="K138" i="9"/>
  <c r="A138" i="9"/>
  <c r="K137" i="9"/>
  <c r="AG136" i="9"/>
  <c r="V136" i="9"/>
  <c r="K136" i="9"/>
  <c r="A136" i="9"/>
  <c r="A135" i="9"/>
  <c r="AG134" i="9"/>
  <c r="V134" i="9"/>
  <c r="K134" i="9"/>
  <c r="A134" i="9"/>
  <c r="A133" i="9"/>
  <c r="AG132" i="9"/>
  <c r="V132" i="9"/>
  <c r="K132" i="9"/>
  <c r="A132" i="9"/>
  <c r="AG131" i="9"/>
  <c r="V131" i="9"/>
  <c r="K131" i="9"/>
  <c r="A131" i="9"/>
  <c r="AG130" i="9"/>
  <c r="V130" i="9"/>
  <c r="K130" i="9"/>
  <c r="A130" i="9"/>
  <c r="AG129" i="9"/>
  <c r="V129" i="9"/>
  <c r="K129" i="9"/>
  <c r="A129" i="9"/>
  <c r="AG128" i="9"/>
  <c r="V128" i="9"/>
  <c r="K128" i="9"/>
  <c r="A128" i="9"/>
  <c r="AG127" i="9"/>
  <c r="V127" i="9"/>
  <c r="K127" i="9"/>
  <c r="A127" i="9"/>
  <c r="AG126" i="9"/>
  <c r="V126" i="9"/>
  <c r="K126" i="9"/>
  <c r="A126" i="9"/>
  <c r="AQ125" i="9"/>
  <c r="AG125" i="9"/>
  <c r="AE125" i="9"/>
  <c r="V125" i="9"/>
  <c r="K125" i="9"/>
  <c r="A125" i="9"/>
  <c r="A123" i="9"/>
  <c r="A122" i="9"/>
  <c r="A121" i="9"/>
  <c r="A120" i="9"/>
  <c r="A119" i="9"/>
  <c r="A118" i="9"/>
  <c r="A117" i="9"/>
  <c r="A116" i="9"/>
  <c r="A115" i="9"/>
  <c r="A114" i="9"/>
  <c r="K113" i="9"/>
  <c r="A113" i="9"/>
  <c r="K112" i="9"/>
  <c r="AG111" i="9"/>
  <c r="V111" i="9"/>
  <c r="K111" i="9"/>
  <c r="A111" i="9"/>
  <c r="A110" i="9"/>
  <c r="AG109" i="9"/>
  <c r="V109" i="9"/>
  <c r="K109" i="9"/>
  <c r="A109" i="9"/>
  <c r="A108" i="9"/>
  <c r="AG107" i="9"/>
  <c r="V107" i="9"/>
  <c r="K107" i="9"/>
  <c r="A107" i="9"/>
  <c r="AG106" i="9"/>
  <c r="V106" i="9"/>
  <c r="K106" i="9"/>
  <c r="A106" i="9"/>
  <c r="AG105" i="9"/>
  <c r="V105" i="9"/>
  <c r="K105" i="9"/>
  <c r="A105" i="9"/>
  <c r="AG104" i="9"/>
  <c r="V104" i="9"/>
  <c r="K104" i="9"/>
  <c r="A104" i="9"/>
  <c r="AG103" i="9"/>
  <c r="V103" i="9"/>
  <c r="K103" i="9"/>
  <c r="A103" i="9"/>
  <c r="AG102" i="9"/>
  <c r="V102" i="9"/>
  <c r="K102" i="9"/>
  <c r="A102" i="9"/>
  <c r="AG101" i="9"/>
  <c r="V101" i="9"/>
  <c r="K101" i="9"/>
  <c r="A101" i="9"/>
  <c r="AQ100" i="9"/>
  <c r="AG100" i="9"/>
  <c r="AE100" i="9"/>
  <c r="V100" i="9"/>
  <c r="K100" i="9"/>
  <c r="A100" i="9"/>
  <c r="A98" i="9"/>
  <c r="A97" i="9"/>
  <c r="A96" i="9"/>
  <c r="A95" i="9"/>
  <c r="A94" i="9"/>
  <c r="A93" i="9"/>
  <c r="A92" i="9"/>
  <c r="A91" i="9"/>
  <c r="A90" i="9"/>
  <c r="A89" i="9"/>
  <c r="K88" i="9"/>
  <c r="A88" i="9"/>
  <c r="K87" i="9"/>
  <c r="AG86" i="9"/>
  <c r="V86" i="9"/>
  <c r="K86" i="9"/>
  <c r="A86" i="9"/>
  <c r="A85" i="9"/>
  <c r="AG84" i="9"/>
  <c r="V84" i="9"/>
  <c r="K84" i="9"/>
  <c r="A84" i="9"/>
  <c r="A83" i="9"/>
  <c r="AG82" i="9"/>
  <c r="V82" i="9"/>
  <c r="K82" i="9"/>
  <c r="A82" i="9"/>
  <c r="AG81" i="9"/>
  <c r="V81" i="9"/>
  <c r="K81" i="9"/>
  <c r="A81" i="9"/>
  <c r="AG80" i="9"/>
  <c r="V80" i="9"/>
  <c r="K80" i="9"/>
  <c r="A80" i="9"/>
  <c r="AG79" i="9"/>
  <c r="V79" i="9"/>
  <c r="K79" i="9"/>
  <c r="A79" i="9"/>
  <c r="AG78" i="9"/>
  <c r="V78" i="9"/>
  <c r="K78" i="9"/>
  <c r="A78" i="9"/>
  <c r="AG77" i="9"/>
  <c r="V77" i="9"/>
  <c r="K77" i="9"/>
  <c r="A77" i="9"/>
  <c r="AG76" i="9"/>
  <c r="V76" i="9"/>
  <c r="K76" i="9"/>
  <c r="A76" i="9"/>
  <c r="AQ75" i="9"/>
  <c r="AG75" i="9"/>
  <c r="AE75" i="9"/>
  <c r="V75" i="9"/>
  <c r="K75" i="9"/>
  <c r="A75" i="9"/>
  <c r="A73" i="9"/>
  <c r="A72" i="9"/>
  <c r="A71" i="9"/>
  <c r="A70" i="9"/>
  <c r="A69" i="9"/>
  <c r="A68" i="9"/>
  <c r="A67" i="9"/>
  <c r="A66" i="9"/>
  <c r="A65" i="9"/>
  <c r="A64" i="9"/>
  <c r="K63" i="9"/>
  <c r="A63" i="9"/>
  <c r="K62" i="9"/>
  <c r="AG61" i="9"/>
  <c r="V61" i="9"/>
  <c r="K61" i="9"/>
  <c r="A61" i="9"/>
  <c r="A60" i="9"/>
  <c r="AG59" i="9"/>
  <c r="V59" i="9"/>
  <c r="K59" i="9"/>
  <c r="A59" i="9"/>
  <c r="A58" i="9"/>
  <c r="AG57" i="9"/>
  <c r="V57" i="9"/>
  <c r="K57" i="9"/>
  <c r="A57" i="9"/>
  <c r="AG56" i="9"/>
  <c r="V56" i="9"/>
  <c r="K56" i="9"/>
  <c r="A56" i="9"/>
  <c r="AG55" i="9"/>
  <c r="V55" i="9"/>
  <c r="K55" i="9"/>
  <c r="A55" i="9"/>
  <c r="AG54" i="9"/>
  <c r="V54" i="9"/>
  <c r="K54" i="9"/>
  <c r="A54" i="9"/>
  <c r="AG53" i="9"/>
  <c r="V53" i="9"/>
  <c r="K53" i="9"/>
  <c r="A53" i="9"/>
  <c r="AG52" i="9"/>
  <c r="V52" i="9"/>
  <c r="K52" i="9"/>
  <c r="A52" i="9"/>
  <c r="AG51" i="9"/>
  <c r="V51" i="9"/>
  <c r="K51" i="9"/>
  <c r="A51" i="9"/>
  <c r="AQ50" i="9"/>
  <c r="AG50" i="9"/>
  <c r="AE50" i="9"/>
  <c r="V50" i="9"/>
  <c r="K50" i="9"/>
  <c r="A50" i="9"/>
  <c r="A48" i="9"/>
  <c r="A47" i="9"/>
  <c r="A46" i="9"/>
  <c r="A45" i="9"/>
  <c r="A44" i="9"/>
  <c r="A43" i="9"/>
  <c r="A42" i="9"/>
  <c r="A41" i="9"/>
  <c r="A40" i="9"/>
  <c r="A39" i="9"/>
  <c r="K38" i="9"/>
  <c r="A38" i="9"/>
  <c r="K37" i="9"/>
  <c r="AG36" i="9"/>
  <c r="V36" i="9"/>
  <c r="K36" i="9"/>
  <c r="A36" i="9"/>
  <c r="A35" i="9"/>
  <c r="AG34" i="9"/>
  <c r="V34" i="9"/>
  <c r="K34" i="9"/>
  <c r="A34" i="9"/>
  <c r="A33" i="9"/>
  <c r="AG32" i="9"/>
  <c r="V32" i="9"/>
  <c r="K32" i="9"/>
  <c r="A32" i="9"/>
  <c r="AG31" i="9"/>
  <c r="V31" i="9"/>
  <c r="K31" i="9"/>
  <c r="A31" i="9"/>
  <c r="AG30" i="9"/>
  <c r="V30" i="9"/>
  <c r="K30" i="9"/>
  <c r="A30" i="9"/>
  <c r="AG29" i="9"/>
  <c r="V29" i="9"/>
  <c r="K29" i="9"/>
  <c r="A29" i="9"/>
  <c r="AG28" i="9"/>
  <c r="V28" i="9"/>
  <c r="K28" i="9"/>
  <c r="A28" i="9"/>
  <c r="AG27" i="9"/>
  <c r="V27" i="9"/>
  <c r="K27" i="9"/>
  <c r="A27" i="9"/>
  <c r="AG26" i="9"/>
  <c r="V26" i="9"/>
  <c r="K26" i="9"/>
  <c r="A26" i="9"/>
  <c r="AQ25" i="9"/>
  <c r="AG25" i="9"/>
  <c r="AE25" i="9"/>
  <c r="V25" i="9"/>
  <c r="K25" i="9"/>
  <c r="A25" i="9"/>
  <c r="A23" i="9"/>
  <c r="A21" i="9"/>
  <c r="A20" i="9"/>
  <c r="A19" i="9"/>
  <c r="A18" i="9"/>
  <c r="A17" i="9"/>
  <c r="A16" i="9"/>
  <c r="A15" i="9"/>
  <c r="A13" i="9"/>
  <c r="A12" i="9"/>
  <c r="A11" i="9"/>
  <c r="A10" i="9"/>
  <c r="A9" i="9"/>
  <c r="A8" i="9"/>
  <c r="A7" i="9"/>
  <c r="A6" i="9"/>
  <c r="A5" i="9"/>
  <c r="A4" i="9"/>
  <c r="A3" i="9"/>
  <c r="A2" i="9"/>
  <c r="C125" i="110" l="1"/>
  <c r="C124" i="110"/>
  <c r="H109" i="110"/>
  <c r="G109" i="110"/>
  <c r="C109" i="110"/>
  <c r="C108" i="110"/>
  <c r="AH101" i="110"/>
  <c r="AH97" i="110"/>
  <c r="AH93" i="110"/>
  <c r="H93" i="110"/>
  <c r="G93" i="110"/>
  <c r="C93" i="110"/>
  <c r="C92" i="110"/>
  <c r="K86" i="110"/>
  <c r="P85" i="110"/>
  <c r="K85" i="110"/>
  <c r="P84" i="110"/>
  <c r="K82" i="110"/>
  <c r="F82" i="110"/>
  <c r="AH81" i="110"/>
  <c r="F81" i="110"/>
  <c r="A81" i="110"/>
  <c r="K80" i="110"/>
  <c r="F80" i="110"/>
  <c r="A80" i="110"/>
  <c r="P79" i="110"/>
  <c r="P78" i="110"/>
  <c r="K78" i="110"/>
  <c r="F78" i="110"/>
  <c r="AH77" i="110"/>
  <c r="P77" i="110"/>
  <c r="K77" i="110"/>
  <c r="F77" i="110"/>
  <c r="P76" i="110"/>
  <c r="F75" i="110"/>
  <c r="P74" i="110"/>
  <c r="A73" i="110"/>
  <c r="K72" i="110"/>
  <c r="F72" i="110"/>
  <c r="K70" i="110"/>
  <c r="P68" i="110"/>
  <c r="K68" i="110"/>
  <c r="F68" i="110"/>
  <c r="F67" i="110"/>
  <c r="P66" i="110"/>
  <c r="P62" i="110"/>
  <c r="P60" i="110"/>
  <c r="K59" i="110"/>
  <c r="F56" i="110"/>
  <c r="P55" i="110"/>
  <c r="F55" i="110"/>
  <c r="P54" i="110"/>
  <c r="K54" i="110"/>
  <c r="F54" i="110"/>
  <c r="A54" i="110"/>
  <c r="C52" i="110"/>
  <c r="A52" i="110"/>
  <c r="F50" i="110"/>
  <c r="A50" i="110"/>
  <c r="F49" i="110"/>
  <c r="A49" i="110"/>
  <c r="F48" i="110"/>
  <c r="A48" i="110"/>
  <c r="A47" i="110"/>
  <c r="R46" i="110"/>
  <c r="N46" i="110"/>
  <c r="J46" i="110"/>
  <c r="F46" i="110"/>
  <c r="AH45" i="110"/>
  <c r="F45" i="110"/>
  <c r="A45" i="110"/>
  <c r="F44" i="110"/>
  <c r="A44" i="110"/>
  <c r="F43" i="110"/>
  <c r="A43" i="110"/>
  <c r="F42" i="110"/>
  <c r="A42" i="110"/>
  <c r="AH41" i="110"/>
  <c r="R41" i="110"/>
  <c r="N41" i="110"/>
  <c r="J41" i="110"/>
  <c r="F41" i="110"/>
  <c r="F40" i="110"/>
  <c r="F39" i="110"/>
  <c r="F38" i="110"/>
  <c r="AH37" i="110"/>
  <c r="F37" i="110"/>
  <c r="A37" i="110"/>
  <c r="R36" i="110"/>
  <c r="N36" i="110"/>
  <c r="J36" i="110"/>
  <c r="F35" i="110"/>
  <c r="F34" i="110"/>
  <c r="F33" i="110"/>
  <c r="F32" i="110"/>
  <c r="A32" i="110"/>
  <c r="R31" i="110"/>
  <c r="N31" i="110"/>
  <c r="J31" i="110"/>
  <c r="F31" i="110"/>
  <c r="F30" i="110"/>
  <c r="AH29" i="110"/>
  <c r="F29" i="110"/>
  <c r="F27" i="110"/>
  <c r="A27" i="110"/>
  <c r="N26" i="110"/>
  <c r="J26" i="110"/>
  <c r="F26" i="110"/>
  <c r="AH25" i="110"/>
  <c r="F25" i="110"/>
  <c r="A25" i="110"/>
  <c r="F24" i="110"/>
  <c r="A24" i="110"/>
  <c r="F23" i="110"/>
  <c r="A23" i="110"/>
  <c r="F22" i="110"/>
  <c r="A22" i="110"/>
  <c r="AH21" i="110"/>
  <c r="R21" i="110"/>
  <c r="N21" i="110"/>
  <c r="J21" i="110"/>
  <c r="F21" i="110"/>
  <c r="F20" i="110"/>
  <c r="A20" i="110"/>
  <c r="F19" i="110"/>
  <c r="F18" i="110"/>
  <c r="A18" i="110"/>
  <c r="AH17" i="110"/>
  <c r="F17" i="110"/>
  <c r="A17" i="110"/>
  <c r="R16" i="110"/>
  <c r="N16" i="110"/>
  <c r="J16" i="110"/>
  <c r="F16" i="110"/>
  <c r="A16" i="110"/>
  <c r="F15" i="110"/>
  <c r="A15" i="110"/>
  <c r="F14" i="110"/>
  <c r="AH13" i="110"/>
  <c r="F12" i="110"/>
  <c r="D12" i="110"/>
  <c r="C12" i="110"/>
  <c r="B12" i="110"/>
  <c r="A12" i="110"/>
  <c r="R11" i="110"/>
  <c r="N11" i="110"/>
  <c r="J11" i="110"/>
  <c r="F11" i="110"/>
  <c r="A11" i="110"/>
  <c r="F10" i="110"/>
  <c r="A10" i="110"/>
  <c r="AH9" i="110"/>
  <c r="F9" i="110"/>
  <c r="A9" i="110"/>
  <c r="A8" i="110"/>
  <c r="F7" i="110"/>
  <c r="A7" i="110"/>
  <c r="R6" i="110"/>
  <c r="N6" i="110"/>
  <c r="J6" i="110"/>
  <c r="F6" i="110"/>
  <c r="A6" i="110"/>
  <c r="AH5" i="110"/>
  <c r="F5" i="110"/>
  <c r="A5" i="110"/>
  <c r="F4" i="110"/>
  <c r="A4" i="110"/>
  <c r="F3" i="110"/>
  <c r="A3" i="110"/>
  <c r="F2" i="110"/>
  <c r="A2" i="110"/>
  <c r="AH1" i="110"/>
  <c r="R1" i="110"/>
  <c r="N1" i="110"/>
  <c r="J1" i="110"/>
  <c r="F1" i="110"/>
  <c r="A1" i="110"/>
  <c r="C125" i="113"/>
  <c r="C124" i="113"/>
  <c r="H109" i="113"/>
  <c r="G109" i="113"/>
  <c r="C109" i="113"/>
  <c r="C108" i="113"/>
  <c r="AH101" i="113"/>
  <c r="AH97" i="113"/>
  <c r="AH93" i="113"/>
  <c r="H93" i="113"/>
  <c r="G93" i="113"/>
  <c r="C93" i="113"/>
  <c r="C92" i="113"/>
  <c r="K86" i="113"/>
  <c r="P85" i="113"/>
  <c r="K85" i="113"/>
  <c r="P84" i="113"/>
  <c r="K82" i="113"/>
  <c r="F82" i="113"/>
  <c r="AH81" i="113"/>
  <c r="F81" i="113"/>
  <c r="A81" i="113"/>
  <c r="K80" i="113"/>
  <c r="F80" i="113"/>
  <c r="A80" i="113"/>
  <c r="P79" i="113"/>
  <c r="P78" i="113"/>
  <c r="K78" i="113"/>
  <c r="F78" i="113"/>
  <c r="AH77" i="113"/>
  <c r="P77" i="113"/>
  <c r="K77" i="113"/>
  <c r="F77" i="113"/>
  <c r="P76" i="113"/>
  <c r="F75" i="113"/>
  <c r="P74" i="113"/>
  <c r="A73" i="113"/>
  <c r="K72" i="113"/>
  <c r="F72" i="113"/>
  <c r="K70" i="113"/>
  <c r="P68" i="113"/>
  <c r="K68" i="113"/>
  <c r="F68" i="113"/>
  <c r="F67" i="113"/>
  <c r="P66" i="113"/>
  <c r="P62" i="113"/>
  <c r="P60" i="113"/>
  <c r="K59" i="113"/>
  <c r="F56" i="113"/>
  <c r="P55" i="113"/>
  <c r="F55" i="113"/>
  <c r="P54" i="113"/>
  <c r="K54" i="113"/>
  <c r="F54" i="113"/>
  <c r="A54" i="113"/>
  <c r="C52" i="113"/>
  <c r="A52" i="113"/>
  <c r="F50" i="113"/>
  <c r="A50" i="113"/>
  <c r="F49" i="113"/>
  <c r="A49" i="113"/>
  <c r="F48" i="113"/>
  <c r="A48" i="113"/>
  <c r="A47" i="113"/>
  <c r="R46" i="113"/>
  <c r="N46" i="113"/>
  <c r="J46" i="113"/>
  <c r="F46" i="113"/>
  <c r="AH45" i="113"/>
  <c r="F45" i="113"/>
  <c r="A45" i="113"/>
  <c r="F44" i="113"/>
  <c r="A44" i="113"/>
  <c r="F43" i="113"/>
  <c r="A43" i="113"/>
  <c r="F42" i="113"/>
  <c r="A42" i="113"/>
  <c r="AH41" i="113"/>
  <c r="R41" i="113"/>
  <c r="N41" i="113"/>
  <c r="J41" i="113"/>
  <c r="F41" i="113"/>
  <c r="F40" i="113"/>
  <c r="F39" i="113"/>
  <c r="F38" i="113"/>
  <c r="AH37" i="113"/>
  <c r="F37" i="113"/>
  <c r="A37" i="113"/>
  <c r="R36" i="113"/>
  <c r="N36" i="113"/>
  <c r="J36" i="113"/>
  <c r="F35" i="113"/>
  <c r="F34" i="113"/>
  <c r="F33" i="113"/>
  <c r="F32" i="113"/>
  <c r="A32" i="113"/>
  <c r="R31" i="113"/>
  <c r="N31" i="113"/>
  <c r="J31" i="113"/>
  <c r="F31" i="113"/>
  <c r="F30" i="113"/>
  <c r="AH29" i="113"/>
  <c r="F29" i="113"/>
  <c r="F27" i="113"/>
  <c r="A27" i="113"/>
  <c r="N26" i="113"/>
  <c r="J26" i="113"/>
  <c r="F26" i="113"/>
  <c r="AH25" i="113"/>
  <c r="F25" i="113"/>
  <c r="A25" i="113"/>
  <c r="F24" i="113"/>
  <c r="A24" i="113"/>
  <c r="F23" i="113"/>
  <c r="A23" i="113"/>
  <c r="F22" i="113"/>
  <c r="A22" i="113"/>
  <c r="AH21" i="113"/>
  <c r="R21" i="113"/>
  <c r="N21" i="113"/>
  <c r="J21" i="113"/>
  <c r="F21" i="113"/>
  <c r="F20" i="113"/>
  <c r="A20" i="113"/>
  <c r="F19" i="113"/>
  <c r="F18" i="113"/>
  <c r="A18" i="113"/>
  <c r="AH17" i="113"/>
  <c r="F17" i="113"/>
  <c r="A17" i="113"/>
  <c r="R16" i="113"/>
  <c r="N16" i="113"/>
  <c r="J16" i="113"/>
  <c r="F16" i="113"/>
  <c r="A16" i="113"/>
  <c r="F15" i="113"/>
  <c r="A15" i="113"/>
  <c r="F14" i="113"/>
  <c r="AH13" i="113"/>
  <c r="F12" i="113"/>
  <c r="D12" i="113"/>
  <c r="C12" i="113"/>
  <c r="B12" i="113"/>
  <c r="A12" i="113"/>
  <c r="R11" i="113"/>
  <c r="N11" i="113"/>
  <c r="J11" i="113"/>
  <c r="F11" i="113"/>
  <c r="A11" i="113"/>
  <c r="F10" i="113"/>
  <c r="A10" i="113"/>
  <c r="AH9" i="113"/>
  <c r="F9" i="113"/>
  <c r="A9" i="113"/>
  <c r="A8" i="113"/>
  <c r="F7" i="113"/>
  <c r="A7" i="113"/>
  <c r="R6" i="113"/>
  <c r="N6" i="113"/>
  <c r="J6" i="113"/>
  <c r="F6" i="113"/>
  <c r="A6" i="113"/>
  <c r="AH5" i="113"/>
  <c r="F5" i="113"/>
  <c r="A5" i="113"/>
  <c r="F4" i="113"/>
  <c r="A4" i="113"/>
  <c r="F3" i="113"/>
  <c r="A3" i="113"/>
  <c r="F2" i="113"/>
  <c r="A2" i="113"/>
  <c r="AH1" i="113"/>
  <c r="R1" i="113"/>
  <c r="N1" i="113"/>
  <c r="J1" i="113"/>
  <c r="F1" i="113"/>
  <c r="A1" i="113"/>
  <c r="C125" i="114"/>
  <c r="C124" i="114"/>
  <c r="H109" i="114"/>
  <c r="G109" i="114"/>
  <c r="C109" i="114"/>
  <c r="C108" i="114"/>
  <c r="AH101" i="114"/>
  <c r="AH97" i="114"/>
  <c r="AH93" i="114"/>
  <c r="H93" i="114"/>
  <c r="G93" i="114"/>
  <c r="C93" i="114"/>
  <c r="C92" i="114"/>
  <c r="K86" i="114"/>
  <c r="P85" i="114"/>
  <c r="K85" i="114"/>
  <c r="P84" i="114"/>
  <c r="K82" i="114"/>
  <c r="F82" i="114"/>
  <c r="AH81" i="114"/>
  <c r="F81" i="114"/>
  <c r="A81" i="114"/>
  <c r="K80" i="114"/>
  <c r="F80" i="114"/>
  <c r="A80" i="114"/>
  <c r="P79" i="114"/>
  <c r="P78" i="114"/>
  <c r="K78" i="114"/>
  <c r="F78" i="114"/>
  <c r="AH77" i="114"/>
  <c r="P77" i="114"/>
  <c r="K77" i="114"/>
  <c r="F77" i="114"/>
  <c r="P76" i="114"/>
  <c r="F75" i="114"/>
  <c r="P74" i="114"/>
  <c r="A73" i="114"/>
  <c r="K72" i="114"/>
  <c r="F72" i="114"/>
  <c r="K70" i="114"/>
  <c r="P68" i="114"/>
  <c r="K68" i="114"/>
  <c r="F68" i="114"/>
  <c r="F67" i="114"/>
  <c r="P66" i="114"/>
  <c r="P62" i="114"/>
  <c r="P60" i="114"/>
  <c r="K59" i="114"/>
  <c r="F56" i="114"/>
  <c r="P55" i="114"/>
  <c r="F55" i="114"/>
  <c r="P54" i="114"/>
  <c r="K54" i="114"/>
  <c r="F54" i="114"/>
  <c r="A54" i="114"/>
  <c r="C52" i="114"/>
  <c r="A52" i="114"/>
  <c r="F50" i="114"/>
  <c r="A50" i="114"/>
  <c r="F49" i="114"/>
  <c r="A49" i="114"/>
  <c r="F48" i="114"/>
  <c r="A48" i="114"/>
  <c r="A47" i="114"/>
  <c r="R46" i="114"/>
  <c r="N46" i="114"/>
  <c r="J46" i="114"/>
  <c r="F46" i="114"/>
  <c r="AH45" i="114"/>
  <c r="F45" i="114"/>
  <c r="A45" i="114"/>
  <c r="F44" i="114"/>
  <c r="A44" i="114"/>
  <c r="F43" i="114"/>
  <c r="A43" i="114"/>
  <c r="F42" i="114"/>
  <c r="A42" i="114"/>
  <c r="AH41" i="114"/>
  <c r="R41" i="114"/>
  <c r="N41" i="114"/>
  <c r="J41" i="114"/>
  <c r="F41" i="114"/>
  <c r="F40" i="114"/>
  <c r="F39" i="114"/>
  <c r="F38" i="114"/>
  <c r="AH37" i="114"/>
  <c r="F37" i="114"/>
  <c r="A37" i="114"/>
  <c r="R36" i="114"/>
  <c r="N36" i="114"/>
  <c r="J36" i="114"/>
  <c r="F35" i="114"/>
  <c r="F34" i="114"/>
  <c r="F33" i="114"/>
  <c r="F32" i="114"/>
  <c r="A32" i="114"/>
  <c r="R31" i="114"/>
  <c r="N31" i="114"/>
  <c r="J31" i="114"/>
  <c r="F31" i="114"/>
  <c r="F30" i="114"/>
  <c r="AH29" i="114"/>
  <c r="F29" i="114"/>
  <c r="F27" i="114"/>
  <c r="A27" i="114"/>
  <c r="N26" i="114"/>
  <c r="J26" i="114"/>
  <c r="F26" i="114"/>
  <c r="AH25" i="114"/>
  <c r="F25" i="114"/>
  <c r="A25" i="114"/>
  <c r="F24" i="114"/>
  <c r="A24" i="114"/>
  <c r="F23" i="114"/>
  <c r="A23" i="114"/>
  <c r="F22" i="114"/>
  <c r="A22" i="114"/>
  <c r="AH21" i="114"/>
  <c r="R21" i="114"/>
  <c r="N21" i="114"/>
  <c r="J21" i="114"/>
  <c r="F21" i="114"/>
  <c r="F20" i="114"/>
  <c r="A20" i="114"/>
  <c r="F19" i="114"/>
  <c r="F18" i="114"/>
  <c r="A18" i="114"/>
  <c r="AH17" i="114"/>
  <c r="F17" i="114"/>
  <c r="A17" i="114"/>
  <c r="R16" i="114"/>
  <c r="N16" i="114"/>
  <c r="J16" i="114"/>
  <c r="F16" i="114"/>
  <c r="A16" i="114"/>
  <c r="F15" i="114"/>
  <c r="A15" i="114"/>
  <c r="F14" i="114"/>
  <c r="AH13" i="114"/>
  <c r="F12" i="114"/>
  <c r="D12" i="114"/>
  <c r="C12" i="114"/>
  <c r="B12" i="114"/>
  <c r="A12" i="114"/>
  <c r="R11" i="114"/>
  <c r="N11" i="114"/>
  <c r="J11" i="114"/>
  <c r="F11" i="114"/>
  <c r="A11" i="114"/>
  <c r="F10" i="114"/>
  <c r="A10" i="114"/>
  <c r="AH9" i="114"/>
  <c r="F9" i="114"/>
  <c r="A9" i="114"/>
  <c r="A8" i="114"/>
  <c r="F7" i="114"/>
  <c r="A7" i="114"/>
  <c r="R6" i="114"/>
  <c r="N6" i="114"/>
  <c r="J6" i="114"/>
  <c r="F6" i="114"/>
  <c r="A6" i="114"/>
  <c r="AH5" i="114"/>
  <c r="F5" i="114"/>
  <c r="A5" i="114"/>
  <c r="F4" i="114"/>
  <c r="A4" i="114"/>
  <c r="F3" i="114"/>
  <c r="A3" i="114"/>
  <c r="F2" i="114"/>
  <c r="A2" i="114"/>
  <c r="AH1" i="114"/>
  <c r="R1" i="114"/>
  <c r="N1" i="114"/>
  <c r="J1" i="114"/>
  <c r="F1" i="114"/>
  <c r="A1" i="114"/>
  <c r="C125" i="115"/>
  <c r="C124" i="115"/>
  <c r="H109" i="115"/>
  <c r="G109" i="115"/>
  <c r="C109" i="115"/>
  <c r="C108" i="115"/>
  <c r="AH101" i="115"/>
  <c r="AH97" i="115"/>
  <c r="AH93" i="115"/>
  <c r="H93" i="115"/>
  <c r="G93" i="115"/>
  <c r="C93" i="115"/>
  <c r="C92" i="115"/>
  <c r="K86" i="115"/>
  <c r="P85" i="115"/>
  <c r="K85" i="115"/>
  <c r="P84" i="115"/>
  <c r="K82" i="115"/>
  <c r="F82" i="115"/>
  <c r="AH81" i="115"/>
  <c r="F81" i="115"/>
  <c r="A81" i="115"/>
  <c r="K80" i="115"/>
  <c r="F80" i="115"/>
  <c r="A80" i="115"/>
  <c r="P79" i="115"/>
  <c r="P78" i="115"/>
  <c r="K78" i="115"/>
  <c r="F78" i="115"/>
  <c r="AH77" i="115"/>
  <c r="P77" i="115"/>
  <c r="K77" i="115"/>
  <c r="F77" i="115"/>
  <c r="P76" i="115"/>
  <c r="F75" i="115"/>
  <c r="P74" i="115"/>
  <c r="A73" i="115"/>
  <c r="K72" i="115"/>
  <c r="F72" i="115"/>
  <c r="K70" i="115"/>
  <c r="P68" i="115"/>
  <c r="K68" i="115"/>
  <c r="F68" i="115"/>
  <c r="F67" i="115"/>
  <c r="P66" i="115"/>
  <c r="P62" i="115"/>
  <c r="P60" i="115"/>
  <c r="K59" i="115"/>
  <c r="F56" i="115"/>
  <c r="P55" i="115"/>
  <c r="F55" i="115"/>
  <c r="P54" i="115"/>
  <c r="K54" i="115"/>
  <c r="F54" i="115"/>
  <c r="A54" i="115"/>
  <c r="C52" i="115"/>
  <c r="A52" i="115"/>
  <c r="F50" i="115"/>
  <c r="A50" i="115"/>
  <c r="F49" i="115"/>
  <c r="A49" i="115"/>
  <c r="F48" i="115"/>
  <c r="A48" i="115"/>
  <c r="A47" i="115"/>
  <c r="R46" i="115"/>
  <c r="N46" i="115"/>
  <c r="J46" i="115"/>
  <c r="F46" i="115"/>
  <c r="AH45" i="115"/>
  <c r="F45" i="115"/>
  <c r="A45" i="115"/>
  <c r="F44" i="115"/>
  <c r="A44" i="115"/>
  <c r="F43" i="115"/>
  <c r="A43" i="115"/>
  <c r="F42" i="115"/>
  <c r="A42" i="115"/>
  <c r="AH41" i="115"/>
  <c r="R41" i="115"/>
  <c r="N41" i="115"/>
  <c r="J41" i="115"/>
  <c r="F41" i="115"/>
  <c r="F40" i="115"/>
  <c r="F39" i="115"/>
  <c r="F38" i="115"/>
  <c r="AH37" i="115"/>
  <c r="F37" i="115"/>
  <c r="A37" i="115"/>
  <c r="R36" i="115"/>
  <c r="N36" i="115"/>
  <c r="J36" i="115"/>
  <c r="F35" i="115"/>
  <c r="F34" i="115"/>
  <c r="F33" i="115"/>
  <c r="F32" i="115"/>
  <c r="A32" i="115"/>
  <c r="R31" i="115"/>
  <c r="N31" i="115"/>
  <c r="J31" i="115"/>
  <c r="F31" i="115"/>
  <c r="F30" i="115"/>
  <c r="AH29" i="115"/>
  <c r="F29" i="115"/>
  <c r="F27" i="115"/>
  <c r="A27" i="115"/>
  <c r="N26" i="115"/>
  <c r="J26" i="115"/>
  <c r="F26" i="115"/>
  <c r="AH25" i="115"/>
  <c r="F25" i="115"/>
  <c r="A25" i="115"/>
  <c r="F24" i="115"/>
  <c r="A24" i="115"/>
  <c r="F23" i="115"/>
  <c r="A23" i="115"/>
  <c r="F22" i="115"/>
  <c r="A22" i="115"/>
  <c r="AH21" i="115"/>
  <c r="R21" i="115"/>
  <c r="N21" i="115"/>
  <c r="J21" i="115"/>
  <c r="F21" i="115"/>
  <c r="F20" i="115"/>
  <c r="A20" i="115"/>
  <c r="F19" i="115"/>
  <c r="F18" i="115"/>
  <c r="A18" i="115"/>
  <c r="AH17" i="115"/>
  <c r="F17" i="115"/>
  <c r="A17" i="115"/>
  <c r="R16" i="115"/>
  <c r="N16" i="115"/>
  <c r="J16" i="115"/>
  <c r="F16" i="115"/>
  <c r="A16" i="115"/>
  <c r="F15" i="115"/>
  <c r="A15" i="115"/>
  <c r="F14" i="115"/>
  <c r="AH13" i="115"/>
  <c r="F12" i="115"/>
  <c r="D12" i="115"/>
  <c r="C12" i="115"/>
  <c r="B12" i="115"/>
  <c r="A12" i="115"/>
  <c r="R11" i="115"/>
  <c r="N11" i="115"/>
  <c r="J11" i="115"/>
  <c r="F11" i="115"/>
  <c r="A11" i="115"/>
  <c r="F10" i="115"/>
  <c r="A10" i="115"/>
  <c r="AH9" i="115"/>
  <c r="F9" i="115"/>
  <c r="A9" i="115"/>
  <c r="A8" i="115"/>
  <c r="F7" i="115"/>
  <c r="A7" i="115"/>
  <c r="R6" i="115"/>
  <c r="N6" i="115"/>
  <c r="J6" i="115"/>
  <c r="F6" i="115"/>
  <c r="A6" i="115"/>
  <c r="AH5" i="115"/>
  <c r="F5" i="115"/>
  <c r="A5" i="115"/>
  <c r="F4" i="115"/>
  <c r="A4" i="115"/>
  <c r="F3" i="115"/>
  <c r="A3" i="115"/>
  <c r="F2" i="115"/>
  <c r="A2" i="115"/>
  <c r="AH1" i="115"/>
  <c r="R1" i="115"/>
  <c r="N1" i="115"/>
  <c r="J1" i="115"/>
  <c r="F1" i="115"/>
  <c r="A1" i="115"/>
  <c r="C125" i="116"/>
  <c r="C124" i="116"/>
  <c r="H109" i="116"/>
  <c r="G109" i="116"/>
  <c r="C109" i="116"/>
  <c r="C108" i="116"/>
  <c r="AH101" i="116"/>
  <c r="AH97" i="116"/>
  <c r="AH93" i="116"/>
  <c r="H93" i="116"/>
  <c r="G93" i="116"/>
  <c r="C93" i="116"/>
  <c r="C92" i="116"/>
  <c r="K86" i="116"/>
  <c r="P85" i="116"/>
  <c r="K85" i="116"/>
  <c r="P84" i="116"/>
  <c r="K82" i="116"/>
  <c r="F82" i="116"/>
  <c r="AH81" i="116"/>
  <c r="F81" i="116"/>
  <c r="A81" i="116"/>
  <c r="K80" i="116"/>
  <c r="F80" i="116"/>
  <c r="A80" i="116"/>
  <c r="P79" i="116"/>
  <c r="P78" i="116"/>
  <c r="K78" i="116"/>
  <c r="F78" i="116"/>
  <c r="AH77" i="116"/>
  <c r="P77" i="116"/>
  <c r="K77" i="116"/>
  <c r="F77" i="116"/>
  <c r="P76" i="116"/>
  <c r="F75" i="116"/>
  <c r="P74" i="116"/>
  <c r="A73" i="116"/>
  <c r="K72" i="116"/>
  <c r="F72" i="116"/>
  <c r="A71" i="116"/>
  <c r="K70" i="116"/>
  <c r="AH69" i="116"/>
  <c r="P68" i="116"/>
  <c r="K68" i="116"/>
  <c r="F68" i="116"/>
  <c r="F67" i="116"/>
  <c r="A67" i="116"/>
  <c r="P66" i="116"/>
  <c r="A66" i="116"/>
  <c r="A65" i="116"/>
  <c r="P62" i="116"/>
  <c r="P60" i="116"/>
  <c r="K59" i="116"/>
  <c r="F56" i="116"/>
  <c r="P55" i="116"/>
  <c r="F55" i="116"/>
  <c r="P54" i="116"/>
  <c r="K54" i="116"/>
  <c r="F54" i="116"/>
  <c r="A54" i="116"/>
  <c r="AH53" i="116"/>
  <c r="C52" i="116"/>
  <c r="A52" i="116"/>
  <c r="F50" i="116"/>
  <c r="A50" i="116"/>
  <c r="F49" i="116"/>
  <c r="A49" i="116"/>
  <c r="F48" i="116"/>
  <c r="A48" i="116"/>
  <c r="A47" i="116"/>
  <c r="R46" i="116"/>
  <c r="N46" i="116"/>
  <c r="J46" i="116"/>
  <c r="F46" i="116"/>
  <c r="AH45" i="116"/>
  <c r="F45" i="116"/>
  <c r="A45" i="116"/>
  <c r="F44" i="116"/>
  <c r="A44" i="116"/>
  <c r="F43" i="116"/>
  <c r="A43" i="116"/>
  <c r="F42" i="116"/>
  <c r="A42" i="116"/>
  <c r="AH41" i="116"/>
  <c r="R41" i="116"/>
  <c r="N41" i="116"/>
  <c r="J41" i="116"/>
  <c r="F41" i="116"/>
  <c r="F40" i="116"/>
  <c r="F39" i="116"/>
  <c r="F38" i="116"/>
  <c r="AH37" i="116"/>
  <c r="F37" i="116"/>
  <c r="A37" i="116"/>
  <c r="R36" i="116"/>
  <c r="N36" i="116"/>
  <c r="J36" i="116"/>
  <c r="F35" i="116"/>
  <c r="F34" i="116"/>
  <c r="F33" i="116"/>
  <c r="F32" i="116"/>
  <c r="A32" i="116"/>
  <c r="R31" i="116"/>
  <c r="N31" i="116"/>
  <c r="J31" i="116"/>
  <c r="F31" i="116"/>
  <c r="F30" i="116"/>
  <c r="AH29" i="116"/>
  <c r="F29" i="116"/>
  <c r="F27" i="116"/>
  <c r="A27" i="116"/>
  <c r="N26" i="116"/>
  <c r="J26" i="116"/>
  <c r="F26" i="116"/>
  <c r="AH25" i="116"/>
  <c r="F25" i="116"/>
  <c r="A25" i="116"/>
  <c r="F24" i="116"/>
  <c r="A24" i="116"/>
  <c r="F23" i="116"/>
  <c r="A23" i="116"/>
  <c r="F22" i="116"/>
  <c r="A22" i="116"/>
  <c r="AH21" i="116"/>
  <c r="R21" i="116"/>
  <c r="N21" i="116"/>
  <c r="J21" i="116"/>
  <c r="F21" i="116"/>
  <c r="F20" i="116"/>
  <c r="A20" i="116"/>
  <c r="F19" i="116"/>
  <c r="F18" i="116"/>
  <c r="A18" i="116"/>
  <c r="AH17" i="116"/>
  <c r="F17" i="116"/>
  <c r="A17" i="116"/>
  <c r="R16" i="116"/>
  <c r="N16" i="116"/>
  <c r="J16" i="116"/>
  <c r="F16" i="116"/>
  <c r="A16" i="116"/>
  <c r="F15" i="116"/>
  <c r="A15" i="116"/>
  <c r="F14" i="116"/>
  <c r="AH13" i="116"/>
  <c r="F12" i="116"/>
  <c r="D12" i="116"/>
  <c r="C12" i="116"/>
  <c r="B12" i="116"/>
  <c r="A12" i="116"/>
  <c r="R11" i="116"/>
  <c r="N11" i="116"/>
  <c r="J11" i="116"/>
  <c r="F11" i="116"/>
  <c r="A11" i="116"/>
  <c r="F10" i="116"/>
  <c r="A10" i="116"/>
  <c r="AH9" i="116"/>
  <c r="F9" i="116"/>
  <c r="A9" i="116"/>
  <c r="A8" i="116"/>
  <c r="F7" i="116"/>
  <c r="A7" i="116"/>
  <c r="R6" i="116"/>
  <c r="N6" i="116"/>
  <c r="J6" i="116"/>
  <c r="F6" i="116"/>
  <c r="A6" i="116"/>
  <c r="AH5" i="116"/>
  <c r="F5" i="116"/>
  <c r="A5" i="116"/>
  <c r="F4" i="116"/>
  <c r="A4" i="116"/>
  <c r="F3" i="116"/>
  <c r="A3" i="116"/>
  <c r="F2" i="116"/>
  <c r="A2" i="116"/>
  <c r="AH1" i="116"/>
  <c r="R1" i="116"/>
  <c r="N1" i="116"/>
  <c r="J1" i="116"/>
  <c r="F1" i="116"/>
  <c r="A1" i="116"/>
  <c r="S193" i="124" l="1"/>
  <c r="R37" i="94" l="1"/>
  <c r="R38" i="94"/>
  <c r="R39" i="94"/>
  <c r="R40" i="94"/>
  <c r="R41" i="94"/>
  <c r="R36" i="94"/>
  <c r="R32" i="94" l="1"/>
  <c r="R33" i="94"/>
  <c r="R34" i="94"/>
  <c r="R35" i="94"/>
  <c r="R31" i="94"/>
  <c r="R30" i="94"/>
  <c r="D24" i="114" l="1"/>
  <c r="X18" i="8"/>
  <c r="E92" i="124" l="1"/>
  <c r="Y33" i="5" l="1"/>
  <c r="L4" i="115" s="1"/>
  <c r="W33" i="5"/>
  <c r="K4" i="115" s="1"/>
  <c r="U33" i="5"/>
  <c r="J4" i="115" s="1"/>
  <c r="Y32" i="5"/>
  <c r="L3" i="115" s="1"/>
  <c r="W32" i="5"/>
  <c r="K3" i="115" s="1"/>
  <c r="U32" i="5"/>
  <c r="J3" i="115" s="1"/>
  <c r="Y31" i="5"/>
  <c r="L2" i="115" s="1"/>
  <c r="W31" i="5"/>
  <c r="K2" i="115" s="1"/>
  <c r="U31" i="5"/>
  <c r="J2" i="115" s="1"/>
  <c r="Y28" i="5"/>
  <c r="W28" i="5"/>
  <c r="U28" i="5"/>
  <c r="Y27" i="5"/>
  <c r="W27" i="5"/>
  <c r="U27" i="5"/>
  <c r="Y24" i="5"/>
  <c r="W24" i="5"/>
  <c r="U24" i="5"/>
  <c r="Y23" i="5"/>
  <c r="W23" i="5"/>
  <c r="U23" i="5"/>
  <c r="Y22" i="5"/>
  <c r="W22" i="5"/>
  <c r="U22" i="5"/>
  <c r="Y19" i="5"/>
  <c r="W19" i="5"/>
  <c r="U19" i="5"/>
  <c r="Y18" i="5"/>
  <c r="W18" i="5"/>
  <c r="U18" i="5"/>
  <c r="Y17" i="5"/>
  <c r="W17" i="5"/>
  <c r="U17" i="5"/>
  <c r="Y14" i="5"/>
  <c r="W14" i="5"/>
  <c r="U14" i="5"/>
  <c r="Y13" i="5"/>
  <c r="W13" i="5"/>
  <c r="U13" i="5"/>
  <c r="Y12" i="5"/>
  <c r="W12" i="5"/>
  <c r="U12" i="5"/>
  <c r="Y9" i="5"/>
  <c r="X9" i="5"/>
  <c r="W9" i="5"/>
  <c r="V9" i="5"/>
  <c r="U9" i="5"/>
  <c r="Y8" i="5"/>
  <c r="W8" i="5"/>
  <c r="U8" i="5"/>
  <c r="Y7" i="5"/>
  <c r="W7" i="5"/>
  <c r="U7" i="5"/>
  <c r="Y6" i="5"/>
  <c r="W6" i="5"/>
  <c r="U6" i="5"/>
  <c r="O8" i="115" l="1"/>
  <c r="G8" i="124"/>
  <c r="O7" i="115"/>
  <c r="G7" i="124"/>
  <c r="H8" i="124"/>
  <c r="P8" i="115"/>
  <c r="H9" i="124"/>
  <c r="P9" i="115"/>
  <c r="P7" i="115"/>
  <c r="H7" i="124"/>
  <c r="F9" i="124"/>
  <c r="N9" i="115"/>
  <c r="N7" i="115"/>
  <c r="F7" i="124"/>
  <c r="N8" i="115"/>
  <c r="F8" i="124"/>
  <c r="O9" i="115"/>
  <c r="G9" i="124"/>
  <c r="P1" i="124" l="1"/>
  <c r="P6" i="124"/>
  <c r="P11" i="124"/>
  <c r="P12" i="124"/>
  <c r="Q12" i="124"/>
  <c r="R12" i="124"/>
  <c r="P13" i="124"/>
  <c r="Q13" i="124"/>
  <c r="R13" i="124"/>
  <c r="P14" i="124"/>
  <c r="Q14" i="124"/>
  <c r="R14" i="124"/>
  <c r="P16" i="124"/>
  <c r="P21" i="124"/>
  <c r="P26" i="124"/>
  <c r="P31" i="124"/>
  <c r="P36" i="124"/>
  <c r="P41" i="124"/>
  <c r="P46" i="124"/>
  <c r="P51" i="124"/>
  <c r="P56" i="124"/>
  <c r="P61" i="124"/>
  <c r="P66" i="124"/>
  <c r="P71" i="124"/>
  <c r="P76" i="124"/>
  <c r="P81" i="124"/>
  <c r="P86" i="124"/>
  <c r="P96" i="124"/>
  <c r="G44" i="33" l="1"/>
  <c r="G39" i="33"/>
  <c r="G37" i="33"/>
  <c r="G31" i="33"/>
  <c r="O30" i="33"/>
  <c r="O26" i="33"/>
  <c r="W1" i="32"/>
  <c r="V1" i="32"/>
  <c r="G44" i="35"/>
  <c r="G39" i="35"/>
  <c r="G37" i="35"/>
  <c r="G31" i="35"/>
  <c r="O30" i="35"/>
  <c r="O26" i="35"/>
  <c r="W1" i="31"/>
  <c r="V1" i="31"/>
  <c r="G44" i="34"/>
  <c r="G39" i="34"/>
  <c r="G37" i="34"/>
  <c r="G31" i="34"/>
  <c r="O30" i="34"/>
  <c r="O26" i="34"/>
  <c r="W1" i="30"/>
  <c r="V1" i="30"/>
  <c r="G44" i="29"/>
  <c r="G39" i="29"/>
  <c r="G37" i="29"/>
  <c r="G31" i="29"/>
  <c r="O30" i="29"/>
  <c r="O26" i="29"/>
  <c r="W1" i="28"/>
  <c r="V1" i="28"/>
  <c r="G44" i="5"/>
  <c r="G39" i="5"/>
  <c r="G37" i="5"/>
  <c r="G31" i="5"/>
  <c r="O30" i="5"/>
  <c r="O26" i="5"/>
  <c r="W1" i="4"/>
  <c r="V1" i="4"/>
  <c r="G44" i="72"/>
  <c r="G39" i="72"/>
  <c r="G37" i="72"/>
  <c r="G31" i="72"/>
  <c r="O30" i="72"/>
  <c r="O26" i="72"/>
  <c r="W1" i="71"/>
  <c r="V1" i="71"/>
  <c r="G44" i="68"/>
  <c r="G39" i="68"/>
  <c r="G37" i="68"/>
  <c r="G31" i="68"/>
  <c r="O30" i="68"/>
  <c r="O26" i="68"/>
  <c r="W1" i="67"/>
  <c r="V1" i="67"/>
  <c r="G44" i="64"/>
  <c r="G39" i="64"/>
  <c r="G37" i="64"/>
  <c r="G31" i="64"/>
  <c r="O30" i="64"/>
  <c r="O26" i="64"/>
  <c r="W1" i="63"/>
  <c r="V1" i="63"/>
  <c r="W1" i="59"/>
  <c r="V1" i="59"/>
  <c r="G44" i="60"/>
  <c r="G39" i="60"/>
  <c r="G37" i="60"/>
  <c r="G31" i="60"/>
  <c r="O30" i="60"/>
  <c r="O26" i="60"/>
  <c r="U248" i="124" l="1"/>
  <c r="P248" i="124"/>
  <c r="K248" i="124"/>
  <c r="F248" i="124"/>
  <c r="U243" i="124"/>
  <c r="P243" i="124"/>
  <c r="K243" i="124"/>
  <c r="F243" i="124"/>
  <c r="U238" i="124"/>
  <c r="P238" i="124"/>
  <c r="K238" i="124"/>
  <c r="F238" i="124"/>
  <c r="U233" i="124"/>
  <c r="P233" i="124"/>
  <c r="K233" i="124"/>
  <c r="F233" i="124"/>
  <c r="U228" i="124"/>
  <c r="P228" i="124"/>
  <c r="K228" i="124"/>
  <c r="F228" i="124"/>
  <c r="U223" i="124"/>
  <c r="P223" i="124"/>
  <c r="K223" i="124"/>
  <c r="F223" i="124"/>
  <c r="U218" i="124"/>
  <c r="P218" i="124"/>
  <c r="K218" i="124"/>
  <c r="F218" i="124"/>
  <c r="U213" i="124"/>
  <c r="P213" i="124"/>
  <c r="K213" i="124"/>
  <c r="F213" i="124"/>
  <c r="U208" i="124"/>
  <c r="P208" i="124"/>
  <c r="K208" i="124"/>
  <c r="F208" i="124"/>
  <c r="U203" i="124"/>
  <c r="P203" i="124"/>
  <c r="K203" i="124"/>
  <c r="F203" i="124"/>
  <c r="U188" i="124"/>
  <c r="P188" i="124"/>
  <c r="K188" i="124"/>
  <c r="F188" i="124"/>
  <c r="U180" i="124"/>
  <c r="P180" i="124"/>
  <c r="K180" i="124"/>
  <c r="F180" i="124"/>
  <c r="U165" i="124"/>
  <c r="P165" i="124"/>
  <c r="K165" i="124"/>
  <c r="F165" i="124"/>
  <c r="U152" i="124"/>
  <c r="P152" i="124"/>
  <c r="K152" i="124"/>
  <c r="F152" i="124"/>
  <c r="U147" i="124"/>
  <c r="P147" i="124"/>
  <c r="K147" i="124"/>
  <c r="F147" i="124"/>
  <c r="U142" i="124"/>
  <c r="P142" i="124"/>
  <c r="K142" i="124"/>
  <c r="F142" i="124"/>
  <c r="U137" i="124"/>
  <c r="P137" i="124"/>
  <c r="K137" i="124"/>
  <c r="F137" i="124"/>
  <c r="U132" i="124"/>
  <c r="P132" i="124"/>
  <c r="K132" i="124"/>
  <c r="F132" i="124"/>
  <c r="U127" i="124"/>
  <c r="P127" i="124"/>
  <c r="K127" i="124"/>
  <c r="F127" i="124"/>
  <c r="U115" i="124"/>
  <c r="P115" i="124"/>
  <c r="K115" i="124"/>
  <c r="F115" i="124"/>
  <c r="U101" i="124"/>
  <c r="P101" i="124"/>
  <c r="K101" i="124"/>
  <c r="F101" i="124"/>
  <c r="U41" i="124"/>
  <c r="K41" i="124"/>
  <c r="F41" i="124"/>
  <c r="U46" i="124"/>
  <c r="K46" i="124"/>
  <c r="F46" i="124"/>
  <c r="U96" i="124"/>
  <c r="K96" i="124"/>
  <c r="F96" i="124"/>
  <c r="U86" i="124"/>
  <c r="K86" i="124"/>
  <c r="F86" i="124"/>
  <c r="U81" i="124"/>
  <c r="K81" i="124"/>
  <c r="F81" i="124"/>
  <c r="U76" i="124"/>
  <c r="K76" i="124"/>
  <c r="U71" i="124"/>
  <c r="K71" i="124"/>
  <c r="F71" i="124"/>
  <c r="U66" i="124"/>
  <c r="K66" i="124"/>
  <c r="F66" i="124"/>
  <c r="U61" i="124"/>
  <c r="K61" i="124"/>
  <c r="F61" i="124"/>
  <c r="U56" i="124"/>
  <c r="K56" i="124"/>
  <c r="F56" i="124"/>
  <c r="U51" i="124"/>
  <c r="K51" i="124"/>
  <c r="F51" i="124"/>
  <c r="U36" i="124"/>
  <c r="K36" i="124"/>
  <c r="F36" i="124"/>
  <c r="U31" i="124"/>
  <c r="K31" i="124"/>
  <c r="F31" i="124"/>
  <c r="U26" i="124"/>
  <c r="K26" i="124"/>
  <c r="F26" i="124"/>
  <c r="U21" i="124"/>
  <c r="K21" i="124"/>
  <c r="F21" i="124"/>
  <c r="U16" i="124"/>
  <c r="K16" i="124"/>
  <c r="F16" i="124"/>
  <c r="U11" i="124"/>
  <c r="K11" i="124"/>
  <c r="F11" i="124"/>
  <c r="U6" i="124"/>
  <c r="K6" i="124"/>
  <c r="F6" i="124"/>
  <c r="U1" i="124"/>
  <c r="K1" i="124"/>
  <c r="F1" i="124"/>
  <c r="M110" i="84" l="1"/>
  <c r="L110" i="84"/>
  <c r="K110" i="84"/>
  <c r="J110" i="84"/>
  <c r="I110" i="84"/>
  <c r="H110" i="84"/>
  <c r="G110" i="84"/>
  <c r="F110" i="84"/>
  <c r="M109" i="84"/>
  <c r="L109" i="84"/>
  <c r="K109" i="84"/>
  <c r="J109" i="84"/>
  <c r="I109" i="84"/>
  <c r="H109" i="84"/>
  <c r="G109" i="84"/>
  <c r="F109" i="84"/>
  <c r="M108" i="84"/>
  <c r="L108" i="84"/>
  <c r="K108" i="84"/>
  <c r="J108" i="84"/>
  <c r="I108" i="84"/>
  <c r="H108" i="84"/>
  <c r="G108" i="84"/>
  <c r="F108" i="84"/>
  <c r="M107" i="84"/>
  <c r="L107" i="84"/>
  <c r="K107" i="84"/>
  <c r="J107" i="84"/>
  <c r="I107" i="84"/>
  <c r="H107" i="84"/>
  <c r="G107" i="84"/>
  <c r="F107" i="84"/>
  <c r="M105" i="84"/>
  <c r="L105" i="84"/>
  <c r="K105" i="84"/>
  <c r="J105" i="84"/>
  <c r="I105" i="84"/>
  <c r="H105" i="84"/>
  <c r="G105" i="84"/>
  <c r="F105" i="84"/>
  <c r="M104" i="84"/>
  <c r="L104" i="84"/>
  <c r="K104" i="84"/>
  <c r="J104" i="84"/>
  <c r="I104" i="84"/>
  <c r="H104" i="84"/>
  <c r="G104" i="84"/>
  <c r="F104" i="84"/>
  <c r="M103" i="84"/>
  <c r="L103" i="84"/>
  <c r="K103" i="84"/>
  <c r="J103" i="84"/>
  <c r="I103" i="84"/>
  <c r="H103" i="84"/>
  <c r="G103" i="84"/>
  <c r="F103" i="84"/>
  <c r="K102" i="84"/>
  <c r="M99" i="84"/>
  <c r="L99" i="84"/>
  <c r="K99" i="84"/>
  <c r="J99" i="84"/>
  <c r="I99" i="84"/>
  <c r="H99" i="84"/>
  <c r="G99" i="84"/>
  <c r="F99" i="84"/>
  <c r="M98" i="84"/>
  <c r="L98" i="84"/>
  <c r="K98" i="84"/>
  <c r="J98" i="84"/>
  <c r="I98" i="84"/>
  <c r="H98" i="84"/>
  <c r="G98" i="84"/>
  <c r="F98" i="84"/>
  <c r="M97" i="84"/>
  <c r="L97" i="84"/>
  <c r="K97" i="84"/>
  <c r="J97" i="84"/>
  <c r="I97" i="84"/>
  <c r="H97" i="84"/>
  <c r="G97" i="84"/>
  <c r="F97" i="84"/>
  <c r="M96" i="84"/>
  <c r="L96" i="84"/>
  <c r="K96" i="84"/>
  <c r="J96" i="84"/>
  <c r="I96" i="84"/>
  <c r="H96" i="84"/>
  <c r="G96" i="84"/>
  <c r="F96" i="84"/>
  <c r="M95" i="84"/>
  <c r="L95" i="84"/>
  <c r="K95" i="84"/>
  <c r="J95" i="84"/>
  <c r="I95" i="84"/>
  <c r="H95" i="84"/>
  <c r="G95" i="84"/>
  <c r="F95" i="84"/>
  <c r="M94" i="84"/>
  <c r="L94" i="84"/>
  <c r="K94" i="84"/>
  <c r="J94" i="84"/>
  <c r="I94" i="84"/>
  <c r="H94" i="84"/>
  <c r="G94" i="84"/>
  <c r="F94" i="84"/>
  <c r="M93" i="84"/>
  <c r="L93" i="84"/>
  <c r="K93" i="84"/>
  <c r="J93" i="84"/>
  <c r="I93" i="84"/>
  <c r="H93" i="84"/>
  <c r="G93" i="84"/>
  <c r="F93" i="84"/>
  <c r="M92" i="84"/>
  <c r="L92" i="84"/>
  <c r="K92" i="84"/>
  <c r="J92" i="84"/>
  <c r="I92" i="84"/>
  <c r="H92" i="84"/>
  <c r="G92" i="84"/>
  <c r="F92" i="84"/>
  <c r="M91" i="84"/>
  <c r="L91" i="84"/>
  <c r="K91" i="84"/>
  <c r="J91" i="84"/>
  <c r="I91" i="84"/>
  <c r="H91" i="84"/>
  <c r="G91" i="84"/>
  <c r="F91" i="84"/>
  <c r="M89" i="84"/>
  <c r="L89" i="84"/>
  <c r="K89" i="84"/>
  <c r="J89" i="84"/>
  <c r="I89" i="84"/>
  <c r="H89" i="84"/>
  <c r="G89" i="84"/>
  <c r="F89" i="84"/>
  <c r="K88" i="84"/>
  <c r="M82" i="84"/>
  <c r="L82" i="84"/>
  <c r="K82" i="84"/>
  <c r="J82" i="84"/>
  <c r="I82" i="84"/>
  <c r="H82" i="84"/>
  <c r="G82" i="84"/>
  <c r="F82" i="84"/>
  <c r="M81" i="84"/>
  <c r="L81" i="84"/>
  <c r="K81" i="84"/>
  <c r="J81" i="84"/>
  <c r="I81" i="84"/>
  <c r="H81" i="84"/>
  <c r="G81" i="84"/>
  <c r="F81" i="84"/>
  <c r="M80" i="84"/>
  <c r="M83" i="84" s="1"/>
  <c r="L80" i="84"/>
  <c r="L83" i="84" s="1"/>
  <c r="K80" i="84"/>
  <c r="K83" i="84" s="1"/>
  <c r="J80" i="84"/>
  <c r="J83" i="84" s="1"/>
  <c r="I80" i="84"/>
  <c r="I83" i="84" s="1"/>
  <c r="H80" i="84"/>
  <c r="H83" i="84" s="1"/>
  <c r="G80" i="84"/>
  <c r="F80" i="84"/>
  <c r="F83" i="84" s="1"/>
  <c r="M77" i="84"/>
  <c r="L77" i="84"/>
  <c r="K77" i="84"/>
  <c r="J77" i="84"/>
  <c r="I77" i="84"/>
  <c r="H77" i="84"/>
  <c r="G77" i="84"/>
  <c r="F77" i="84"/>
  <c r="M75" i="84"/>
  <c r="L75" i="84"/>
  <c r="K75" i="84"/>
  <c r="J75" i="84"/>
  <c r="I75" i="84"/>
  <c r="H75" i="84"/>
  <c r="G75" i="84"/>
  <c r="F75" i="84"/>
  <c r="M74" i="84"/>
  <c r="L74" i="84"/>
  <c r="K74" i="84"/>
  <c r="J74" i="84"/>
  <c r="I74" i="84"/>
  <c r="H74" i="84"/>
  <c r="G74" i="84"/>
  <c r="F74" i="84"/>
  <c r="M73" i="84"/>
  <c r="L73" i="84"/>
  <c r="K73" i="84"/>
  <c r="J73" i="84"/>
  <c r="I73" i="84"/>
  <c r="H73" i="84"/>
  <c r="G73" i="84"/>
  <c r="F73" i="84"/>
  <c r="M70" i="84"/>
  <c r="L70" i="84"/>
  <c r="K70" i="84"/>
  <c r="J70" i="84"/>
  <c r="I70" i="84"/>
  <c r="H70" i="84"/>
  <c r="G70" i="84"/>
  <c r="F70" i="84"/>
  <c r="M69" i="84"/>
  <c r="L69" i="84"/>
  <c r="K69" i="84"/>
  <c r="J69" i="84"/>
  <c r="I69" i="84"/>
  <c r="H69" i="84"/>
  <c r="G69" i="84"/>
  <c r="F69" i="84"/>
  <c r="M68" i="84"/>
  <c r="L68" i="84"/>
  <c r="K68" i="84"/>
  <c r="J68" i="84"/>
  <c r="I68" i="84"/>
  <c r="H68" i="84"/>
  <c r="G68" i="84"/>
  <c r="F68" i="84"/>
  <c r="M67" i="84"/>
  <c r="L67" i="84"/>
  <c r="K67" i="84"/>
  <c r="J67" i="84"/>
  <c r="I67" i="84"/>
  <c r="H67" i="84"/>
  <c r="G67" i="84"/>
  <c r="F67" i="84"/>
  <c r="M65" i="84"/>
  <c r="L65" i="84"/>
  <c r="K65" i="84"/>
  <c r="J65" i="84"/>
  <c r="I65" i="84"/>
  <c r="H65" i="84"/>
  <c r="G65" i="84"/>
  <c r="F65" i="84"/>
  <c r="N61" i="84"/>
  <c r="L61" i="84"/>
  <c r="J61" i="84"/>
  <c r="M55" i="84"/>
  <c r="L55" i="84"/>
  <c r="K55" i="84"/>
  <c r="J55" i="84"/>
  <c r="I55" i="84"/>
  <c r="H55" i="84"/>
  <c r="G55" i="84"/>
  <c r="F55" i="84"/>
  <c r="M54" i="84"/>
  <c r="L54" i="84"/>
  <c r="K54" i="84"/>
  <c r="J54" i="84"/>
  <c r="I54" i="84"/>
  <c r="H54" i="84"/>
  <c r="G54" i="84"/>
  <c r="F54" i="84"/>
  <c r="M53" i="84"/>
  <c r="L53" i="84"/>
  <c r="K53" i="84"/>
  <c r="J53" i="84"/>
  <c r="I53" i="84"/>
  <c r="H53" i="84"/>
  <c r="G53" i="84"/>
  <c r="F53" i="84"/>
  <c r="M51" i="84"/>
  <c r="L51" i="84"/>
  <c r="K51" i="84"/>
  <c r="J51" i="84"/>
  <c r="I51" i="84"/>
  <c r="H51" i="84"/>
  <c r="G51" i="84"/>
  <c r="F51" i="84"/>
  <c r="M50" i="84"/>
  <c r="L50" i="84"/>
  <c r="K50" i="84"/>
  <c r="J50" i="84"/>
  <c r="I50" i="84"/>
  <c r="H50" i="84"/>
  <c r="G50" i="84"/>
  <c r="F50" i="84"/>
  <c r="M49" i="84"/>
  <c r="L49" i="84"/>
  <c r="K49" i="84"/>
  <c r="J49" i="84"/>
  <c r="I49" i="84"/>
  <c r="H49" i="84"/>
  <c r="G49" i="84"/>
  <c r="F49" i="84"/>
  <c r="M48" i="84"/>
  <c r="L48" i="84"/>
  <c r="K48" i="84"/>
  <c r="J48" i="84"/>
  <c r="I48" i="84"/>
  <c r="H48" i="84"/>
  <c r="G48" i="84"/>
  <c r="F48" i="84"/>
  <c r="M47" i="84"/>
  <c r="L47" i="84"/>
  <c r="K47" i="84"/>
  <c r="J47" i="84"/>
  <c r="I47" i="84"/>
  <c r="H47" i="84"/>
  <c r="G47" i="84"/>
  <c r="F47" i="84"/>
  <c r="M46" i="84"/>
  <c r="L46" i="84"/>
  <c r="K46" i="84"/>
  <c r="J46" i="84"/>
  <c r="I46" i="84"/>
  <c r="H46" i="84"/>
  <c r="G46" i="84"/>
  <c r="F46" i="84"/>
  <c r="M45" i="84"/>
  <c r="L45" i="84"/>
  <c r="K45" i="84"/>
  <c r="J45" i="84"/>
  <c r="I45" i="84"/>
  <c r="H45" i="84"/>
  <c r="G45" i="84"/>
  <c r="F45" i="84"/>
  <c r="M44" i="84"/>
  <c r="L44" i="84"/>
  <c r="K44" i="84"/>
  <c r="J44" i="84"/>
  <c r="I44" i="84"/>
  <c r="H44" i="84"/>
  <c r="G44" i="84"/>
  <c r="F44" i="84"/>
  <c r="M43" i="84"/>
  <c r="L43" i="84"/>
  <c r="K43" i="84"/>
  <c r="J43" i="84"/>
  <c r="I43" i="84"/>
  <c r="H43" i="84"/>
  <c r="G43" i="84"/>
  <c r="F43" i="84"/>
  <c r="M39" i="84"/>
  <c r="L39" i="84"/>
  <c r="K39" i="84"/>
  <c r="J39" i="84"/>
  <c r="I39" i="84"/>
  <c r="H39" i="84"/>
  <c r="G39" i="84"/>
  <c r="F39" i="84"/>
  <c r="M38" i="84"/>
  <c r="L38" i="84"/>
  <c r="K38" i="84"/>
  <c r="J38" i="84"/>
  <c r="I38" i="84"/>
  <c r="H38" i="84"/>
  <c r="G38" i="84"/>
  <c r="F38" i="84"/>
  <c r="M36" i="84"/>
  <c r="L36" i="84"/>
  <c r="K36" i="84"/>
  <c r="J36" i="84"/>
  <c r="I36" i="84"/>
  <c r="H36" i="84"/>
  <c r="G36" i="84"/>
  <c r="F36" i="84"/>
  <c r="M35" i="84"/>
  <c r="L35" i="84"/>
  <c r="K35" i="84"/>
  <c r="J35" i="84"/>
  <c r="I35" i="84"/>
  <c r="H35" i="84"/>
  <c r="G35" i="84"/>
  <c r="F35" i="84"/>
  <c r="M33" i="84"/>
  <c r="L33" i="84"/>
  <c r="K33" i="84"/>
  <c r="J33" i="84"/>
  <c r="I33" i="84"/>
  <c r="H33" i="84"/>
  <c r="G33" i="84"/>
  <c r="F33" i="84"/>
  <c r="F28" i="84"/>
  <c r="F27" i="84"/>
  <c r="F26" i="84"/>
  <c r="F25" i="84"/>
  <c r="F24" i="84"/>
  <c r="F23" i="84"/>
  <c r="I20" i="84"/>
  <c r="H20" i="84"/>
  <c r="G20" i="84"/>
  <c r="G13" i="84"/>
  <c r="L10" i="84"/>
  <c r="H10" i="84"/>
  <c r="G10" i="84"/>
  <c r="H7" i="84"/>
  <c r="G7" i="84"/>
  <c r="H6" i="84"/>
  <c r="G6" i="84"/>
  <c r="I5" i="84"/>
  <c r="H5" i="84"/>
  <c r="G5" i="84"/>
  <c r="N1" i="84"/>
  <c r="L1" i="84"/>
  <c r="J1" i="84"/>
  <c r="R36" i="83"/>
  <c r="X35" i="83"/>
  <c r="X34" i="83"/>
  <c r="R34" i="83"/>
  <c r="L34" i="83"/>
  <c r="F34" i="83"/>
  <c r="R33" i="83"/>
  <c r="F33" i="83"/>
  <c r="X32" i="83"/>
  <c r="L32" i="83"/>
  <c r="X30" i="83"/>
  <c r="X29" i="83"/>
  <c r="L29" i="83"/>
  <c r="F29" i="83"/>
  <c r="R28" i="83"/>
  <c r="L28" i="83"/>
  <c r="F28" i="83"/>
  <c r="X26" i="83"/>
  <c r="R26" i="83"/>
  <c r="L26" i="83"/>
  <c r="X25" i="83"/>
  <c r="R25" i="83"/>
  <c r="L25" i="83"/>
  <c r="X24" i="83"/>
  <c r="R24" i="83"/>
  <c r="F24" i="83"/>
  <c r="X23" i="83"/>
  <c r="L23" i="83"/>
  <c r="F23" i="83"/>
  <c r="X22" i="83"/>
  <c r="L22" i="83"/>
  <c r="F22" i="83"/>
  <c r="L21" i="83"/>
  <c r="F21" i="83"/>
  <c r="L20" i="83"/>
  <c r="F20" i="83"/>
  <c r="R19" i="83"/>
  <c r="L19" i="83"/>
  <c r="F19" i="83"/>
  <c r="X18" i="83"/>
  <c r="R18" i="83"/>
  <c r="L18" i="83"/>
  <c r="F18" i="83"/>
  <c r="X17" i="83"/>
  <c r="R17" i="83"/>
  <c r="L17" i="83"/>
  <c r="F17" i="83"/>
  <c r="X16" i="83"/>
  <c r="R16" i="83"/>
  <c r="L16" i="83"/>
  <c r="F16" i="83"/>
  <c r="R15" i="83"/>
  <c r="L15" i="83"/>
  <c r="F15" i="83"/>
  <c r="L14" i="83"/>
  <c r="F14" i="83"/>
  <c r="L13" i="83"/>
  <c r="F13" i="83"/>
  <c r="X12" i="83"/>
  <c r="L12" i="83"/>
  <c r="F12" i="83"/>
  <c r="X11" i="83"/>
  <c r="R11" i="83"/>
  <c r="L11" i="83"/>
  <c r="F11" i="83"/>
  <c r="X10" i="83"/>
  <c r="R10" i="83"/>
  <c r="L10" i="83"/>
  <c r="F10" i="83"/>
  <c r="X9" i="83"/>
  <c r="R9" i="83"/>
  <c r="F9" i="83"/>
  <c r="L8" i="83"/>
  <c r="F8" i="83"/>
  <c r="X1" i="83"/>
  <c r="V1" i="83"/>
  <c r="I1" i="83"/>
  <c r="E1" i="83"/>
  <c r="Y45" i="33"/>
  <c r="W45" i="33"/>
  <c r="U45" i="33"/>
  <c r="G45" i="33"/>
  <c r="Y44" i="33"/>
  <c r="W44" i="33"/>
  <c r="U44" i="33"/>
  <c r="Y43" i="33"/>
  <c r="W43" i="33"/>
  <c r="U43" i="33"/>
  <c r="G43" i="33"/>
  <c r="Y42" i="33"/>
  <c r="W42" i="33"/>
  <c r="U42" i="33"/>
  <c r="G42" i="33"/>
  <c r="Y39" i="33"/>
  <c r="W39" i="33"/>
  <c r="U39" i="33"/>
  <c r="G38" i="33"/>
  <c r="O37" i="33"/>
  <c r="N37" i="33"/>
  <c r="M37" i="33"/>
  <c r="Z36" i="33"/>
  <c r="Y36" i="33"/>
  <c r="X36" i="33"/>
  <c r="W36" i="33"/>
  <c r="V36" i="33"/>
  <c r="U36" i="33"/>
  <c r="O36" i="33"/>
  <c r="N36" i="33"/>
  <c r="M36" i="33"/>
  <c r="G35" i="33"/>
  <c r="G34" i="33"/>
  <c r="Y33" i="33"/>
  <c r="W33" i="33"/>
  <c r="U33" i="33"/>
  <c r="H33" i="33"/>
  <c r="G33" i="33"/>
  <c r="Y32" i="33"/>
  <c r="W32" i="33"/>
  <c r="U32" i="33"/>
  <c r="G32" i="33"/>
  <c r="Y31" i="33"/>
  <c r="W31" i="33"/>
  <c r="U31" i="33"/>
  <c r="N30" i="33"/>
  <c r="M30" i="33"/>
  <c r="G30" i="33"/>
  <c r="Y28" i="33"/>
  <c r="W28" i="33"/>
  <c r="U28" i="33"/>
  <c r="Y27" i="33"/>
  <c r="W27" i="33"/>
  <c r="U27" i="33"/>
  <c r="N27" i="33"/>
  <c r="M27" i="33"/>
  <c r="G27" i="33"/>
  <c r="N26" i="33"/>
  <c r="M26" i="33"/>
  <c r="G25" i="33"/>
  <c r="Y24" i="33"/>
  <c r="W24" i="33"/>
  <c r="U24" i="33"/>
  <c r="H24" i="33"/>
  <c r="G24" i="33"/>
  <c r="Y23" i="33"/>
  <c r="W23" i="33"/>
  <c r="U23" i="33"/>
  <c r="G23" i="33"/>
  <c r="Y22" i="33"/>
  <c r="W22" i="33"/>
  <c r="U22" i="33"/>
  <c r="G21" i="33"/>
  <c r="O20" i="33"/>
  <c r="G20" i="33"/>
  <c r="Y19" i="33"/>
  <c r="W19" i="33"/>
  <c r="U19" i="33"/>
  <c r="G19" i="33"/>
  <c r="Y18" i="33"/>
  <c r="W18" i="33"/>
  <c r="U18" i="33"/>
  <c r="O18" i="33"/>
  <c r="G18" i="33"/>
  <c r="Y17" i="33"/>
  <c r="W17" i="33"/>
  <c r="U17" i="33"/>
  <c r="P17" i="33"/>
  <c r="O17" i="33"/>
  <c r="O16" i="33"/>
  <c r="Y14" i="33"/>
  <c r="W14" i="33"/>
  <c r="U14" i="33"/>
  <c r="G14" i="33"/>
  <c r="Y13" i="33"/>
  <c r="W13" i="33"/>
  <c r="U13" i="33"/>
  <c r="G13" i="33"/>
  <c r="Y12" i="33"/>
  <c r="W12" i="33"/>
  <c r="U12" i="33"/>
  <c r="O12" i="33"/>
  <c r="N12" i="33"/>
  <c r="G12" i="33"/>
  <c r="O10" i="33"/>
  <c r="N10" i="33"/>
  <c r="G10" i="33"/>
  <c r="Z9" i="33"/>
  <c r="Y9" i="33"/>
  <c r="X9" i="33"/>
  <c r="W9" i="33"/>
  <c r="V9" i="33"/>
  <c r="U9" i="33"/>
  <c r="N9" i="33"/>
  <c r="Y8" i="33"/>
  <c r="W8" i="33"/>
  <c r="U8" i="33"/>
  <c r="O8" i="33"/>
  <c r="N8" i="33"/>
  <c r="Y7" i="33"/>
  <c r="W7" i="33"/>
  <c r="U7" i="33"/>
  <c r="O7" i="33"/>
  <c r="N7" i="33"/>
  <c r="G7" i="33"/>
  <c r="G8" i="33" s="1"/>
  <c r="Y6" i="33"/>
  <c r="W6" i="33"/>
  <c r="U6" i="33"/>
  <c r="X1" i="33"/>
  <c r="U1" i="33"/>
  <c r="H1" i="33"/>
  <c r="E1" i="33"/>
  <c r="W35" i="32"/>
  <c r="P35" i="32"/>
  <c r="H50" i="110" s="1"/>
  <c r="K35" i="32"/>
  <c r="J35" i="32"/>
  <c r="I35" i="32"/>
  <c r="H35" i="32"/>
  <c r="G35" i="32"/>
  <c r="F35" i="32"/>
  <c r="W32" i="32"/>
  <c r="Q32" i="32"/>
  <c r="P32" i="32"/>
  <c r="K32" i="32"/>
  <c r="J32" i="32"/>
  <c r="I32" i="32"/>
  <c r="H32" i="32"/>
  <c r="G32" i="32"/>
  <c r="F32" i="32"/>
  <c r="X31" i="32"/>
  <c r="W31" i="32"/>
  <c r="Q31" i="32"/>
  <c r="P31" i="32"/>
  <c r="J31" i="32"/>
  <c r="H31" i="32"/>
  <c r="F31" i="32"/>
  <c r="X30" i="32"/>
  <c r="W30" i="32"/>
  <c r="Q30" i="32"/>
  <c r="P30" i="32"/>
  <c r="J30" i="32"/>
  <c r="H30" i="32"/>
  <c r="F30" i="32"/>
  <c r="X29" i="32"/>
  <c r="W29" i="32"/>
  <c r="Q29" i="32"/>
  <c r="P29" i="32"/>
  <c r="J29" i="32"/>
  <c r="H29" i="32"/>
  <c r="F29" i="32"/>
  <c r="X26" i="32"/>
  <c r="W26" i="32"/>
  <c r="Q26" i="32"/>
  <c r="P26" i="32"/>
  <c r="K26" i="32"/>
  <c r="J26" i="32"/>
  <c r="I26" i="32"/>
  <c r="H26" i="32"/>
  <c r="G26" i="32"/>
  <c r="F26" i="32"/>
  <c r="Q25" i="32"/>
  <c r="P25" i="32"/>
  <c r="K25" i="32"/>
  <c r="J25" i="32"/>
  <c r="I25" i="32"/>
  <c r="H25" i="32"/>
  <c r="G25" i="32"/>
  <c r="F25" i="32"/>
  <c r="X24" i="32"/>
  <c r="W24" i="32"/>
  <c r="Q24" i="32"/>
  <c r="P24" i="32"/>
  <c r="K24" i="32"/>
  <c r="J24" i="32"/>
  <c r="I24" i="32"/>
  <c r="H24" i="32"/>
  <c r="G24" i="32"/>
  <c r="F24" i="32"/>
  <c r="W21" i="32"/>
  <c r="P21" i="32"/>
  <c r="K21" i="32"/>
  <c r="J21" i="32"/>
  <c r="I21" i="32"/>
  <c r="H21" i="32"/>
  <c r="G21" i="32"/>
  <c r="F21" i="32"/>
  <c r="W20" i="32"/>
  <c r="P20" i="32"/>
  <c r="K20" i="32"/>
  <c r="J20" i="32"/>
  <c r="I20" i="32"/>
  <c r="H20" i="32"/>
  <c r="G20" i="32"/>
  <c r="F20" i="32"/>
  <c r="W19" i="32"/>
  <c r="T19" i="32"/>
  <c r="P19" i="32"/>
  <c r="K19" i="32"/>
  <c r="J19" i="32"/>
  <c r="I19" i="32"/>
  <c r="H19" i="32"/>
  <c r="G19" i="32"/>
  <c r="F19" i="32"/>
  <c r="W16" i="32"/>
  <c r="U16" i="32"/>
  <c r="T16" i="32"/>
  <c r="J16" i="32"/>
  <c r="H16" i="32"/>
  <c r="F16" i="32"/>
  <c r="E16" i="32"/>
  <c r="W15" i="32"/>
  <c r="U15" i="32"/>
  <c r="T15" i="32"/>
  <c r="Q15" i="32"/>
  <c r="P15" i="32"/>
  <c r="J15" i="32"/>
  <c r="H15" i="32"/>
  <c r="F15" i="32"/>
  <c r="E15" i="32"/>
  <c r="W14" i="32"/>
  <c r="U14" i="32"/>
  <c r="T14" i="32"/>
  <c r="Q14" i="32"/>
  <c r="P14" i="32"/>
  <c r="J14" i="32"/>
  <c r="H14" i="32"/>
  <c r="F14" i="32"/>
  <c r="E14" i="32"/>
  <c r="S9" i="32"/>
  <c r="P9" i="32"/>
  <c r="B6" i="32"/>
  <c r="L5" i="32"/>
  <c r="O5" i="32"/>
  <c r="B5" i="32"/>
  <c r="B4" i="32"/>
  <c r="W3" i="32"/>
  <c r="B3" i="32"/>
  <c r="M110" i="82"/>
  <c r="L110" i="82"/>
  <c r="K110" i="82"/>
  <c r="J110" i="82"/>
  <c r="I110" i="82"/>
  <c r="H110" i="82"/>
  <c r="G110" i="82"/>
  <c r="F110" i="82"/>
  <c r="M109" i="82"/>
  <c r="L109" i="82"/>
  <c r="K109" i="82"/>
  <c r="J109" i="82"/>
  <c r="I109" i="82"/>
  <c r="H109" i="82"/>
  <c r="G109" i="82"/>
  <c r="F109" i="82"/>
  <c r="M108" i="82"/>
  <c r="L108" i="82"/>
  <c r="K108" i="82"/>
  <c r="J108" i="82"/>
  <c r="I108" i="82"/>
  <c r="H108" i="82"/>
  <c r="G108" i="82"/>
  <c r="F108" i="82"/>
  <c r="M107" i="82"/>
  <c r="L107" i="82"/>
  <c r="K107" i="82"/>
  <c r="J107" i="82"/>
  <c r="I107" i="82"/>
  <c r="H107" i="82"/>
  <c r="G107" i="82"/>
  <c r="F107" i="82"/>
  <c r="M105" i="82"/>
  <c r="L105" i="82"/>
  <c r="K105" i="82"/>
  <c r="J105" i="82"/>
  <c r="I105" i="82"/>
  <c r="H105" i="82"/>
  <c r="G105" i="82"/>
  <c r="F105" i="82"/>
  <c r="M104" i="82"/>
  <c r="L104" i="82"/>
  <c r="K104" i="82"/>
  <c r="J104" i="82"/>
  <c r="I104" i="82"/>
  <c r="H104" i="82"/>
  <c r="G104" i="82"/>
  <c r="F104" i="82"/>
  <c r="M103" i="82"/>
  <c r="L103" i="82"/>
  <c r="K103" i="82"/>
  <c r="J103" i="82"/>
  <c r="I103" i="82"/>
  <c r="H103" i="82"/>
  <c r="G103" i="82"/>
  <c r="F103" i="82"/>
  <c r="K102" i="82"/>
  <c r="M99" i="82"/>
  <c r="L99" i="82"/>
  <c r="K99" i="82"/>
  <c r="J99" i="82"/>
  <c r="I99" i="82"/>
  <c r="H99" i="82"/>
  <c r="G99" i="82"/>
  <c r="F99" i="82"/>
  <c r="M98" i="82"/>
  <c r="L98" i="82"/>
  <c r="K98" i="82"/>
  <c r="J98" i="82"/>
  <c r="I98" i="82"/>
  <c r="H98" i="82"/>
  <c r="G98" i="82"/>
  <c r="F98" i="82"/>
  <c r="M97" i="82"/>
  <c r="L97" i="82"/>
  <c r="K97" i="82"/>
  <c r="J97" i="82"/>
  <c r="I97" i="82"/>
  <c r="H97" i="82"/>
  <c r="G97" i="82"/>
  <c r="F97" i="82"/>
  <c r="M96" i="82"/>
  <c r="L96" i="82"/>
  <c r="K96" i="82"/>
  <c r="J96" i="82"/>
  <c r="I96" i="82"/>
  <c r="H96" i="82"/>
  <c r="G96" i="82"/>
  <c r="F96" i="82"/>
  <c r="M95" i="82"/>
  <c r="L95" i="82"/>
  <c r="K95" i="82"/>
  <c r="J95" i="82"/>
  <c r="I95" i="82"/>
  <c r="H95" i="82"/>
  <c r="G95" i="82"/>
  <c r="F95" i="82"/>
  <c r="M94" i="82"/>
  <c r="L94" i="82"/>
  <c r="K94" i="82"/>
  <c r="J94" i="82"/>
  <c r="I94" i="82"/>
  <c r="H94" i="82"/>
  <c r="G94" i="82"/>
  <c r="F94" i="82"/>
  <c r="M93" i="82"/>
  <c r="L93" i="82"/>
  <c r="K93" i="82"/>
  <c r="J93" i="82"/>
  <c r="I93" i="82"/>
  <c r="H93" i="82"/>
  <c r="G93" i="82"/>
  <c r="F93" i="82"/>
  <c r="M92" i="82"/>
  <c r="L92" i="82"/>
  <c r="K92" i="82"/>
  <c r="J92" i="82"/>
  <c r="I92" i="82"/>
  <c r="H92" i="82"/>
  <c r="G92" i="82"/>
  <c r="F92" i="82"/>
  <c r="M91" i="82"/>
  <c r="L91" i="82"/>
  <c r="K91" i="82"/>
  <c r="J91" i="82"/>
  <c r="I91" i="82"/>
  <c r="H91" i="82"/>
  <c r="G91" i="82"/>
  <c r="F91" i="82"/>
  <c r="M89" i="82"/>
  <c r="L89" i="82"/>
  <c r="K89" i="82"/>
  <c r="J89" i="82"/>
  <c r="I89" i="82"/>
  <c r="H89" i="82"/>
  <c r="G89" i="82"/>
  <c r="F89" i="82"/>
  <c r="K88" i="82"/>
  <c r="M82" i="82"/>
  <c r="L82" i="82"/>
  <c r="K82" i="82"/>
  <c r="J82" i="82"/>
  <c r="I82" i="82"/>
  <c r="H82" i="82"/>
  <c r="G82" i="82"/>
  <c r="F82" i="82"/>
  <c r="M81" i="82"/>
  <c r="L81" i="82"/>
  <c r="K81" i="82"/>
  <c r="J81" i="82"/>
  <c r="I81" i="82"/>
  <c r="H81" i="82"/>
  <c r="G81" i="82"/>
  <c r="F81" i="82"/>
  <c r="M80" i="82"/>
  <c r="M83" i="82" s="1"/>
  <c r="L80" i="82"/>
  <c r="K80" i="82"/>
  <c r="J80" i="82"/>
  <c r="J83" i="82" s="1"/>
  <c r="I80" i="82"/>
  <c r="I83" i="82" s="1"/>
  <c r="H80" i="82"/>
  <c r="H83" i="82" s="1"/>
  <c r="G80" i="82"/>
  <c r="F80" i="82"/>
  <c r="F83" i="82" s="1"/>
  <c r="M77" i="82"/>
  <c r="L77" i="82"/>
  <c r="K77" i="82"/>
  <c r="J77" i="82"/>
  <c r="I77" i="82"/>
  <c r="H77" i="82"/>
  <c r="G77" i="82"/>
  <c r="F77" i="82"/>
  <c r="M75" i="82"/>
  <c r="L75" i="82"/>
  <c r="K75" i="82"/>
  <c r="J75" i="82"/>
  <c r="I75" i="82"/>
  <c r="H75" i="82"/>
  <c r="G75" i="82"/>
  <c r="F75" i="82"/>
  <c r="M74" i="82"/>
  <c r="L74" i="82"/>
  <c r="K74" i="82"/>
  <c r="J74" i="82"/>
  <c r="I74" i="82"/>
  <c r="H74" i="82"/>
  <c r="G74" i="82"/>
  <c r="F74" i="82"/>
  <c r="M73" i="82"/>
  <c r="L73" i="82"/>
  <c r="K73" i="82"/>
  <c r="J73" i="82"/>
  <c r="I73" i="82"/>
  <c r="H73" i="82"/>
  <c r="G73" i="82"/>
  <c r="F73" i="82"/>
  <c r="M70" i="82"/>
  <c r="L70" i="82"/>
  <c r="K70" i="82"/>
  <c r="J70" i="82"/>
  <c r="I70" i="82"/>
  <c r="H70" i="82"/>
  <c r="G70" i="82"/>
  <c r="F70" i="82"/>
  <c r="M69" i="82"/>
  <c r="L69" i="82"/>
  <c r="K69" i="82"/>
  <c r="J69" i="82"/>
  <c r="I69" i="82"/>
  <c r="H69" i="82"/>
  <c r="G69" i="82"/>
  <c r="F69" i="82"/>
  <c r="M68" i="82"/>
  <c r="L68" i="82"/>
  <c r="K68" i="82"/>
  <c r="J68" i="82"/>
  <c r="I68" i="82"/>
  <c r="H68" i="82"/>
  <c r="G68" i="82"/>
  <c r="F68" i="82"/>
  <c r="M67" i="82"/>
  <c r="L67" i="82"/>
  <c r="K67" i="82"/>
  <c r="J67" i="82"/>
  <c r="I67" i="82"/>
  <c r="H67" i="82"/>
  <c r="G67" i="82"/>
  <c r="F67" i="82"/>
  <c r="M65" i="82"/>
  <c r="L65" i="82"/>
  <c r="K65" i="82"/>
  <c r="J65" i="82"/>
  <c r="I65" i="82"/>
  <c r="H65" i="82"/>
  <c r="G65" i="82"/>
  <c r="F65" i="82"/>
  <c r="N61" i="82"/>
  <c r="L61" i="82"/>
  <c r="J61" i="82"/>
  <c r="M55" i="82"/>
  <c r="L55" i="82"/>
  <c r="K55" i="82"/>
  <c r="J55" i="82"/>
  <c r="I55" i="82"/>
  <c r="H55" i="82"/>
  <c r="G55" i="82"/>
  <c r="F55" i="82"/>
  <c r="M54" i="82"/>
  <c r="L54" i="82"/>
  <c r="K54" i="82"/>
  <c r="J54" i="82"/>
  <c r="I54" i="82"/>
  <c r="H54" i="82"/>
  <c r="G54" i="82"/>
  <c r="F54" i="82"/>
  <c r="M53" i="82"/>
  <c r="L53" i="82"/>
  <c r="K53" i="82"/>
  <c r="J53" i="82"/>
  <c r="I53" i="82"/>
  <c r="H53" i="82"/>
  <c r="G53" i="82"/>
  <c r="F53" i="82"/>
  <c r="M51" i="82"/>
  <c r="L51" i="82"/>
  <c r="K51" i="82"/>
  <c r="J51" i="82"/>
  <c r="I51" i="82"/>
  <c r="H51" i="82"/>
  <c r="G51" i="82"/>
  <c r="F51" i="82"/>
  <c r="M50" i="82"/>
  <c r="L50" i="82"/>
  <c r="K50" i="82"/>
  <c r="J50" i="82"/>
  <c r="I50" i="82"/>
  <c r="H50" i="82"/>
  <c r="G50" i="82"/>
  <c r="F50" i="82"/>
  <c r="M49" i="82"/>
  <c r="L49" i="82"/>
  <c r="K49" i="82"/>
  <c r="J49" i="82"/>
  <c r="I49" i="82"/>
  <c r="H49" i="82"/>
  <c r="G49" i="82"/>
  <c r="F49" i="82"/>
  <c r="M48" i="82"/>
  <c r="L48" i="82"/>
  <c r="K48" i="82"/>
  <c r="J48" i="82"/>
  <c r="I48" i="82"/>
  <c r="H48" i="82"/>
  <c r="G48" i="82"/>
  <c r="F48" i="82"/>
  <c r="M47" i="82"/>
  <c r="L47" i="82"/>
  <c r="K47" i="82"/>
  <c r="J47" i="82"/>
  <c r="I47" i="82"/>
  <c r="H47" i="82"/>
  <c r="G47" i="82"/>
  <c r="F47" i="82"/>
  <c r="M46" i="82"/>
  <c r="L46" i="82"/>
  <c r="K46" i="82"/>
  <c r="J46" i="82"/>
  <c r="I46" i="82"/>
  <c r="H46" i="82"/>
  <c r="G46" i="82"/>
  <c r="F46" i="82"/>
  <c r="M45" i="82"/>
  <c r="L45" i="82"/>
  <c r="K45" i="82"/>
  <c r="J45" i="82"/>
  <c r="I45" i="82"/>
  <c r="H45" i="82"/>
  <c r="G45" i="82"/>
  <c r="F45" i="82"/>
  <c r="M44" i="82"/>
  <c r="L44" i="82"/>
  <c r="K44" i="82"/>
  <c r="J44" i="82"/>
  <c r="I44" i="82"/>
  <c r="H44" i="82"/>
  <c r="G44" i="82"/>
  <c r="F44" i="82"/>
  <c r="M43" i="82"/>
  <c r="L43" i="82"/>
  <c r="K43" i="82"/>
  <c r="J43" i="82"/>
  <c r="I43" i="82"/>
  <c r="H43" i="82"/>
  <c r="G43" i="82"/>
  <c r="F43" i="82"/>
  <c r="M39" i="82"/>
  <c r="L39" i="82"/>
  <c r="K39" i="82"/>
  <c r="J39" i="82"/>
  <c r="I39" i="82"/>
  <c r="H39" i="82"/>
  <c r="G39" i="82"/>
  <c r="F39" i="82"/>
  <c r="M38" i="82"/>
  <c r="L38" i="82"/>
  <c r="K38" i="82"/>
  <c r="J38" i="82"/>
  <c r="I38" i="82"/>
  <c r="H38" i="82"/>
  <c r="G38" i="82"/>
  <c r="F38" i="82"/>
  <c r="M36" i="82"/>
  <c r="L36" i="82"/>
  <c r="K36" i="82"/>
  <c r="J36" i="82"/>
  <c r="I36" i="82"/>
  <c r="H36" i="82"/>
  <c r="G36" i="82"/>
  <c r="F36" i="82"/>
  <c r="M35" i="82"/>
  <c r="L35" i="82"/>
  <c r="K35" i="82"/>
  <c r="J35" i="82"/>
  <c r="I35" i="82"/>
  <c r="H35" i="82"/>
  <c r="G35" i="82"/>
  <c r="F35" i="82"/>
  <c r="M33" i="82"/>
  <c r="L33" i="82"/>
  <c r="K33" i="82"/>
  <c r="J33" i="82"/>
  <c r="I33" i="82"/>
  <c r="H33" i="82"/>
  <c r="G33" i="82"/>
  <c r="F33" i="82"/>
  <c r="F28" i="82"/>
  <c r="F27" i="82"/>
  <c r="F26" i="82"/>
  <c r="F25" i="82"/>
  <c r="F24" i="82"/>
  <c r="F23" i="82"/>
  <c r="I20" i="82"/>
  <c r="H20" i="82"/>
  <c r="G20" i="82"/>
  <c r="G13" i="82"/>
  <c r="L10" i="82"/>
  <c r="H10" i="82"/>
  <c r="G10" i="82"/>
  <c r="H7" i="82"/>
  <c r="G7" i="82"/>
  <c r="H6" i="82"/>
  <c r="G6" i="82"/>
  <c r="I5" i="82"/>
  <c r="H5" i="82"/>
  <c r="G5" i="82"/>
  <c r="N1" i="82"/>
  <c r="L1" i="82"/>
  <c r="J1" i="82"/>
  <c r="R36" i="81"/>
  <c r="X35" i="81"/>
  <c r="X34" i="81"/>
  <c r="R34" i="81"/>
  <c r="L34" i="81"/>
  <c r="F34" i="81"/>
  <c r="R33" i="81"/>
  <c r="F33" i="81"/>
  <c r="X32" i="81"/>
  <c r="L32" i="81"/>
  <c r="X30" i="81"/>
  <c r="X29" i="81"/>
  <c r="L29" i="81"/>
  <c r="F29" i="81"/>
  <c r="R28" i="81"/>
  <c r="L28" i="81"/>
  <c r="F28" i="81"/>
  <c r="X26" i="81"/>
  <c r="R26" i="81"/>
  <c r="L26" i="81"/>
  <c r="X25" i="81"/>
  <c r="R25" i="81"/>
  <c r="L25" i="81"/>
  <c r="X24" i="81"/>
  <c r="R24" i="81"/>
  <c r="F24" i="81"/>
  <c r="X23" i="81"/>
  <c r="L23" i="81"/>
  <c r="F23" i="81"/>
  <c r="X22" i="81"/>
  <c r="L22" i="81"/>
  <c r="F22" i="81"/>
  <c r="L21" i="81"/>
  <c r="F21" i="81"/>
  <c r="L20" i="81"/>
  <c r="F20" i="81"/>
  <c r="R19" i="81"/>
  <c r="L19" i="81"/>
  <c r="F19" i="81"/>
  <c r="X18" i="81"/>
  <c r="R18" i="81"/>
  <c r="L18" i="81"/>
  <c r="F18" i="81"/>
  <c r="X17" i="81"/>
  <c r="R17" i="81"/>
  <c r="L17" i="81"/>
  <c r="F17" i="81"/>
  <c r="X16" i="81"/>
  <c r="R16" i="81"/>
  <c r="L16" i="81"/>
  <c r="F16" i="81"/>
  <c r="R15" i="81"/>
  <c r="L15" i="81"/>
  <c r="F15" i="81"/>
  <c r="L14" i="81"/>
  <c r="F14" i="81"/>
  <c r="L13" i="81"/>
  <c r="F13" i="81"/>
  <c r="X12" i="81"/>
  <c r="L12" i="81"/>
  <c r="F12" i="81"/>
  <c r="X11" i="81"/>
  <c r="R11" i="81"/>
  <c r="L11" i="81"/>
  <c r="F11" i="81"/>
  <c r="X10" i="81"/>
  <c r="R10" i="81"/>
  <c r="L10" i="81"/>
  <c r="F10" i="81"/>
  <c r="X9" i="81"/>
  <c r="R9" i="81"/>
  <c r="F9" i="81"/>
  <c r="L8" i="81"/>
  <c r="F8" i="81"/>
  <c r="X1" i="81"/>
  <c r="V1" i="81"/>
  <c r="I1" i="81"/>
  <c r="E1" i="81"/>
  <c r="Y45" i="35"/>
  <c r="W45" i="35"/>
  <c r="U45" i="35"/>
  <c r="G45" i="35"/>
  <c r="Y44" i="35"/>
  <c r="W44" i="35"/>
  <c r="U44" i="35"/>
  <c r="Y43" i="35"/>
  <c r="W43" i="35"/>
  <c r="U43" i="35"/>
  <c r="G43" i="35"/>
  <c r="Y42" i="35"/>
  <c r="W42" i="35"/>
  <c r="U42" i="35"/>
  <c r="G42" i="35"/>
  <c r="Y39" i="35"/>
  <c r="W39" i="35"/>
  <c r="U39" i="35"/>
  <c r="G38" i="35"/>
  <c r="O37" i="35"/>
  <c r="N37" i="35"/>
  <c r="M37" i="35"/>
  <c r="Z36" i="35"/>
  <c r="Y36" i="35"/>
  <c r="X36" i="35"/>
  <c r="W36" i="35"/>
  <c r="V36" i="35"/>
  <c r="U36" i="35"/>
  <c r="O36" i="35"/>
  <c r="N36" i="35"/>
  <c r="M36" i="35"/>
  <c r="G35" i="35"/>
  <c r="G34" i="35"/>
  <c r="Y33" i="35"/>
  <c r="L4" i="110" s="1"/>
  <c r="W33" i="35"/>
  <c r="K4" i="110" s="1"/>
  <c r="U33" i="35"/>
  <c r="J4" i="110" s="1"/>
  <c r="H33" i="35"/>
  <c r="G33" i="35"/>
  <c r="Y32" i="35"/>
  <c r="L3" i="110" s="1"/>
  <c r="W32" i="35"/>
  <c r="K3" i="110" s="1"/>
  <c r="U32" i="35"/>
  <c r="J3" i="110" s="1"/>
  <c r="G32" i="35"/>
  <c r="Y31" i="35"/>
  <c r="L2" i="110" s="1"/>
  <c r="W31" i="35"/>
  <c r="K2" i="110" s="1"/>
  <c r="U31" i="35"/>
  <c r="J2" i="110" s="1"/>
  <c r="N30" i="35"/>
  <c r="M30" i="35"/>
  <c r="G30" i="35"/>
  <c r="Y28" i="35"/>
  <c r="W28" i="35"/>
  <c r="U28" i="35"/>
  <c r="Y27" i="35"/>
  <c r="W27" i="35"/>
  <c r="U27" i="35"/>
  <c r="N27" i="35"/>
  <c r="M27" i="35"/>
  <c r="G27" i="35"/>
  <c r="N26" i="35"/>
  <c r="M26" i="35"/>
  <c r="G25" i="35"/>
  <c r="Y24" i="35"/>
  <c r="W24" i="35"/>
  <c r="U24" i="35"/>
  <c r="H24" i="35"/>
  <c r="G24" i="35"/>
  <c r="Y23" i="35"/>
  <c r="W23" i="35"/>
  <c r="U23" i="35"/>
  <c r="G23" i="35"/>
  <c r="Y22" i="35"/>
  <c r="W22" i="35"/>
  <c r="U22" i="35"/>
  <c r="G21" i="35"/>
  <c r="O20" i="35"/>
  <c r="G20" i="35"/>
  <c r="Y19" i="35"/>
  <c r="W19" i="35"/>
  <c r="U19" i="35"/>
  <c r="G19" i="35"/>
  <c r="Y18" i="35"/>
  <c r="W18" i="35"/>
  <c r="U18" i="35"/>
  <c r="O18" i="35"/>
  <c r="G18" i="35"/>
  <c r="Y17" i="35"/>
  <c r="W17" i="35"/>
  <c r="U17" i="35"/>
  <c r="P17" i="35"/>
  <c r="O17" i="35"/>
  <c r="O16" i="35"/>
  <c r="Y14" i="35"/>
  <c r="W14" i="35"/>
  <c r="U14" i="35"/>
  <c r="G14" i="35"/>
  <c r="Y13" i="35"/>
  <c r="W13" i="35"/>
  <c r="U13" i="35"/>
  <c r="G13" i="35"/>
  <c r="Y12" i="35"/>
  <c r="W12" i="35"/>
  <c r="U12" i="35"/>
  <c r="O12" i="35"/>
  <c r="N12" i="35"/>
  <c r="H20" i="110" s="1"/>
  <c r="G12" i="35"/>
  <c r="O10" i="35"/>
  <c r="N10" i="35"/>
  <c r="G10" i="35"/>
  <c r="Z9" i="35"/>
  <c r="Y9" i="35"/>
  <c r="X9" i="35"/>
  <c r="W9" i="35"/>
  <c r="V9" i="35"/>
  <c r="U9" i="35"/>
  <c r="N9" i="35"/>
  <c r="Y8" i="35"/>
  <c r="W8" i="35"/>
  <c r="U8" i="35"/>
  <c r="O8" i="35"/>
  <c r="N8" i="35"/>
  <c r="Y7" i="35"/>
  <c r="W7" i="35"/>
  <c r="U7" i="35"/>
  <c r="O7" i="35"/>
  <c r="N7" i="35"/>
  <c r="G7" i="35"/>
  <c r="G8" i="35" s="1"/>
  <c r="Y6" i="35"/>
  <c r="W6" i="35"/>
  <c r="U6" i="35"/>
  <c r="X1" i="35"/>
  <c r="U1" i="35"/>
  <c r="H1" i="35"/>
  <c r="E1" i="35"/>
  <c r="W35" i="31"/>
  <c r="P35" i="31"/>
  <c r="K35" i="31"/>
  <c r="J35" i="31"/>
  <c r="I35" i="31"/>
  <c r="H35" i="31"/>
  <c r="G35" i="31"/>
  <c r="F35" i="31"/>
  <c r="W32" i="31"/>
  <c r="Q32" i="31"/>
  <c r="P32" i="31"/>
  <c r="K32" i="31"/>
  <c r="J32" i="31"/>
  <c r="I32" i="31"/>
  <c r="H32" i="31"/>
  <c r="G32" i="31"/>
  <c r="F32" i="31"/>
  <c r="X31" i="31"/>
  <c r="W31" i="31"/>
  <c r="Q31" i="31"/>
  <c r="P31" i="31"/>
  <c r="J31" i="31"/>
  <c r="H31" i="31"/>
  <c r="F31" i="31"/>
  <c r="X30" i="31"/>
  <c r="W30" i="31"/>
  <c r="Q30" i="31"/>
  <c r="P30" i="31"/>
  <c r="J30" i="31"/>
  <c r="H30" i="31"/>
  <c r="F30" i="31"/>
  <c r="X29" i="31"/>
  <c r="W29" i="31"/>
  <c r="Q29" i="31"/>
  <c r="P29" i="31"/>
  <c r="J29" i="31"/>
  <c r="H29" i="31"/>
  <c r="F29" i="31"/>
  <c r="X26" i="31"/>
  <c r="W26" i="31"/>
  <c r="Q26" i="31"/>
  <c r="P26" i="31"/>
  <c r="K26" i="31"/>
  <c r="J26" i="31"/>
  <c r="I26" i="31"/>
  <c r="H26" i="31"/>
  <c r="G26" i="31"/>
  <c r="F26" i="31"/>
  <c r="Q25" i="31"/>
  <c r="P25" i="31"/>
  <c r="K25" i="31"/>
  <c r="J25" i="31"/>
  <c r="I25" i="31"/>
  <c r="H25" i="31"/>
  <c r="G25" i="31"/>
  <c r="F25" i="31"/>
  <c r="X24" i="31"/>
  <c r="W24" i="31"/>
  <c r="Q24" i="31"/>
  <c r="P24" i="31"/>
  <c r="K24" i="31"/>
  <c r="J24" i="31"/>
  <c r="I24" i="31"/>
  <c r="H24" i="31"/>
  <c r="G24" i="31"/>
  <c r="F24" i="31"/>
  <c r="W21" i="31"/>
  <c r="P21" i="31"/>
  <c r="K21" i="31"/>
  <c r="J21" i="31"/>
  <c r="I21" i="31"/>
  <c r="H21" i="31"/>
  <c r="G21" i="31"/>
  <c r="F21" i="31"/>
  <c r="W20" i="31"/>
  <c r="P20" i="31"/>
  <c r="K20" i="31"/>
  <c r="J20" i="31"/>
  <c r="I20" i="31"/>
  <c r="H20" i="31"/>
  <c r="G20" i="31"/>
  <c r="F20" i="31"/>
  <c r="W19" i="31"/>
  <c r="T19" i="31"/>
  <c r="P19" i="31"/>
  <c r="K19" i="31"/>
  <c r="J19" i="31"/>
  <c r="I19" i="31"/>
  <c r="H19" i="31"/>
  <c r="G19" i="31"/>
  <c r="F19" i="31"/>
  <c r="W16" i="31"/>
  <c r="U16" i="31"/>
  <c r="T16" i="31"/>
  <c r="J16" i="31"/>
  <c r="H16" i="31"/>
  <c r="F16" i="31"/>
  <c r="E16" i="31"/>
  <c r="W15" i="31"/>
  <c r="U15" i="31"/>
  <c r="T15" i="31"/>
  <c r="Q15" i="31"/>
  <c r="P15" i="31"/>
  <c r="J15" i="31"/>
  <c r="H15" i="31"/>
  <c r="F15" i="31"/>
  <c r="E15" i="31"/>
  <c r="W14" i="31"/>
  <c r="U14" i="31"/>
  <c r="T14" i="31"/>
  <c r="Q14" i="31"/>
  <c r="P14" i="31"/>
  <c r="J14" i="31"/>
  <c r="H14" i="31"/>
  <c r="F14" i="31"/>
  <c r="E14" i="31"/>
  <c r="S9" i="31"/>
  <c r="D52" i="110" s="1"/>
  <c r="P9" i="31"/>
  <c r="B6" i="31"/>
  <c r="L5" i="31"/>
  <c r="O5" i="31"/>
  <c r="B5" i="31"/>
  <c r="B4" i="31"/>
  <c r="W3" i="31"/>
  <c r="B3" i="31"/>
  <c r="M110" i="80"/>
  <c r="L110" i="80"/>
  <c r="K110" i="80"/>
  <c r="J110" i="80"/>
  <c r="I110" i="80"/>
  <c r="H110" i="80"/>
  <c r="G110" i="80"/>
  <c r="F110" i="80"/>
  <c r="M109" i="80"/>
  <c r="L109" i="80"/>
  <c r="K109" i="80"/>
  <c r="J109" i="80"/>
  <c r="I109" i="80"/>
  <c r="H109" i="80"/>
  <c r="G109" i="80"/>
  <c r="F109" i="80"/>
  <c r="M108" i="80"/>
  <c r="L108" i="80"/>
  <c r="K108" i="80"/>
  <c r="J108" i="80"/>
  <c r="I108" i="80"/>
  <c r="H108" i="80"/>
  <c r="G108" i="80"/>
  <c r="F108" i="80"/>
  <c r="M107" i="80"/>
  <c r="L107" i="80"/>
  <c r="K107" i="80"/>
  <c r="J107" i="80"/>
  <c r="I107" i="80"/>
  <c r="H107" i="80"/>
  <c r="G107" i="80"/>
  <c r="F107" i="80"/>
  <c r="M105" i="80"/>
  <c r="L105" i="80"/>
  <c r="K105" i="80"/>
  <c r="J105" i="80"/>
  <c r="I105" i="80"/>
  <c r="H105" i="80"/>
  <c r="G105" i="80"/>
  <c r="F105" i="80"/>
  <c r="M104" i="80"/>
  <c r="L104" i="80"/>
  <c r="K104" i="80"/>
  <c r="J104" i="80"/>
  <c r="I104" i="80"/>
  <c r="H104" i="80"/>
  <c r="G104" i="80"/>
  <c r="F104" i="80"/>
  <c r="M103" i="80"/>
  <c r="L103" i="80"/>
  <c r="K103" i="80"/>
  <c r="J103" i="80"/>
  <c r="I103" i="80"/>
  <c r="H103" i="80"/>
  <c r="G103" i="80"/>
  <c r="F103" i="80"/>
  <c r="K102" i="80"/>
  <c r="M99" i="80"/>
  <c r="L99" i="80"/>
  <c r="K99" i="80"/>
  <c r="J99" i="80"/>
  <c r="I99" i="80"/>
  <c r="H99" i="80"/>
  <c r="G99" i="80"/>
  <c r="F99" i="80"/>
  <c r="M98" i="80"/>
  <c r="L98" i="80"/>
  <c r="K98" i="80"/>
  <c r="J98" i="80"/>
  <c r="I98" i="80"/>
  <c r="H98" i="80"/>
  <c r="G98" i="80"/>
  <c r="F98" i="80"/>
  <c r="M97" i="80"/>
  <c r="L97" i="80"/>
  <c r="K97" i="80"/>
  <c r="J97" i="80"/>
  <c r="I97" i="80"/>
  <c r="H97" i="80"/>
  <c r="G97" i="80"/>
  <c r="F97" i="80"/>
  <c r="M96" i="80"/>
  <c r="L96" i="80"/>
  <c r="K96" i="80"/>
  <c r="J96" i="80"/>
  <c r="I96" i="80"/>
  <c r="H96" i="80"/>
  <c r="G96" i="80"/>
  <c r="F96" i="80"/>
  <c r="M95" i="80"/>
  <c r="L95" i="80"/>
  <c r="K95" i="80"/>
  <c r="J95" i="80"/>
  <c r="I95" i="80"/>
  <c r="H95" i="80"/>
  <c r="G95" i="80"/>
  <c r="F95" i="80"/>
  <c r="M94" i="80"/>
  <c r="L94" i="80"/>
  <c r="K94" i="80"/>
  <c r="J94" i="80"/>
  <c r="I94" i="80"/>
  <c r="H94" i="80"/>
  <c r="G94" i="80"/>
  <c r="F94" i="80"/>
  <c r="M93" i="80"/>
  <c r="L93" i="80"/>
  <c r="K93" i="80"/>
  <c r="J93" i="80"/>
  <c r="I93" i="80"/>
  <c r="H93" i="80"/>
  <c r="G93" i="80"/>
  <c r="F93" i="80"/>
  <c r="M92" i="80"/>
  <c r="L92" i="80"/>
  <c r="K92" i="80"/>
  <c r="J92" i="80"/>
  <c r="I92" i="80"/>
  <c r="H92" i="80"/>
  <c r="G92" i="80"/>
  <c r="F92" i="80"/>
  <c r="M91" i="80"/>
  <c r="L91" i="80"/>
  <c r="K91" i="80"/>
  <c r="J91" i="80"/>
  <c r="I91" i="80"/>
  <c r="H91" i="80"/>
  <c r="G91" i="80"/>
  <c r="F91" i="80"/>
  <c r="M89" i="80"/>
  <c r="L89" i="80"/>
  <c r="K89" i="80"/>
  <c r="J89" i="80"/>
  <c r="I89" i="80"/>
  <c r="H89" i="80"/>
  <c r="G89" i="80"/>
  <c r="F89" i="80"/>
  <c r="K88" i="80"/>
  <c r="M82" i="80"/>
  <c r="L82" i="80"/>
  <c r="K82" i="80"/>
  <c r="J82" i="80"/>
  <c r="I82" i="80"/>
  <c r="H82" i="80"/>
  <c r="G82" i="80"/>
  <c r="F82" i="80"/>
  <c r="M81" i="80"/>
  <c r="L81" i="80"/>
  <c r="K81" i="80"/>
  <c r="J81" i="80"/>
  <c r="I81" i="80"/>
  <c r="H81" i="80"/>
  <c r="G81" i="80"/>
  <c r="F81" i="80"/>
  <c r="M80" i="80"/>
  <c r="M83" i="80" s="1"/>
  <c r="L80" i="80"/>
  <c r="L83" i="80" s="1"/>
  <c r="K80" i="80"/>
  <c r="K83" i="80" s="1"/>
  <c r="J80" i="80"/>
  <c r="J83" i="80" s="1"/>
  <c r="I80" i="80"/>
  <c r="I83" i="80" s="1"/>
  <c r="H80" i="80"/>
  <c r="H83" i="80" s="1"/>
  <c r="G80" i="80"/>
  <c r="G83" i="80" s="1"/>
  <c r="F80" i="80"/>
  <c r="M77" i="80"/>
  <c r="L77" i="80"/>
  <c r="K77" i="80"/>
  <c r="J77" i="80"/>
  <c r="I77" i="80"/>
  <c r="H77" i="80"/>
  <c r="G77" i="80"/>
  <c r="F77" i="80"/>
  <c r="M75" i="80"/>
  <c r="L75" i="80"/>
  <c r="K75" i="80"/>
  <c r="J75" i="80"/>
  <c r="I75" i="80"/>
  <c r="H75" i="80"/>
  <c r="G75" i="80"/>
  <c r="F75" i="80"/>
  <c r="M74" i="80"/>
  <c r="L74" i="80"/>
  <c r="K74" i="80"/>
  <c r="J74" i="80"/>
  <c r="I74" i="80"/>
  <c r="H74" i="80"/>
  <c r="G74" i="80"/>
  <c r="F74" i="80"/>
  <c r="M73" i="80"/>
  <c r="L73" i="80"/>
  <c r="K73" i="80"/>
  <c r="J73" i="80"/>
  <c r="I73" i="80"/>
  <c r="H73" i="80"/>
  <c r="G73" i="80"/>
  <c r="F73" i="80"/>
  <c r="M70" i="80"/>
  <c r="L70" i="80"/>
  <c r="K70" i="80"/>
  <c r="J70" i="80"/>
  <c r="I70" i="80"/>
  <c r="H70" i="80"/>
  <c r="G70" i="80"/>
  <c r="F70" i="80"/>
  <c r="M69" i="80"/>
  <c r="L69" i="80"/>
  <c r="K69" i="80"/>
  <c r="J69" i="80"/>
  <c r="I69" i="80"/>
  <c r="H69" i="80"/>
  <c r="G69" i="80"/>
  <c r="F69" i="80"/>
  <c r="M68" i="80"/>
  <c r="L68" i="80"/>
  <c r="K68" i="80"/>
  <c r="J68" i="80"/>
  <c r="I68" i="80"/>
  <c r="H68" i="80"/>
  <c r="G68" i="80"/>
  <c r="F68" i="80"/>
  <c r="M67" i="80"/>
  <c r="L67" i="80"/>
  <c r="K67" i="80"/>
  <c r="J67" i="80"/>
  <c r="I67" i="80"/>
  <c r="H67" i="80"/>
  <c r="G67" i="80"/>
  <c r="F67" i="80"/>
  <c r="M65" i="80"/>
  <c r="L65" i="80"/>
  <c r="K65" i="80"/>
  <c r="J65" i="80"/>
  <c r="I65" i="80"/>
  <c r="H65" i="80"/>
  <c r="G65" i="80"/>
  <c r="F65" i="80"/>
  <c r="N61" i="80"/>
  <c r="L61" i="80"/>
  <c r="J61" i="80"/>
  <c r="M55" i="80"/>
  <c r="L55" i="80"/>
  <c r="K55" i="80"/>
  <c r="J55" i="80"/>
  <c r="I55" i="80"/>
  <c r="H55" i="80"/>
  <c r="G55" i="80"/>
  <c r="F55" i="80"/>
  <c r="M54" i="80"/>
  <c r="L54" i="80"/>
  <c r="K54" i="80"/>
  <c r="J54" i="80"/>
  <c r="I54" i="80"/>
  <c r="H54" i="80"/>
  <c r="G54" i="80"/>
  <c r="F54" i="80"/>
  <c r="M53" i="80"/>
  <c r="L53" i="80"/>
  <c r="K53" i="80"/>
  <c r="J53" i="80"/>
  <c r="I53" i="80"/>
  <c r="H53" i="80"/>
  <c r="G53" i="80"/>
  <c r="F53" i="80"/>
  <c r="M51" i="80"/>
  <c r="L51" i="80"/>
  <c r="K51" i="80"/>
  <c r="J51" i="80"/>
  <c r="I51" i="80"/>
  <c r="H51" i="80"/>
  <c r="G51" i="80"/>
  <c r="F51" i="80"/>
  <c r="M50" i="80"/>
  <c r="L50" i="80"/>
  <c r="K50" i="80"/>
  <c r="J50" i="80"/>
  <c r="I50" i="80"/>
  <c r="H50" i="80"/>
  <c r="G50" i="80"/>
  <c r="F50" i="80"/>
  <c r="M49" i="80"/>
  <c r="L49" i="80"/>
  <c r="K49" i="80"/>
  <c r="J49" i="80"/>
  <c r="I49" i="80"/>
  <c r="H49" i="80"/>
  <c r="G49" i="80"/>
  <c r="F49" i="80"/>
  <c r="M48" i="80"/>
  <c r="L48" i="80"/>
  <c r="K48" i="80"/>
  <c r="J48" i="80"/>
  <c r="I48" i="80"/>
  <c r="H48" i="80"/>
  <c r="G48" i="80"/>
  <c r="F48" i="80"/>
  <c r="M47" i="80"/>
  <c r="L47" i="80"/>
  <c r="K47" i="80"/>
  <c r="J47" i="80"/>
  <c r="I47" i="80"/>
  <c r="H47" i="80"/>
  <c r="G47" i="80"/>
  <c r="F47" i="80"/>
  <c r="M46" i="80"/>
  <c r="L46" i="80"/>
  <c r="K46" i="80"/>
  <c r="J46" i="80"/>
  <c r="I46" i="80"/>
  <c r="H46" i="80"/>
  <c r="G46" i="80"/>
  <c r="F46" i="80"/>
  <c r="M45" i="80"/>
  <c r="L45" i="80"/>
  <c r="K45" i="80"/>
  <c r="J45" i="80"/>
  <c r="I45" i="80"/>
  <c r="H45" i="80"/>
  <c r="G45" i="80"/>
  <c r="F45" i="80"/>
  <c r="M44" i="80"/>
  <c r="L44" i="80"/>
  <c r="K44" i="80"/>
  <c r="J44" i="80"/>
  <c r="I44" i="80"/>
  <c r="H44" i="80"/>
  <c r="G44" i="80"/>
  <c r="F44" i="80"/>
  <c r="M43" i="80"/>
  <c r="L43" i="80"/>
  <c r="K43" i="80"/>
  <c r="J43" i="80"/>
  <c r="I43" i="80"/>
  <c r="H43" i="80"/>
  <c r="G43" i="80"/>
  <c r="F43" i="80"/>
  <c r="M39" i="80"/>
  <c r="L39" i="80"/>
  <c r="K39" i="80"/>
  <c r="J39" i="80"/>
  <c r="I39" i="80"/>
  <c r="H39" i="80"/>
  <c r="G39" i="80"/>
  <c r="F39" i="80"/>
  <c r="M38" i="80"/>
  <c r="L38" i="80"/>
  <c r="K38" i="80"/>
  <c r="J38" i="80"/>
  <c r="I38" i="80"/>
  <c r="H38" i="80"/>
  <c r="G38" i="80"/>
  <c r="F38" i="80"/>
  <c r="M36" i="80"/>
  <c r="L36" i="80"/>
  <c r="K36" i="80"/>
  <c r="J36" i="80"/>
  <c r="I36" i="80"/>
  <c r="H36" i="80"/>
  <c r="G36" i="80"/>
  <c r="F36" i="80"/>
  <c r="M35" i="80"/>
  <c r="L35" i="80"/>
  <c r="K35" i="80"/>
  <c r="J35" i="80"/>
  <c r="I35" i="80"/>
  <c r="H35" i="80"/>
  <c r="G35" i="80"/>
  <c r="F35" i="80"/>
  <c r="M33" i="80"/>
  <c r="L33" i="80"/>
  <c r="K33" i="80"/>
  <c r="J33" i="80"/>
  <c r="I33" i="80"/>
  <c r="H33" i="80"/>
  <c r="G33" i="80"/>
  <c r="F33" i="80"/>
  <c r="F28" i="80"/>
  <c r="F27" i="80"/>
  <c r="F26" i="80"/>
  <c r="F25" i="80"/>
  <c r="F24" i="80"/>
  <c r="F23" i="80"/>
  <c r="I20" i="80"/>
  <c r="H20" i="80"/>
  <c r="G20" i="80"/>
  <c r="G13" i="80"/>
  <c r="L10" i="80"/>
  <c r="H10" i="80"/>
  <c r="G10" i="80"/>
  <c r="H7" i="80"/>
  <c r="G7" i="80"/>
  <c r="H6" i="80"/>
  <c r="G6" i="80"/>
  <c r="I5" i="80"/>
  <c r="H5" i="80"/>
  <c r="G5" i="80"/>
  <c r="N1" i="80"/>
  <c r="L1" i="80"/>
  <c r="J1" i="80"/>
  <c r="R36" i="79"/>
  <c r="X35" i="79"/>
  <c r="X34" i="79"/>
  <c r="R34" i="79"/>
  <c r="L34" i="79"/>
  <c r="F34" i="79"/>
  <c r="R33" i="79"/>
  <c r="O75" i="8" s="1"/>
  <c r="F33" i="79"/>
  <c r="X32" i="79"/>
  <c r="L32" i="79"/>
  <c r="X30" i="79"/>
  <c r="X29" i="79"/>
  <c r="L29" i="79"/>
  <c r="F29" i="79"/>
  <c r="R28" i="79"/>
  <c r="L28" i="79"/>
  <c r="F28" i="79"/>
  <c r="X26" i="79"/>
  <c r="R26" i="79"/>
  <c r="L26" i="79"/>
  <c r="X25" i="79"/>
  <c r="R25" i="79"/>
  <c r="L25" i="79"/>
  <c r="X24" i="79"/>
  <c r="R24" i="79"/>
  <c r="F24" i="79"/>
  <c r="X23" i="79"/>
  <c r="L23" i="79"/>
  <c r="F23" i="79"/>
  <c r="X22" i="79"/>
  <c r="L22" i="79"/>
  <c r="F22" i="79"/>
  <c r="L21" i="79"/>
  <c r="F21" i="79"/>
  <c r="L20" i="79"/>
  <c r="F20" i="79"/>
  <c r="R19" i="79"/>
  <c r="L19" i="79"/>
  <c r="F19" i="79"/>
  <c r="X18" i="79"/>
  <c r="R18" i="79"/>
  <c r="L18" i="79"/>
  <c r="F18" i="79"/>
  <c r="X17" i="79"/>
  <c r="R17" i="79"/>
  <c r="L17" i="79"/>
  <c r="F17" i="79"/>
  <c r="X16" i="79"/>
  <c r="R16" i="79"/>
  <c r="L16" i="79"/>
  <c r="F16" i="79"/>
  <c r="R15" i="79"/>
  <c r="L15" i="79"/>
  <c r="F15" i="79"/>
  <c r="L14" i="79"/>
  <c r="F14" i="79"/>
  <c r="L13" i="79"/>
  <c r="F13" i="79"/>
  <c r="X12" i="79"/>
  <c r="L12" i="79"/>
  <c r="F12" i="79"/>
  <c r="X11" i="79"/>
  <c r="R11" i="79"/>
  <c r="L11" i="79"/>
  <c r="F11" i="79"/>
  <c r="X10" i="79"/>
  <c r="R10" i="79"/>
  <c r="L10" i="79"/>
  <c r="F10" i="79"/>
  <c r="X9" i="79"/>
  <c r="R9" i="79"/>
  <c r="F9" i="79"/>
  <c r="L8" i="79"/>
  <c r="F8" i="79"/>
  <c r="X1" i="79"/>
  <c r="V1" i="79"/>
  <c r="I1" i="79"/>
  <c r="E1" i="79"/>
  <c r="Y45" i="34"/>
  <c r="W45" i="34"/>
  <c r="U45" i="34"/>
  <c r="G45" i="34"/>
  <c r="Y44" i="34"/>
  <c r="W44" i="34"/>
  <c r="U44" i="34"/>
  <c r="Y43" i="34"/>
  <c r="W43" i="34"/>
  <c r="U43" i="34"/>
  <c r="G43" i="34"/>
  <c r="Y42" i="34"/>
  <c r="W42" i="34"/>
  <c r="U42" i="34"/>
  <c r="G42" i="34"/>
  <c r="Y39" i="34"/>
  <c r="W39" i="34"/>
  <c r="U39" i="34"/>
  <c r="G38" i="34"/>
  <c r="O37" i="34"/>
  <c r="N37" i="34"/>
  <c r="M37" i="34"/>
  <c r="Z36" i="34"/>
  <c r="Y36" i="34"/>
  <c r="X36" i="34"/>
  <c r="W36" i="34"/>
  <c r="V36" i="34"/>
  <c r="U36" i="34"/>
  <c r="O36" i="34"/>
  <c r="N36" i="34"/>
  <c r="M36" i="34"/>
  <c r="G35" i="34"/>
  <c r="G34" i="34"/>
  <c r="Y33" i="34"/>
  <c r="L4" i="113" s="1"/>
  <c r="W33" i="34"/>
  <c r="K4" i="113" s="1"/>
  <c r="U33" i="34"/>
  <c r="J4" i="113" s="1"/>
  <c r="H33" i="34"/>
  <c r="G33" i="34"/>
  <c r="Y32" i="34"/>
  <c r="L3" i="113" s="1"/>
  <c r="W32" i="34"/>
  <c r="K3" i="113" s="1"/>
  <c r="U32" i="34"/>
  <c r="J3" i="113" s="1"/>
  <c r="G32" i="34"/>
  <c r="Y31" i="34"/>
  <c r="L2" i="113" s="1"/>
  <c r="W31" i="34"/>
  <c r="K2" i="113" s="1"/>
  <c r="U31" i="34"/>
  <c r="J2" i="113" s="1"/>
  <c r="N30" i="34"/>
  <c r="M30" i="34"/>
  <c r="G30" i="34"/>
  <c r="Y28" i="34"/>
  <c r="W28" i="34"/>
  <c r="U28" i="34"/>
  <c r="Y27" i="34"/>
  <c r="W27" i="34"/>
  <c r="U27" i="34"/>
  <c r="N27" i="34"/>
  <c r="M27" i="34"/>
  <c r="G27" i="34"/>
  <c r="N26" i="34"/>
  <c r="M26" i="34"/>
  <c r="G25" i="34"/>
  <c r="Y24" i="34"/>
  <c r="W24" i="34"/>
  <c r="U24" i="34"/>
  <c r="H24" i="34"/>
  <c r="G24" i="34"/>
  <c r="Y23" i="34"/>
  <c r="W23" i="34"/>
  <c r="U23" i="34"/>
  <c r="G23" i="34"/>
  <c r="Y22" i="34"/>
  <c r="W22" i="34"/>
  <c r="U22" i="34"/>
  <c r="G21" i="34"/>
  <c r="O20" i="34"/>
  <c r="G20" i="34"/>
  <c r="Y19" i="34"/>
  <c r="W19" i="34"/>
  <c r="U19" i="34"/>
  <c r="G19" i="34"/>
  <c r="Y18" i="34"/>
  <c r="W18" i="34"/>
  <c r="U18" i="34"/>
  <c r="O18" i="34"/>
  <c r="G18" i="34"/>
  <c r="Y17" i="34"/>
  <c r="W17" i="34"/>
  <c r="U17" i="34"/>
  <c r="P17" i="34"/>
  <c r="O17" i="34"/>
  <c r="O16" i="34"/>
  <c r="Y14" i="34"/>
  <c r="W14" i="34"/>
  <c r="U14" i="34"/>
  <c r="G14" i="34"/>
  <c r="Y13" i="34"/>
  <c r="W13" i="34"/>
  <c r="U13" i="34"/>
  <c r="G13" i="34"/>
  <c r="Y12" i="34"/>
  <c r="W12" i="34"/>
  <c r="U12" i="34"/>
  <c r="O12" i="34"/>
  <c r="N12" i="34"/>
  <c r="G12" i="34"/>
  <c r="O10" i="34"/>
  <c r="N10" i="34"/>
  <c r="G10" i="34"/>
  <c r="G11" i="34" s="1"/>
  <c r="Z9" i="34"/>
  <c r="Y9" i="34"/>
  <c r="X9" i="34"/>
  <c r="W9" i="34"/>
  <c r="V9" i="34"/>
  <c r="U9" i="34"/>
  <c r="N9" i="34"/>
  <c r="Y8" i="34"/>
  <c r="W8" i="34"/>
  <c r="U8" i="34"/>
  <c r="O8" i="34"/>
  <c r="N8" i="34"/>
  <c r="Y7" i="34"/>
  <c r="W7" i="34"/>
  <c r="U7" i="34"/>
  <c r="O7" i="34"/>
  <c r="N7" i="34"/>
  <c r="G7" i="34"/>
  <c r="G8" i="34" s="1"/>
  <c r="Y6" i="34"/>
  <c r="W6" i="34"/>
  <c r="U6" i="34"/>
  <c r="X1" i="34"/>
  <c r="U1" i="34"/>
  <c r="H1" i="34"/>
  <c r="E1" i="34"/>
  <c r="W35" i="30"/>
  <c r="P35" i="30"/>
  <c r="K35" i="30"/>
  <c r="J35" i="30"/>
  <c r="I35" i="30"/>
  <c r="H35" i="30"/>
  <c r="G35" i="30"/>
  <c r="F35" i="30"/>
  <c r="W32" i="30"/>
  <c r="Q32" i="30"/>
  <c r="P32" i="30"/>
  <c r="K32" i="30"/>
  <c r="J32" i="30"/>
  <c r="I32" i="30"/>
  <c r="H32" i="30"/>
  <c r="G32" i="30"/>
  <c r="F32" i="30"/>
  <c r="X31" i="30"/>
  <c r="W31" i="30"/>
  <c r="Q31" i="30"/>
  <c r="P31" i="30"/>
  <c r="J31" i="30"/>
  <c r="H31" i="30"/>
  <c r="F31" i="30"/>
  <c r="X30" i="30"/>
  <c r="W30" i="30"/>
  <c r="Q30" i="30"/>
  <c r="P30" i="30"/>
  <c r="J30" i="30"/>
  <c r="H30" i="30"/>
  <c r="F30" i="30"/>
  <c r="X29" i="30"/>
  <c r="W29" i="30"/>
  <c r="Q29" i="30"/>
  <c r="P29" i="30"/>
  <c r="J29" i="30"/>
  <c r="H29" i="30"/>
  <c r="F29" i="30"/>
  <c r="X26" i="30"/>
  <c r="W26" i="30"/>
  <c r="Q26" i="30"/>
  <c r="P26" i="30"/>
  <c r="K26" i="30"/>
  <c r="J26" i="30"/>
  <c r="I26" i="30"/>
  <c r="H26" i="30"/>
  <c r="G26" i="30"/>
  <c r="F26" i="30"/>
  <c r="Q25" i="30"/>
  <c r="P25" i="30"/>
  <c r="K25" i="30"/>
  <c r="J25" i="30"/>
  <c r="I25" i="30"/>
  <c r="H25" i="30"/>
  <c r="G25" i="30"/>
  <c r="F25" i="30"/>
  <c r="X24" i="30"/>
  <c r="W24" i="30"/>
  <c r="Q24" i="30"/>
  <c r="P24" i="30"/>
  <c r="K24" i="30"/>
  <c r="J24" i="30"/>
  <c r="I24" i="30"/>
  <c r="H24" i="30"/>
  <c r="G24" i="30"/>
  <c r="F24" i="30"/>
  <c r="W21" i="30"/>
  <c r="P21" i="30"/>
  <c r="K21" i="30"/>
  <c r="J21" i="30"/>
  <c r="I21" i="30"/>
  <c r="H21" i="30"/>
  <c r="G21" i="30"/>
  <c r="F21" i="30"/>
  <c r="W20" i="30"/>
  <c r="P20" i="30"/>
  <c r="K20" i="30"/>
  <c r="J20" i="30"/>
  <c r="I20" i="30"/>
  <c r="H20" i="30"/>
  <c r="G20" i="30"/>
  <c r="F20" i="30"/>
  <c r="W19" i="30"/>
  <c r="T19" i="30"/>
  <c r="P19" i="30"/>
  <c r="K19" i="30"/>
  <c r="J19" i="30"/>
  <c r="I19" i="30"/>
  <c r="H19" i="30"/>
  <c r="G19" i="30"/>
  <c r="F19" i="30"/>
  <c r="W16" i="30"/>
  <c r="U16" i="30"/>
  <c r="T16" i="30"/>
  <c r="J16" i="30"/>
  <c r="H16" i="30"/>
  <c r="F16" i="30"/>
  <c r="E16" i="30"/>
  <c r="W15" i="30"/>
  <c r="U15" i="30"/>
  <c r="T15" i="30"/>
  <c r="Q15" i="30"/>
  <c r="P15" i="30"/>
  <c r="J15" i="30"/>
  <c r="H15" i="30"/>
  <c r="F15" i="30"/>
  <c r="E15" i="30"/>
  <c r="W14" i="30"/>
  <c r="U14" i="30"/>
  <c r="T14" i="30"/>
  <c r="Q14" i="30"/>
  <c r="P14" i="30"/>
  <c r="J14" i="30"/>
  <c r="H14" i="30"/>
  <c r="F14" i="30"/>
  <c r="E14" i="30"/>
  <c r="S9" i="30"/>
  <c r="D52" i="113" s="1"/>
  <c r="P9" i="30"/>
  <c r="B6" i="30"/>
  <c r="L5" i="30"/>
  <c r="O5" i="30"/>
  <c r="B5" i="30"/>
  <c r="B4" i="30"/>
  <c r="W3" i="30"/>
  <c r="B3" i="30"/>
  <c r="M110" i="78"/>
  <c r="L110" i="78"/>
  <c r="K110" i="78"/>
  <c r="J110" i="78"/>
  <c r="I110" i="78"/>
  <c r="H110" i="78"/>
  <c r="G110" i="78"/>
  <c r="F110" i="78"/>
  <c r="M109" i="78"/>
  <c r="L109" i="78"/>
  <c r="K109" i="78"/>
  <c r="J109" i="78"/>
  <c r="I109" i="78"/>
  <c r="H109" i="78"/>
  <c r="G109" i="78"/>
  <c r="F109" i="78"/>
  <c r="M108" i="78"/>
  <c r="L108" i="78"/>
  <c r="K108" i="78"/>
  <c r="J108" i="78"/>
  <c r="I108" i="78"/>
  <c r="H108" i="78"/>
  <c r="G108" i="78"/>
  <c r="F108" i="78"/>
  <c r="M107" i="78"/>
  <c r="L107" i="78"/>
  <c r="K107" i="78"/>
  <c r="J107" i="78"/>
  <c r="I107" i="78"/>
  <c r="H107" i="78"/>
  <c r="G107" i="78"/>
  <c r="F107" i="78"/>
  <c r="M105" i="78"/>
  <c r="L105" i="78"/>
  <c r="K105" i="78"/>
  <c r="J105" i="78"/>
  <c r="I105" i="78"/>
  <c r="H105" i="78"/>
  <c r="G105" i="78"/>
  <c r="F105" i="78"/>
  <c r="M104" i="78"/>
  <c r="L104" i="78"/>
  <c r="K104" i="78"/>
  <c r="J104" i="78"/>
  <c r="I104" i="78"/>
  <c r="H104" i="78"/>
  <c r="G104" i="78"/>
  <c r="F104" i="78"/>
  <c r="M103" i="78"/>
  <c r="L103" i="78"/>
  <c r="K103" i="78"/>
  <c r="J103" i="78"/>
  <c r="I103" i="78"/>
  <c r="H103" i="78"/>
  <c r="G103" i="78"/>
  <c r="F103" i="78"/>
  <c r="K102" i="78"/>
  <c r="M99" i="78"/>
  <c r="L99" i="78"/>
  <c r="K99" i="78"/>
  <c r="J99" i="78"/>
  <c r="I99" i="78"/>
  <c r="H99" i="78"/>
  <c r="G99" i="78"/>
  <c r="F99" i="78"/>
  <c r="M98" i="78"/>
  <c r="L98" i="78"/>
  <c r="K98" i="78"/>
  <c r="J98" i="78"/>
  <c r="I98" i="78"/>
  <c r="H98" i="78"/>
  <c r="G98" i="78"/>
  <c r="F98" i="78"/>
  <c r="M97" i="78"/>
  <c r="L97" i="78"/>
  <c r="K97" i="78"/>
  <c r="J97" i="78"/>
  <c r="I97" i="78"/>
  <c r="H97" i="78"/>
  <c r="G97" i="78"/>
  <c r="F97" i="78"/>
  <c r="M96" i="78"/>
  <c r="L96" i="78"/>
  <c r="K96" i="78"/>
  <c r="J96" i="78"/>
  <c r="I96" i="78"/>
  <c r="H96" i="78"/>
  <c r="G96" i="78"/>
  <c r="F96" i="78"/>
  <c r="M95" i="78"/>
  <c r="L95" i="78"/>
  <c r="K95" i="78"/>
  <c r="J95" i="78"/>
  <c r="I95" i="78"/>
  <c r="H95" i="78"/>
  <c r="G95" i="78"/>
  <c r="F95" i="78"/>
  <c r="M94" i="78"/>
  <c r="L94" i="78"/>
  <c r="K94" i="78"/>
  <c r="J94" i="78"/>
  <c r="I94" i="78"/>
  <c r="H94" i="78"/>
  <c r="G94" i="78"/>
  <c r="F94" i="78"/>
  <c r="M93" i="78"/>
  <c r="L93" i="78"/>
  <c r="K93" i="78"/>
  <c r="J93" i="78"/>
  <c r="I93" i="78"/>
  <c r="H93" i="78"/>
  <c r="G93" i="78"/>
  <c r="F93" i="78"/>
  <c r="M92" i="78"/>
  <c r="L92" i="78"/>
  <c r="K92" i="78"/>
  <c r="J92" i="78"/>
  <c r="I92" i="78"/>
  <c r="H92" i="78"/>
  <c r="G92" i="78"/>
  <c r="F92" i="78"/>
  <c r="M91" i="78"/>
  <c r="L91" i="78"/>
  <c r="K91" i="78"/>
  <c r="J91" i="78"/>
  <c r="I91" i="78"/>
  <c r="H91" i="78"/>
  <c r="G91" i="78"/>
  <c r="F91" i="78"/>
  <c r="M89" i="78"/>
  <c r="L89" i="78"/>
  <c r="K89" i="78"/>
  <c r="J89" i="78"/>
  <c r="I89" i="78"/>
  <c r="H89" i="78"/>
  <c r="G89" i="78"/>
  <c r="F89" i="78"/>
  <c r="K88" i="78"/>
  <c r="M82" i="78"/>
  <c r="L82" i="78"/>
  <c r="K82" i="78"/>
  <c r="J82" i="78"/>
  <c r="I82" i="78"/>
  <c r="H82" i="78"/>
  <c r="G82" i="78"/>
  <c r="F82" i="78"/>
  <c r="M81" i="78"/>
  <c r="L81" i="78"/>
  <c r="K81" i="78"/>
  <c r="J81" i="78"/>
  <c r="I81" i="78"/>
  <c r="H81" i="78"/>
  <c r="G81" i="78"/>
  <c r="F81" i="78"/>
  <c r="M80" i="78"/>
  <c r="L80" i="78"/>
  <c r="K80" i="78"/>
  <c r="K83" i="78" s="1"/>
  <c r="J80" i="78"/>
  <c r="J83" i="78" s="1"/>
  <c r="I80" i="78"/>
  <c r="I83" i="78" s="1"/>
  <c r="H80" i="78"/>
  <c r="H83" i="78" s="1"/>
  <c r="G80" i="78"/>
  <c r="G83" i="78" s="1"/>
  <c r="F80" i="78"/>
  <c r="F83" i="78" s="1"/>
  <c r="M77" i="78"/>
  <c r="L77" i="78"/>
  <c r="K77" i="78"/>
  <c r="J77" i="78"/>
  <c r="I77" i="78"/>
  <c r="H77" i="78"/>
  <c r="G77" i="78"/>
  <c r="F77" i="78"/>
  <c r="M75" i="78"/>
  <c r="L75" i="78"/>
  <c r="K75" i="78"/>
  <c r="J75" i="78"/>
  <c r="I75" i="78"/>
  <c r="H75" i="78"/>
  <c r="G75" i="78"/>
  <c r="F75" i="78"/>
  <c r="M74" i="78"/>
  <c r="L74" i="78"/>
  <c r="K74" i="78"/>
  <c r="J74" i="78"/>
  <c r="I74" i="78"/>
  <c r="H74" i="78"/>
  <c r="G74" i="78"/>
  <c r="F74" i="78"/>
  <c r="M73" i="78"/>
  <c r="L73" i="78"/>
  <c r="K73" i="78"/>
  <c r="J73" i="78"/>
  <c r="I73" i="78"/>
  <c r="H73" i="78"/>
  <c r="G73" i="78"/>
  <c r="F73" i="78"/>
  <c r="M70" i="78"/>
  <c r="L70" i="78"/>
  <c r="K70" i="78"/>
  <c r="J70" i="78"/>
  <c r="I70" i="78"/>
  <c r="H70" i="78"/>
  <c r="G70" i="78"/>
  <c r="F70" i="78"/>
  <c r="M69" i="78"/>
  <c r="L69" i="78"/>
  <c r="K69" i="78"/>
  <c r="J69" i="78"/>
  <c r="I69" i="78"/>
  <c r="H69" i="78"/>
  <c r="G69" i="78"/>
  <c r="F69" i="78"/>
  <c r="M68" i="78"/>
  <c r="L68" i="78"/>
  <c r="K68" i="78"/>
  <c r="J68" i="78"/>
  <c r="I68" i="78"/>
  <c r="H68" i="78"/>
  <c r="G68" i="78"/>
  <c r="F68" i="78"/>
  <c r="M67" i="78"/>
  <c r="L67" i="78"/>
  <c r="K67" i="78"/>
  <c r="J67" i="78"/>
  <c r="I67" i="78"/>
  <c r="H67" i="78"/>
  <c r="G67" i="78"/>
  <c r="F67" i="78"/>
  <c r="M65" i="78"/>
  <c r="L65" i="78"/>
  <c r="K65" i="78"/>
  <c r="J65" i="78"/>
  <c r="I65" i="78"/>
  <c r="H65" i="78"/>
  <c r="G65" i="78"/>
  <c r="F65" i="78"/>
  <c r="N61" i="78"/>
  <c r="L61" i="78"/>
  <c r="J61" i="78"/>
  <c r="M55" i="78"/>
  <c r="L55" i="78"/>
  <c r="K55" i="78"/>
  <c r="J55" i="78"/>
  <c r="I55" i="78"/>
  <c r="H55" i="78"/>
  <c r="G55" i="78"/>
  <c r="F55" i="78"/>
  <c r="M54" i="78"/>
  <c r="L54" i="78"/>
  <c r="K54" i="78"/>
  <c r="J54" i="78"/>
  <c r="I54" i="78"/>
  <c r="H54" i="78"/>
  <c r="G54" i="78"/>
  <c r="F54" i="78"/>
  <c r="M53" i="78"/>
  <c r="L53" i="78"/>
  <c r="K53" i="78"/>
  <c r="J53" i="78"/>
  <c r="I53" i="78"/>
  <c r="H53" i="78"/>
  <c r="G53" i="78"/>
  <c r="F53" i="78"/>
  <c r="M51" i="78"/>
  <c r="L51" i="78"/>
  <c r="K51" i="78"/>
  <c r="J51" i="78"/>
  <c r="I51" i="78"/>
  <c r="H51" i="78"/>
  <c r="G51" i="78"/>
  <c r="F51" i="78"/>
  <c r="M50" i="78"/>
  <c r="L50" i="78"/>
  <c r="K50" i="78"/>
  <c r="J50" i="78"/>
  <c r="I50" i="78"/>
  <c r="H50" i="78"/>
  <c r="G50" i="78"/>
  <c r="F50" i="78"/>
  <c r="M49" i="78"/>
  <c r="L49" i="78"/>
  <c r="K49" i="78"/>
  <c r="J49" i="78"/>
  <c r="I49" i="78"/>
  <c r="H49" i="78"/>
  <c r="G49" i="78"/>
  <c r="F49" i="78"/>
  <c r="M48" i="78"/>
  <c r="L48" i="78"/>
  <c r="K48" i="78"/>
  <c r="J48" i="78"/>
  <c r="I48" i="78"/>
  <c r="H48" i="78"/>
  <c r="G48" i="78"/>
  <c r="F48" i="78"/>
  <c r="M47" i="78"/>
  <c r="L47" i="78"/>
  <c r="K47" i="78"/>
  <c r="J47" i="78"/>
  <c r="I47" i="78"/>
  <c r="H47" i="78"/>
  <c r="G47" i="78"/>
  <c r="F47" i="78"/>
  <c r="M46" i="78"/>
  <c r="L46" i="78"/>
  <c r="K46" i="78"/>
  <c r="J46" i="78"/>
  <c r="I46" i="78"/>
  <c r="H46" i="78"/>
  <c r="G46" i="78"/>
  <c r="F46" i="78"/>
  <c r="M45" i="78"/>
  <c r="L45" i="78"/>
  <c r="K45" i="78"/>
  <c r="J45" i="78"/>
  <c r="I45" i="78"/>
  <c r="H45" i="78"/>
  <c r="G45" i="78"/>
  <c r="F45" i="78"/>
  <c r="M44" i="78"/>
  <c r="L44" i="78"/>
  <c r="K44" i="78"/>
  <c r="J44" i="78"/>
  <c r="I44" i="78"/>
  <c r="H44" i="78"/>
  <c r="G44" i="78"/>
  <c r="F44" i="78"/>
  <c r="M43" i="78"/>
  <c r="L43" i="78"/>
  <c r="K43" i="78"/>
  <c r="J43" i="78"/>
  <c r="I43" i="78"/>
  <c r="H43" i="78"/>
  <c r="G43" i="78"/>
  <c r="F43" i="78"/>
  <c r="M39" i="78"/>
  <c r="L39" i="78"/>
  <c r="K39" i="78"/>
  <c r="J39" i="78"/>
  <c r="I39" i="78"/>
  <c r="H39" i="78"/>
  <c r="G39" i="78"/>
  <c r="F39" i="78"/>
  <c r="M38" i="78"/>
  <c r="L38" i="78"/>
  <c r="K38" i="78"/>
  <c r="J38" i="78"/>
  <c r="I38" i="78"/>
  <c r="H38" i="78"/>
  <c r="G38" i="78"/>
  <c r="F38" i="78"/>
  <c r="M36" i="78"/>
  <c r="L36" i="78"/>
  <c r="K36" i="78"/>
  <c r="J36" i="78"/>
  <c r="I36" i="78"/>
  <c r="H36" i="78"/>
  <c r="G36" i="78"/>
  <c r="F36" i="78"/>
  <c r="M35" i="78"/>
  <c r="L35" i="78"/>
  <c r="K35" i="78"/>
  <c r="J35" i="78"/>
  <c r="I35" i="78"/>
  <c r="H35" i="78"/>
  <c r="G35" i="78"/>
  <c r="F35" i="78"/>
  <c r="M33" i="78"/>
  <c r="L33" i="78"/>
  <c r="K33" i="78"/>
  <c r="J33" i="78"/>
  <c r="I33" i="78"/>
  <c r="H33" i="78"/>
  <c r="G33" i="78"/>
  <c r="F33" i="78"/>
  <c r="F28" i="78"/>
  <c r="F27" i="78"/>
  <c r="F26" i="78"/>
  <c r="F25" i="78"/>
  <c r="F24" i="78"/>
  <c r="F23" i="78"/>
  <c r="I20" i="78"/>
  <c r="H20" i="78"/>
  <c r="G20" i="78"/>
  <c r="G13" i="78"/>
  <c r="L10" i="78"/>
  <c r="H10" i="78"/>
  <c r="G10" i="78"/>
  <c r="H7" i="78"/>
  <c r="G7" i="78"/>
  <c r="H6" i="78"/>
  <c r="G6" i="78"/>
  <c r="I5" i="78"/>
  <c r="H5" i="78"/>
  <c r="G5" i="78"/>
  <c r="N1" i="78"/>
  <c r="L1" i="78"/>
  <c r="J1" i="78"/>
  <c r="R36" i="77"/>
  <c r="X35" i="77"/>
  <c r="X34" i="77"/>
  <c r="R34" i="77"/>
  <c r="L34" i="77"/>
  <c r="F34" i="77"/>
  <c r="R33" i="77"/>
  <c r="O74" i="8" s="1"/>
  <c r="F33" i="77"/>
  <c r="X32" i="77"/>
  <c r="L32" i="77"/>
  <c r="X30" i="77"/>
  <c r="X29" i="77"/>
  <c r="L29" i="77"/>
  <c r="F29" i="77"/>
  <c r="R28" i="77"/>
  <c r="L28" i="77"/>
  <c r="F28" i="77"/>
  <c r="X26" i="77"/>
  <c r="R26" i="77"/>
  <c r="L26" i="77"/>
  <c r="X25" i="77"/>
  <c r="R25" i="77"/>
  <c r="L25" i="77"/>
  <c r="X24" i="77"/>
  <c r="R24" i="77"/>
  <c r="F24" i="77"/>
  <c r="X23" i="77"/>
  <c r="L23" i="77"/>
  <c r="F23" i="77"/>
  <c r="X22" i="77"/>
  <c r="L22" i="77"/>
  <c r="F22" i="77"/>
  <c r="L21" i="77"/>
  <c r="F21" i="77"/>
  <c r="L20" i="77"/>
  <c r="F20" i="77"/>
  <c r="R19" i="77"/>
  <c r="L19" i="77"/>
  <c r="F19" i="77"/>
  <c r="X18" i="77"/>
  <c r="R18" i="77"/>
  <c r="L18" i="77"/>
  <c r="F18" i="77"/>
  <c r="X17" i="77"/>
  <c r="R17" i="77"/>
  <c r="L17" i="77"/>
  <c r="F17" i="77"/>
  <c r="X16" i="77"/>
  <c r="R16" i="77"/>
  <c r="L16" i="77"/>
  <c r="F16" i="77"/>
  <c r="R15" i="77"/>
  <c r="L15" i="77"/>
  <c r="F15" i="77"/>
  <c r="L14" i="77"/>
  <c r="F14" i="77"/>
  <c r="L13" i="77"/>
  <c r="F13" i="77"/>
  <c r="X12" i="77"/>
  <c r="L12" i="77"/>
  <c r="F12" i="77"/>
  <c r="X11" i="77"/>
  <c r="R11" i="77"/>
  <c r="L11" i="77"/>
  <c r="F11" i="77"/>
  <c r="X10" i="77"/>
  <c r="R10" i="77"/>
  <c r="L10" i="77"/>
  <c r="F10" i="77"/>
  <c r="X9" i="77"/>
  <c r="R9" i="77"/>
  <c r="F9" i="77"/>
  <c r="L8" i="77"/>
  <c r="F8" i="77"/>
  <c r="X1" i="77"/>
  <c r="V1" i="77"/>
  <c r="I1" i="77"/>
  <c r="E1" i="77"/>
  <c r="Y45" i="29"/>
  <c r="W45" i="29"/>
  <c r="U45" i="29"/>
  <c r="G45" i="29"/>
  <c r="Y44" i="29"/>
  <c r="W44" i="29"/>
  <c r="U44" i="29"/>
  <c r="Y43" i="29"/>
  <c r="W43" i="29"/>
  <c r="U43" i="29"/>
  <c r="G43" i="29"/>
  <c r="Y42" i="29"/>
  <c r="W42" i="29"/>
  <c r="U42" i="29"/>
  <c r="G42" i="29"/>
  <c r="Y39" i="29"/>
  <c r="W39" i="29"/>
  <c r="U39" i="29"/>
  <c r="G38" i="29"/>
  <c r="O37" i="29"/>
  <c r="N37" i="29"/>
  <c r="M37" i="29"/>
  <c r="Z36" i="29"/>
  <c r="Y36" i="29"/>
  <c r="X36" i="29"/>
  <c r="W36" i="29"/>
  <c r="V36" i="29"/>
  <c r="U36" i="29"/>
  <c r="O36" i="29"/>
  <c r="N36" i="29"/>
  <c r="M36" i="29"/>
  <c r="G35" i="29"/>
  <c r="G34" i="29"/>
  <c r="Y33" i="29"/>
  <c r="L4" i="114" s="1"/>
  <c r="W33" i="29"/>
  <c r="K4" i="114" s="1"/>
  <c r="U33" i="29"/>
  <c r="J4" i="114" s="1"/>
  <c r="H33" i="29"/>
  <c r="G33" i="29"/>
  <c r="Y32" i="29"/>
  <c r="L3" i="114" s="1"/>
  <c r="W32" i="29"/>
  <c r="K3" i="114" s="1"/>
  <c r="U32" i="29"/>
  <c r="J3" i="114" s="1"/>
  <c r="G32" i="29"/>
  <c r="Y31" i="29"/>
  <c r="L2" i="114" s="1"/>
  <c r="W31" i="29"/>
  <c r="K2" i="114" s="1"/>
  <c r="U31" i="29"/>
  <c r="J2" i="114" s="1"/>
  <c r="N30" i="29"/>
  <c r="M30" i="29"/>
  <c r="G30" i="29"/>
  <c r="Y28" i="29"/>
  <c r="W28" i="29"/>
  <c r="U28" i="29"/>
  <c r="Y27" i="29"/>
  <c r="W27" i="29"/>
  <c r="U27" i="29"/>
  <c r="N27" i="29"/>
  <c r="M27" i="29"/>
  <c r="G27" i="29"/>
  <c r="N26" i="29"/>
  <c r="M26" i="29"/>
  <c r="G25" i="29"/>
  <c r="Y24" i="29"/>
  <c r="W24" i="29"/>
  <c r="U24" i="29"/>
  <c r="H24" i="29"/>
  <c r="G24" i="29"/>
  <c r="Y23" i="29"/>
  <c r="W23" i="29"/>
  <c r="U23" i="29"/>
  <c r="G23" i="29"/>
  <c r="Y22" i="29"/>
  <c r="W22" i="29"/>
  <c r="U22" i="29"/>
  <c r="G21" i="29"/>
  <c r="O20" i="29"/>
  <c r="G20" i="29"/>
  <c r="Y19" i="29"/>
  <c r="W19" i="29"/>
  <c r="U19" i="29"/>
  <c r="G19" i="29"/>
  <c r="Y18" i="29"/>
  <c r="W18" i="29"/>
  <c r="U18" i="29"/>
  <c r="O18" i="29"/>
  <c r="G18" i="29"/>
  <c r="Y17" i="29"/>
  <c r="W17" i="29"/>
  <c r="U17" i="29"/>
  <c r="P17" i="29"/>
  <c r="O17" i="29"/>
  <c r="O16" i="29"/>
  <c r="Y14" i="29"/>
  <c r="W14" i="29"/>
  <c r="U14" i="29"/>
  <c r="G14" i="29"/>
  <c r="Y13" i="29"/>
  <c r="W13" i="29"/>
  <c r="U13" i="29"/>
  <c r="G13" i="29"/>
  <c r="Y12" i="29"/>
  <c r="W12" i="29"/>
  <c r="U12" i="29"/>
  <c r="O12" i="29"/>
  <c r="N12" i="29"/>
  <c r="H20" i="114" s="1"/>
  <c r="G12" i="29"/>
  <c r="O10" i="29"/>
  <c r="N10" i="29"/>
  <c r="G10" i="29"/>
  <c r="G11" i="29" s="1"/>
  <c r="Z9" i="29"/>
  <c r="Y9" i="29"/>
  <c r="X9" i="29"/>
  <c r="W9" i="29"/>
  <c r="V9" i="29"/>
  <c r="U9" i="29"/>
  <c r="N9" i="29"/>
  <c r="Y8" i="29"/>
  <c r="W8" i="29"/>
  <c r="U8" i="29"/>
  <c r="O8" i="29"/>
  <c r="N8" i="29"/>
  <c r="Y7" i="29"/>
  <c r="W7" i="29"/>
  <c r="U7" i="29"/>
  <c r="O7" i="29"/>
  <c r="N7" i="29"/>
  <c r="G7" i="29"/>
  <c r="G8" i="29" s="1"/>
  <c r="Y6" i="29"/>
  <c r="W6" i="29"/>
  <c r="U6" i="29"/>
  <c r="X1" i="29"/>
  <c r="U1" i="29"/>
  <c r="H1" i="29"/>
  <c r="E1" i="29"/>
  <c r="W35" i="28"/>
  <c r="P35" i="28"/>
  <c r="K35" i="28"/>
  <c r="J35" i="28"/>
  <c r="I35" i="28"/>
  <c r="H35" i="28"/>
  <c r="G35" i="28"/>
  <c r="F35" i="28"/>
  <c r="W32" i="28"/>
  <c r="Q32" i="28"/>
  <c r="P32" i="28"/>
  <c r="K32" i="28"/>
  <c r="J32" i="28"/>
  <c r="I32" i="28"/>
  <c r="H32" i="28"/>
  <c r="G32" i="28"/>
  <c r="F32" i="28"/>
  <c r="X31" i="28"/>
  <c r="W31" i="28"/>
  <c r="Q31" i="28"/>
  <c r="P31" i="28"/>
  <c r="J31" i="28"/>
  <c r="H31" i="28"/>
  <c r="F31" i="28"/>
  <c r="X30" i="28"/>
  <c r="W30" i="28"/>
  <c r="Q30" i="28"/>
  <c r="P30" i="28"/>
  <c r="J30" i="28"/>
  <c r="H30" i="28"/>
  <c r="F30" i="28"/>
  <c r="X29" i="28"/>
  <c r="W29" i="28"/>
  <c r="Q29" i="28"/>
  <c r="P29" i="28"/>
  <c r="J29" i="28"/>
  <c r="H29" i="28"/>
  <c r="F29" i="28"/>
  <c r="X26" i="28"/>
  <c r="W26" i="28"/>
  <c r="H174" i="124" s="1"/>
  <c r="Q26" i="28"/>
  <c r="P26" i="28"/>
  <c r="H198" i="124" s="1"/>
  <c r="K26" i="28"/>
  <c r="J26" i="28"/>
  <c r="I26" i="28"/>
  <c r="H26" i="28"/>
  <c r="G26" i="28"/>
  <c r="F26" i="28"/>
  <c r="Q25" i="28"/>
  <c r="P25" i="28"/>
  <c r="K25" i="28"/>
  <c r="J25" i="28"/>
  <c r="I25" i="28"/>
  <c r="H25" i="28"/>
  <c r="G25" i="28"/>
  <c r="F25" i="28"/>
  <c r="X24" i="28"/>
  <c r="W24" i="28"/>
  <c r="Q24" i="28"/>
  <c r="P24" i="28"/>
  <c r="K24" i="28"/>
  <c r="J24" i="28"/>
  <c r="I24" i="28"/>
  <c r="H24" i="28"/>
  <c r="G24" i="28"/>
  <c r="F24" i="28"/>
  <c r="W21" i="28"/>
  <c r="H197" i="124" s="1"/>
  <c r="P21" i="28"/>
  <c r="K21" i="28"/>
  <c r="J21" i="28"/>
  <c r="I21" i="28"/>
  <c r="H21" i="28"/>
  <c r="G21" i="28"/>
  <c r="F21" i="28"/>
  <c r="W20" i="28"/>
  <c r="P20" i="28"/>
  <c r="K20" i="28"/>
  <c r="J20" i="28"/>
  <c r="I20" i="28"/>
  <c r="H20" i="28"/>
  <c r="G20" i="28"/>
  <c r="F20" i="28"/>
  <c r="W19" i="28"/>
  <c r="T19" i="28"/>
  <c r="P19" i="28"/>
  <c r="K19" i="28"/>
  <c r="J19" i="28"/>
  <c r="I19" i="28"/>
  <c r="H19" i="28"/>
  <c r="G19" i="28"/>
  <c r="F19" i="28"/>
  <c r="W16" i="28"/>
  <c r="U16" i="28"/>
  <c r="T16" i="28"/>
  <c r="J16" i="28"/>
  <c r="H16" i="28"/>
  <c r="F16" i="28"/>
  <c r="E16" i="28"/>
  <c r="W15" i="28"/>
  <c r="U15" i="28"/>
  <c r="T15" i="28"/>
  <c r="Q15" i="28"/>
  <c r="P15" i="28"/>
  <c r="J15" i="28"/>
  <c r="H15" i="28"/>
  <c r="F15" i="28"/>
  <c r="E15" i="28"/>
  <c r="W14" i="28"/>
  <c r="U14" i="28"/>
  <c r="T14" i="28"/>
  <c r="Q14" i="28"/>
  <c r="P14" i="28"/>
  <c r="J14" i="28"/>
  <c r="H14" i="28"/>
  <c r="F14" i="28"/>
  <c r="E14" i="28"/>
  <c r="S9" i="28"/>
  <c r="P9" i="28"/>
  <c r="B6" i="28"/>
  <c r="L5" i="28"/>
  <c r="O5" i="28"/>
  <c r="B5" i="28"/>
  <c r="B4" i="28"/>
  <c r="W3" i="28"/>
  <c r="B3" i="28"/>
  <c r="M110" i="76"/>
  <c r="L110" i="76"/>
  <c r="K110" i="76"/>
  <c r="J110" i="76"/>
  <c r="I110" i="76"/>
  <c r="H110" i="76"/>
  <c r="G110" i="76"/>
  <c r="F110" i="76"/>
  <c r="M109" i="76"/>
  <c r="L109" i="76"/>
  <c r="K109" i="76"/>
  <c r="J109" i="76"/>
  <c r="I109" i="76"/>
  <c r="H109" i="76"/>
  <c r="G109" i="76"/>
  <c r="F109" i="76"/>
  <c r="M108" i="76"/>
  <c r="L108" i="76"/>
  <c r="K108" i="76"/>
  <c r="J108" i="76"/>
  <c r="I108" i="76"/>
  <c r="H108" i="76"/>
  <c r="G108" i="76"/>
  <c r="F108" i="76"/>
  <c r="M107" i="76"/>
  <c r="L107" i="76"/>
  <c r="K107" i="76"/>
  <c r="J107" i="76"/>
  <c r="I107" i="76"/>
  <c r="H107" i="76"/>
  <c r="G107" i="76"/>
  <c r="F107" i="76"/>
  <c r="M105" i="76"/>
  <c r="L105" i="76"/>
  <c r="K105" i="76"/>
  <c r="J105" i="76"/>
  <c r="I105" i="76"/>
  <c r="H105" i="76"/>
  <c r="G105" i="76"/>
  <c r="F105" i="76"/>
  <c r="M104" i="76"/>
  <c r="L104" i="76"/>
  <c r="K104" i="76"/>
  <c r="J104" i="76"/>
  <c r="I104" i="76"/>
  <c r="H104" i="76"/>
  <c r="G104" i="76"/>
  <c r="F104" i="76"/>
  <c r="M103" i="76"/>
  <c r="L103" i="76"/>
  <c r="K103" i="76"/>
  <c r="J103" i="76"/>
  <c r="I103" i="76"/>
  <c r="H103" i="76"/>
  <c r="G103" i="76"/>
  <c r="F103" i="76"/>
  <c r="K102" i="76"/>
  <c r="M99" i="76"/>
  <c r="L99" i="76"/>
  <c r="K99" i="76"/>
  <c r="J99" i="76"/>
  <c r="I99" i="76"/>
  <c r="H99" i="76"/>
  <c r="G99" i="76"/>
  <c r="F99" i="76"/>
  <c r="M98" i="76"/>
  <c r="L98" i="76"/>
  <c r="K98" i="76"/>
  <c r="J98" i="76"/>
  <c r="I98" i="76"/>
  <c r="H98" i="76"/>
  <c r="G98" i="76"/>
  <c r="F98" i="76"/>
  <c r="M97" i="76"/>
  <c r="L97" i="76"/>
  <c r="K97" i="76"/>
  <c r="J97" i="76"/>
  <c r="I97" i="76"/>
  <c r="H97" i="76"/>
  <c r="G97" i="76"/>
  <c r="F97" i="76"/>
  <c r="M96" i="76"/>
  <c r="L96" i="76"/>
  <c r="K96" i="76"/>
  <c r="J96" i="76"/>
  <c r="I96" i="76"/>
  <c r="H96" i="76"/>
  <c r="G96" i="76"/>
  <c r="F96" i="76"/>
  <c r="M95" i="76"/>
  <c r="L95" i="76"/>
  <c r="K95" i="76"/>
  <c r="J95" i="76"/>
  <c r="I95" i="76"/>
  <c r="H95" i="76"/>
  <c r="G95" i="76"/>
  <c r="F95" i="76"/>
  <c r="M94" i="76"/>
  <c r="L94" i="76"/>
  <c r="K94" i="76"/>
  <c r="J94" i="76"/>
  <c r="I94" i="76"/>
  <c r="H94" i="76"/>
  <c r="G94" i="76"/>
  <c r="F94" i="76"/>
  <c r="M93" i="76"/>
  <c r="L93" i="76"/>
  <c r="K93" i="76"/>
  <c r="J93" i="76"/>
  <c r="I93" i="76"/>
  <c r="H93" i="76"/>
  <c r="G93" i="76"/>
  <c r="F93" i="76"/>
  <c r="M92" i="76"/>
  <c r="L92" i="76"/>
  <c r="K92" i="76"/>
  <c r="J92" i="76"/>
  <c r="I92" i="76"/>
  <c r="H92" i="76"/>
  <c r="G92" i="76"/>
  <c r="F92" i="76"/>
  <c r="M91" i="76"/>
  <c r="L91" i="76"/>
  <c r="K91" i="76"/>
  <c r="J91" i="76"/>
  <c r="I91" i="76"/>
  <c r="H91" i="76"/>
  <c r="G91" i="76"/>
  <c r="F91" i="76"/>
  <c r="M89" i="76"/>
  <c r="L89" i="76"/>
  <c r="K89" i="76"/>
  <c r="J89" i="76"/>
  <c r="I89" i="76"/>
  <c r="H89" i="76"/>
  <c r="G89" i="76"/>
  <c r="F89" i="76"/>
  <c r="K88" i="76"/>
  <c r="M82" i="76"/>
  <c r="L82" i="76"/>
  <c r="K82" i="76"/>
  <c r="J82" i="76"/>
  <c r="I82" i="76"/>
  <c r="H82" i="76"/>
  <c r="G82" i="76"/>
  <c r="F82" i="76"/>
  <c r="M81" i="76"/>
  <c r="L81" i="76"/>
  <c r="K81" i="76"/>
  <c r="J81" i="76"/>
  <c r="I81" i="76"/>
  <c r="H81" i="76"/>
  <c r="G81" i="76"/>
  <c r="F81" i="76"/>
  <c r="M80" i="76"/>
  <c r="L80" i="76"/>
  <c r="L83" i="76" s="1"/>
  <c r="K80" i="76"/>
  <c r="K83" i="76" s="1"/>
  <c r="J80" i="76"/>
  <c r="J83" i="76" s="1"/>
  <c r="I80" i="76"/>
  <c r="I83" i="76" s="1"/>
  <c r="H80" i="76"/>
  <c r="G80" i="76"/>
  <c r="G83" i="76" s="1"/>
  <c r="F80" i="76"/>
  <c r="F83" i="76" s="1"/>
  <c r="M77" i="76"/>
  <c r="L77" i="76"/>
  <c r="K77" i="76"/>
  <c r="J77" i="76"/>
  <c r="I77" i="76"/>
  <c r="H77" i="76"/>
  <c r="G77" i="76"/>
  <c r="F77" i="76"/>
  <c r="M75" i="76"/>
  <c r="L75" i="76"/>
  <c r="K75" i="76"/>
  <c r="J75" i="76"/>
  <c r="I75" i="76"/>
  <c r="H75" i="76"/>
  <c r="G75" i="76"/>
  <c r="F75" i="76"/>
  <c r="M74" i="76"/>
  <c r="L74" i="76"/>
  <c r="K74" i="76"/>
  <c r="J74" i="76"/>
  <c r="I74" i="76"/>
  <c r="H74" i="76"/>
  <c r="G74" i="76"/>
  <c r="F74" i="76"/>
  <c r="M73" i="76"/>
  <c r="L73" i="76"/>
  <c r="K73" i="76"/>
  <c r="J73" i="76"/>
  <c r="I73" i="76"/>
  <c r="H73" i="76"/>
  <c r="G73" i="76"/>
  <c r="F73" i="76"/>
  <c r="M70" i="76"/>
  <c r="L70" i="76"/>
  <c r="K70" i="76"/>
  <c r="J70" i="76"/>
  <c r="I70" i="76"/>
  <c r="H70" i="76"/>
  <c r="G70" i="76"/>
  <c r="F70" i="76"/>
  <c r="M69" i="76"/>
  <c r="L69" i="76"/>
  <c r="K69" i="76"/>
  <c r="J69" i="76"/>
  <c r="I69" i="76"/>
  <c r="H69" i="76"/>
  <c r="G69" i="76"/>
  <c r="F69" i="76"/>
  <c r="M68" i="76"/>
  <c r="L68" i="76"/>
  <c r="K68" i="76"/>
  <c r="J68" i="76"/>
  <c r="I68" i="76"/>
  <c r="H68" i="76"/>
  <c r="G68" i="76"/>
  <c r="F68" i="76"/>
  <c r="M67" i="76"/>
  <c r="L67" i="76"/>
  <c r="K67" i="76"/>
  <c r="J67" i="76"/>
  <c r="I67" i="76"/>
  <c r="H67" i="76"/>
  <c r="G67" i="76"/>
  <c r="F67" i="76"/>
  <c r="M65" i="76"/>
  <c r="L65" i="76"/>
  <c r="K65" i="76"/>
  <c r="J65" i="76"/>
  <c r="I65" i="76"/>
  <c r="H65" i="76"/>
  <c r="G65" i="76"/>
  <c r="F65" i="76"/>
  <c r="N61" i="76"/>
  <c r="L61" i="76"/>
  <c r="J61" i="76"/>
  <c r="M55" i="76"/>
  <c r="L55" i="76"/>
  <c r="K55" i="76"/>
  <c r="J55" i="76"/>
  <c r="I55" i="76"/>
  <c r="H55" i="76"/>
  <c r="G55" i="76"/>
  <c r="F55" i="76"/>
  <c r="M54" i="76"/>
  <c r="L54" i="76"/>
  <c r="K54" i="76"/>
  <c r="J54" i="76"/>
  <c r="I54" i="76"/>
  <c r="H54" i="76"/>
  <c r="G54" i="76"/>
  <c r="F54" i="76"/>
  <c r="M53" i="76"/>
  <c r="L53" i="76"/>
  <c r="K53" i="76"/>
  <c r="J53" i="76"/>
  <c r="I53" i="76"/>
  <c r="H53" i="76"/>
  <c r="G53" i="76"/>
  <c r="F53" i="76"/>
  <c r="M51" i="76"/>
  <c r="L51" i="76"/>
  <c r="K51" i="76"/>
  <c r="J51" i="76"/>
  <c r="I51" i="76"/>
  <c r="H51" i="76"/>
  <c r="G51" i="76"/>
  <c r="F51" i="76"/>
  <c r="M50" i="76"/>
  <c r="L50" i="76"/>
  <c r="K50" i="76"/>
  <c r="J50" i="76"/>
  <c r="I50" i="76"/>
  <c r="H50" i="76"/>
  <c r="G50" i="76"/>
  <c r="F50" i="76"/>
  <c r="M49" i="76"/>
  <c r="L49" i="76"/>
  <c r="K49" i="76"/>
  <c r="J49" i="76"/>
  <c r="I49" i="76"/>
  <c r="H49" i="76"/>
  <c r="G49" i="76"/>
  <c r="F49" i="76"/>
  <c r="M48" i="76"/>
  <c r="L48" i="76"/>
  <c r="K48" i="76"/>
  <c r="J48" i="76"/>
  <c r="I48" i="76"/>
  <c r="H48" i="76"/>
  <c r="G48" i="76"/>
  <c r="F48" i="76"/>
  <c r="M47" i="76"/>
  <c r="L47" i="76"/>
  <c r="K47" i="76"/>
  <c r="J47" i="76"/>
  <c r="I47" i="76"/>
  <c r="H47" i="76"/>
  <c r="G47" i="76"/>
  <c r="F47" i="76"/>
  <c r="M46" i="76"/>
  <c r="L46" i="76"/>
  <c r="K46" i="76"/>
  <c r="J46" i="76"/>
  <c r="I46" i="76"/>
  <c r="H46" i="76"/>
  <c r="G46" i="76"/>
  <c r="F46" i="76"/>
  <c r="M45" i="76"/>
  <c r="L45" i="76"/>
  <c r="K45" i="76"/>
  <c r="J45" i="76"/>
  <c r="I45" i="76"/>
  <c r="H45" i="76"/>
  <c r="G45" i="76"/>
  <c r="F45" i="76"/>
  <c r="M44" i="76"/>
  <c r="L44" i="76"/>
  <c r="K44" i="76"/>
  <c r="J44" i="76"/>
  <c r="I44" i="76"/>
  <c r="H44" i="76"/>
  <c r="G44" i="76"/>
  <c r="F44" i="76"/>
  <c r="M43" i="76"/>
  <c r="L43" i="76"/>
  <c r="K43" i="76"/>
  <c r="J43" i="76"/>
  <c r="I43" i="76"/>
  <c r="H43" i="76"/>
  <c r="G43" i="76"/>
  <c r="F43" i="76"/>
  <c r="M39" i="76"/>
  <c r="L39" i="76"/>
  <c r="K39" i="76"/>
  <c r="J39" i="76"/>
  <c r="I39" i="76"/>
  <c r="H39" i="76"/>
  <c r="G39" i="76"/>
  <c r="F39" i="76"/>
  <c r="M38" i="76"/>
  <c r="L38" i="76"/>
  <c r="K38" i="76"/>
  <c r="J38" i="76"/>
  <c r="I38" i="76"/>
  <c r="H38" i="76"/>
  <c r="G38" i="76"/>
  <c r="F38" i="76"/>
  <c r="M36" i="76"/>
  <c r="L36" i="76"/>
  <c r="K36" i="76"/>
  <c r="J36" i="76"/>
  <c r="I36" i="76"/>
  <c r="H36" i="76"/>
  <c r="G36" i="76"/>
  <c r="F36" i="76"/>
  <c r="M35" i="76"/>
  <c r="L35" i="76"/>
  <c r="K35" i="76"/>
  <c r="J35" i="76"/>
  <c r="I35" i="76"/>
  <c r="H35" i="76"/>
  <c r="G35" i="76"/>
  <c r="F35" i="76"/>
  <c r="M33" i="76"/>
  <c r="L33" i="76"/>
  <c r="K33" i="76"/>
  <c r="J33" i="76"/>
  <c r="I33" i="76"/>
  <c r="H33" i="76"/>
  <c r="G33" i="76"/>
  <c r="F33" i="76"/>
  <c r="F28" i="76"/>
  <c r="F27" i="76"/>
  <c r="F26" i="76"/>
  <c r="F25" i="76"/>
  <c r="F24" i="76"/>
  <c r="F23" i="76"/>
  <c r="I20" i="76"/>
  <c r="H20" i="76"/>
  <c r="G20" i="76"/>
  <c r="G13" i="76"/>
  <c r="L10" i="76"/>
  <c r="H10" i="76"/>
  <c r="G10" i="76"/>
  <c r="H7" i="76"/>
  <c r="G7" i="76"/>
  <c r="H6" i="76"/>
  <c r="G6" i="76"/>
  <c r="I5" i="76"/>
  <c r="H5" i="76"/>
  <c r="G5" i="76"/>
  <c r="N1" i="76"/>
  <c r="L1" i="76"/>
  <c r="J1" i="76"/>
  <c r="R36" i="75"/>
  <c r="X35" i="75"/>
  <c r="X34" i="75"/>
  <c r="R34" i="75"/>
  <c r="L34" i="75"/>
  <c r="F34" i="75"/>
  <c r="R33" i="75"/>
  <c r="F33" i="75"/>
  <c r="X32" i="75"/>
  <c r="L32" i="75"/>
  <c r="X30" i="75"/>
  <c r="X29" i="75"/>
  <c r="L29" i="75"/>
  <c r="F29" i="75"/>
  <c r="R28" i="75"/>
  <c r="L28" i="75"/>
  <c r="F28" i="75"/>
  <c r="X26" i="75"/>
  <c r="R26" i="75"/>
  <c r="L26" i="75"/>
  <c r="X25" i="75"/>
  <c r="R25" i="75"/>
  <c r="L25" i="75"/>
  <c r="X24" i="75"/>
  <c r="R24" i="75"/>
  <c r="F24" i="75"/>
  <c r="X23" i="75"/>
  <c r="L23" i="75"/>
  <c r="F23" i="75"/>
  <c r="X22" i="75"/>
  <c r="L22" i="75"/>
  <c r="F22" i="75"/>
  <c r="L21" i="75"/>
  <c r="F21" i="75"/>
  <c r="L20" i="75"/>
  <c r="F20" i="75"/>
  <c r="R19" i="75"/>
  <c r="L19" i="75"/>
  <c r="F19" i="75"/>
  <c r="X18" i="75"/>
  <c r="R18" i="75"/>
  <c r="L18" i="75"/>
  <c r="F18" i="75"/>
  <c r="X17" i="75"/>
  <c r="R17" i="75"/>
  <c r="L17" i="75"/>
  <c r="F17" i="75"/>
  <c r="X16" i="75"/>
  <c r="R16" i="75"/>
  <c r="L16" i="75"/>
  <c r="F16" i="75"/>
  <c r="R15" i="75"/>
  <c r="L15" i="75"/>
  <c r="F15" i="75"/>
  <c r="L14" i="75"/>
  <c r="F14" i="75"/>
  <c r="L13" i="75"/>
  <c r="F13" i="75"/>
  <c r="X12" i="75"/>
  <c r="L12" i="75"/>
  <c r="F12" i="75"/>
  <c r="X11" i="75"/>
  <c r="R11" i="75"/>
  <c r="L11" i="75"/>
  <c r="F11" i="75"/>
  <c r="X10" i="75"/>
  <c r="R10" i="75"/>
  <c r="L10" i="75"/>
  <c r="F10" i="75"/>
  <c r="X9" i="75"/>
  <c r="R9" i="75"/>
  <c r="F9" i="75"/>
  <c r="L8" i="75"/>
  <c r="F8" i="75"/>
  <c r="X1" i="75"/>
  <c r="V1" i="75"/>
  <c r="I1" i="75"/>
  <c r="E1" i="75"/>
  <c r="Y45" i="5"/>
  <c r="W45" i="5"/>
  <c r="U45" i="5"/>
  <c r="B7" i="115" s="1"/>
  <c r="G45" i="5"/>
  <c r="Y44" i="5"/>
  <c r="W44" i="5"/>
  <c r="U44" i="5"/>
  <c r="Y43" i="5"/>
  <c r="W43" i="5"/>
  <c r="U43" i="5"/>
  <c r="G43" i="5"/>
  <c r="Y42" i="5"/>
  <c r="W42" i="5"/>
  <c r="U42" i="5"/>
  <c r="G42" i="5"/>
  <c r="Y39" i="5"/>
  <c r="W39" i="5"/>
  <c r="U39" i="5"/>
  <c r="G38" i="5"/>
  <c r="O37" i="5"/>
  <c r="N37" i="5"/>
  <c r="M37" i="5"/>
  <c r="Z36" i="5"/>
  <c r="Y36" i="5"/>
  <c r="X36" i="5"/>
  <c r="W36" i="5"/>
  <c r="V36" i="5"/>
  <c r="U36" i="5"/>
  <c r="O36" i="5"/>
  <c r="N36" i="5"/>
  <c r="M36" i="5"/>
  <c r="G35" i="5"/>
  <c r="G34" i="5"/>
  <c r="H33" i="5"/>
  <c r="G33" i="5"/>
  <c r="G32" i="5"/>
  <c r="N30" i="5"/>
  <c r="M30" i="5"/>
  <c r="G30" i="5"/>
  <c r="N27" i="5"/>
  <c r="M27" i="5"/>
  <c r="G27" i="5"/>
  <c r="N26" i="5"/>
  <c r="M26" i="5"/>
  <c r="G25" i="5"/>
  <c r="H24" i="5"/>
  <c r="G24" i="5"/>
  <c r="G23" i="5"/>
  <c r="G21" i="5"/>
  <c r="O20" i="5"/>
  <c r="G20" i="5"/>
  <c r="G19" i="5"/>
  <c r="O18" i="5"/>
  <c r="G18" i="5"/>
  <c r="P17" i="5"/>
  <c r="O17" i="5"/>
  <c r="O16" i="5"/>
  <c r="G14" i="5"/>
  <c r="G13" i="5"/>
  <c r="O12" i="5"/>
  <c r="N12" i="5"/>
  <c r="H20" i="115" s="1"/>
  <c r="G12" i="5"/>
  <c r="O10" i="5"/>
  <c r="N10" i="5"/>
  <c r="G10" i="5"/>
  <c r="Z9" i="5"/>
  <c r="N9" i="5"/>
  <c r="O8" i="5"/>
  <c r="N8" i="5"/>
  <c r="O7" i="5"/>
  <c r="N7" i="5"/>
  <c r="G7" i="5"/>
  <c r="G8" i="5" s="1"/>
  <c r="X1" i="5"/>
  <c r="U1" i="5"/>
  <c r="H1" i="5"/>
  <c r="E1" i="5"/>
  <c r="W35" i="4"/>
  <c r="P35" i="4"/>
  <c r="K35" i="4"/>
  <c r="J35" i="4"/>
  <c r="I35" i="4"/>
  <c r="H35" i="4"/>
  <c r="G35" i="4"/>
  <c r="F35" i="4"/>
  <c r="W32" i="4"/>
  <c r="Q32" i="4"/>
  <c r="P32" i="4"/>
  <c r="K32" i="4"/>
  <c r="J32" i="4"/>
  <c r="I32" i="4"/>
  <c r="H32" i="4"/>
  <c r="G32" i="4"/>
  <c r="F32" i="4"/>
  <c r="X31" i="4"/>
  <c r="W31" i="4"/>
  <c r="Q31" i="4"/>
  <c r="P31" i="4"/>
  <c r="J31" i="4"/>
  <c r="H31" i="4"/>
  <c r="F31" i="4"/>
  <c r="X30" i="4"/>
  <c r="W30" i="4"/>
  <c r="Q30" i="4"/>
  <c r="P30" i="4"/>
  <c r="J30" i="4"/>
  <c r="H30" i="4"/>
  <c r="F30" i="4"/>
  <c r="X29" i="4"/>
  <c r="W29" i="4"/>
  <c r="Q29" i="4"/>
  <c r="P29" i="4"/>
  <c r="J29" i="4"/>
  <c r="H29" i="4"/>
  <c r="F29" i="4"/>
  <c r="X26" i="4"/>
  <c r="W26" i="4"/>
  <c r="Q26" i="4"/>
  <c r="P26" i="4"/>
  <c r="K26" i="4"/>
  <c r="J26" i="4"/>
  <c r="I26" i="4"/>
  <c r="H26" i="4"/>
  <c r="G26" i="4"/>
  <c r="F26" i="4"/>
  <c r="Q25" i="4"/>
  <c r="P25" i="4"/>
  <c r="K25" i="4"/>
  <c r="J25" i="4"/>
  <c r="I25" i="4"/>
  <c r="H25" i="4"/>
  <c r="G25" i="4"/>
  <c r="F25" i="4"/>
  <c r="X24" i="4"/>
  <c r="W24" i="4"/>
  <c r="Q24" i="4"/>
  <c r="P24" i="4"/>
  <c r="K24" i="4"/>
  <c r="J24" i="4"/>
  <c r="I24" i="4"/>
  <c r="H24" i="4"/>
  <c r="G24" i="4"/>
  <c r="F24" i="4"/>
  <c r="W21" i="4"/>
  <c r="P21" i="4"/>
  <c r="K21" i="4"/>
  <c r="J21" i="4"/>
  <c r="I21" i="4"/>
  <c r="H21" i="4"/>
  <c r="G21" i="4"/>
  <c r="F21" i="4"/>
  <c r="W20" i="4"/>
  <c r="P20" i="4"/>
  <c r="K20" i="4"/>
  <c r="J20" i="4"/>
  <c r="I20" i="4"/>
  <c r="H20" i="4"/>
  <c r="G20" i="4"/>
  <c r="F20" i="4"/>
  <c r="W19" i="4"/>
  <c r="T19" i="4"/>
  <c r="P19" i="4"/>
  <c r="K19" i="4"/>
  <c r="J19" i="4"/>
  <c r="I19" i="4"/>
  <c r="H19" i="4"/>
  <c r="G19" i="4"/>
  <c r="F19" i="4"/>
  <c r="W16" i="4"/>
  <c r="U16" i="4"/>
  <c r="T16" i="4"/>
  <c r="J16" i="4"/>
  <c r="H16" i="4"/>
  <c r="F16" i="4"/>
  <c r="E16" i="4"/>
  <c r="W15" i="4"/>
  <c r="U15" i="4"/>
  <c r="T15" i="4"/>
  <c r="Q15" i="4"/>
  <c r="P15" i="4"/>
  <c r="J15" i="4"/>
  <c r="H15" i="4"/>
  <c r="F15" i="4"/>
  <c r="E15" i="4"/>
  <c r="W14" i="4"/>
  <c r="U14" i="4"/>
  <c r="T14" i="4"/>
  <c r="Q14" i="4"/>
  <c r="P14" i="4"/>
  <c r="J14" i="4"/>
  <c r="H14" i="4"/>
  <c r="F14" i="4"/>
  <c r="E14" i="4"/>
  <c r="S9" i="4"/>
  <c r="P9" i="4"/>
  <c r="B6" i="4"/>
  <c r="L5" i="4"/>
  <c r="O5" i="4"/>
  <c r="B5" i="4"/>
  <c r="B4" i="4"/>
  <c r="W3" i="4"/>
  <c r="B3" i="4"/>
  <c r="M110" i="74"/>
  <c r="L110" i="74"/>
  <c r="K110" i="74"/>
  <c r="J110" i="74"/>
  <c r="I110" i="74"/>
  <c r="H110" i="74"/>
  <c r="G110" i="74"/>
  <c r="F110" i="74"/>
  <c r="M109" i="74"/>
  <c r="L109" i="74"/>
  <c r="K109" i="74"/>
  <c r="J109" i="74"/>
  <c r="I109" i="74"/>
  <c r="H109" i="74"/>
  <c r="G109" i="74"/>
  <c r="F109" i="74"/>
  <c r="M108" i="74"/>
  <c r="L108" i="74"/>
  <c r="K108" i="74"/>
  <c r="J108" i="74"/>
  <c r="I108" i="74"/>
  <c r="H108" i="74"/>
  <c r="G108" i="74"/>
  <c r="F108" i="74"/>
  <c r="M107" i="74"/>
  <c r="L107" i="74"/>
  <c r="K107" i="74"/>
  <c r="J107" i="74"/>
  <c r="I107" i="74"/>
  <c r="H107" i="74"/>
  <c r="G107" i="74"/>
  <c r="F107" i="74"/>
  <c r="M105" i="74"/>
  <c r="L105" i="74"/>
  <c r="K105" i="74"/>
  <c r="J105" i="74"/>
  <c r="I105" i="74"/>
  <c r="H105" i="74"/>
  <c r="G105" i="74"/>
  <c r="F105" i="74"/>
  <c r="M104" i="74"/>
  <c r="L104" i="74"/>
  <c r="K104" i="74"/>
  <c r="J104" i="74"/>
  <c r="I104" i="74"/>
  <c r="H104" i="74"/>
  <c r="G104" i="74"/>
  <c r="F104" i="74"/>
  <c r="M103" i="74"/>
  <c r="L103" i="74"/>
  <c r="K103" i="74"/>
  <c r="J103" i="74"/>
  <c r="I103" i="74"/>
  <c r="H103" i="74"/>
  <c r="G103" i="74"/>
  <c r="F103" i="74"/>
  <c r="K102" i="74"/>
  <c r="M99" i="74"/>
  <c r="L99" i="74"/>
  <c r="K99" i="74"/>
  <c r="J99" i="74"/>
  <c r="I99" i="74"/>
  <c r="H99" i="74"/>
  <c r="G99" i="74"/>
  <c r="F99" i="74"/>
  <c r="M98" i="74"/>
  <c r="L98" i="74"/>
  <c r="K98" i="74"/>
  <c r="J98" i="74"/>
  <c r="I98" i="74"/>
  <c r="H98" i="74"/>
  <c r="G98" i="74"/>
  <c r="F98" i="74"/>
  <c r="M97" i="74"/>
  <c r="L97" i="74"/>
  <c r="K97" i="74"/>
  <c r="J97" i="74"/>
  <c r="I97" i="74"/>
  <c r="H97" i="74"/>
  <c r="G97" i="74"/>
  <c r="F97" i="74"/>
  <c r="M96" i="74"/>
  <c r="L96" i="74"/>
  <c r="K96" i="74"/>
  <c r="J96" i="74"/>
  <c r="I96" i="74"/>
  <c r="H96" i="74"/>
  <c r="G96" i="74"/>
  <c r="F96" i="74"/>
  <c r="M95" i="74"/>
  <c r="L95" i="74"/>
  <c r="K95" i="74"/>
  <c r="J95" i="74"/>
  <c r="I95" i="74"/>
  <c r="H95" i="74"/>
  <c r="G95" i="74"/>
  <c r="F95" i="74"/>
  <c r="M94" i="74"/>
  <c r="L94" i="74"/>
  <c r="K94" i="74"/>
  <c r="J94" i="74"/>
  <c r="I94" i="74"/>
  <c r="H94" i="74"/>
  <c r="G94" i="74"/>
  <c r="F94" i="74"/>
  <c r="M93" i="74"/>
  <c r="L93" i="74"/>
  <c r="K93" i="74"/>
  <c r="J93" i="74"/>
  <c r="I93" i="74"/>
  <c r="H93" i="74"/>
  <c r="G93" i="74"/>
  <c r="F93" i="74"/>
  <c r="M92" i="74"/>
  <c r="L92" i="74"/>
  <c r="K92" i="74"/>
  <c r="J92" i="74"/>
  <c r="I92" i="74"/>
  <c r="H92" i="74"/>
  <c r="G92" i="74"/>
  <c r="F92" i="74"/>
  <c r="M91" i="74"/>
  <c r="L91" i="74"/>
  <c r="K91" i="74"/>
  <c r="J91" i="74"/>
  <c r="I91" i="74"/>
  <c r="H91" i="74"/>
  <c r="G91" i="74"/>
  <c r="F91" i="74"/>
  <c r="M89" i="74"/>
  <c r="L89" i="74"/>
  <c r="K89" i="74"/>
  <c r="J89" i="74"/>
  <c r="I89" i="74"/>
  <c r="H89" i="74"/>
  <c r="G89" i="74"/>
  <c r="F89" i="74"/>
  <c r="K88" i="74"/>
  <c r="M82" i="74"/>
  <c r="L82" i="74"/>
  <c r="K82" i="74"/>
  <c r="J82" i="74"/>
  <c r="I82" i="74"/>
  <c r="H82" i="74"/>
  <c r="G82" i="74"/>
  <c r="F82" i="74"/>
  <c r="M81" i="74"/>
  <c r="L81" i="74"/>
  <c r="K81" i="74"/>
  <c r="J81" i="74"/>
  <c r="I81" i="74"/>
  <c r="H81" i="74"/>
  <c r="G81" i="74"/>
  <c r="F81" i="74"/>
  <c r="M80" i="74"/>
  <c r="M83" i="74" s="1"/>
  <c r="L80" i="74"/>
  <c r="L83" i="74" s="1"/>
  <c r="K80" i="74"/>
  <c r="J80" i="74"/>
  <c r="I80" i="74"/>
  <c r="I83" i="74" s="1"/>
  <c r="H80" i="74"/>
  <c r="H83" i="74" s="1"/>
  <c r="G80" i="74"/>
  <c r="G83" i="74" s="1"/>
  <c r="F80" i="74"/>
  <c r="F83" i="74" s="1"/>
  <c r="M77" i="74"/>
  <c r="L77" i="74"/>
  <c r="K77" i="74"/>
  <c r="J77" i="74"/>
  <c r="I77" i="74"/>
  <c r="H77" i="74"/>
  <c r="G77" i="74"/>
  <c r="F77" i="74"/>
  <c r="M75" i="74"/>
  <c r="L75" i="74"/>
  <c r="K75" i="74"/>
  <c r="J75" i="74"/>
  <c r="I75" i="74"/>
  <c r="H75" i="74"/>
  <c r="G75" i="74"/>
  <c r="F75" i="74"/>
  <c r="M74" i="74"/>
  <c r="L74" i="74"/>
  <c r="K74" i="74"/>
  <c r="J74" i="74"/>
  <c r="I74" i="74"/>
  <c r="H74" i="74"/>
  <c r="G74" i="74"/>
  <c r="F74" i="74"/>
  <c r="M73" i="74"/>
  <c r="L73" i="74"/>
  <c r="K73" i="74"/>
  <c r="J73" i="74"/>
  <c r="I73" i="74"/>
  <c r="H73" i="74"/>
  <c r="G73" i="74"/>
  <c r="F73" i="74"/>
  <c r="M70" i="74"/>
  <c r="L70" i="74"/>
  <c r="K70" i="74"/>
  <c r="J70" i="74"/>
  <c r="I70" i="74"/>
  <c r="H70" i="74"/>
  <c r="G70" i="74"/>
  <c r="F70" i="74"/>
  <c r="M69" i="74"/>
  <c r="L69" i="74"/>
  <c r="K69" i="74"/>
  <c r="J69" i="74"/>
  <c r="I69" i="74"/>
  <c r="H69" i="74"/>
  <c r="G69" i="74"/>
  <c r="F69" i="74"/>
  <c r="M68" i="74"/>
  <c r="L68" i="74"/>
  <c r="K68" i="74"/>
  <c r="J68" i="74"/>
  <c r="I68" i="74"/>
  <c r="H68" i="74"/>
  <c r="G68" i="74"/>
  <c r="F68" i="74"/>
  <c r="M67" i="74"/>
  <c r="L67" i="74"/>
  <c r="K67" i="74"/>
  <c r="J67" i="74"/>
  <c r="I67" i="74"/>
  <c r="H67" i="74"/>
  <c r="G67" i="74"/>
  <c r="F67" i="74"/>
  <c r="M65" i="74"/>
  <c r="L65" i="74"/>
  <c r="K65" i="74"/>
  <c r="J65" i="74"/>
  <c r="I65" i="74"/>
  <c r="H65" i="74"/>
  <c r="G65" i="74"/>
  <c r="F65" i="74"/>
  <c r="N61" i="74"/>
  <c r="L61" i="74"/>
  <c r="J61" i="74"/>
  <c r="M55" i="74"/>
  <c r="L55" i="74"/>
  <c r="K55" i="74"/>
  <c r="J55" i="74"/>
  <c r="I55" i="74"/>
  <c r="H55" i="74"/>
  <c r="G55" i="74"/>
  <c r="F55" i="74"/>
  <c r="M54" i="74"/>
  <c r="L54" i="74"/>
  <c r="K54" i="74"/>
  <c r="J54" i="74"/>
  <c r="I54" i="74"/>
  <c r="H54" i="74"/>
  <c r="G54" i="74"/>
  <c r="F54" i="74"/>
  <c r="M53" i="74"/>
  <c r="L53" i="74"/>
  <c r="K53" i="74"/>
  <c r="J53" i="74"/>
  <c r="I53" i="74"/>
  <c r="H53" i="74"/>
  <c r="G53" i="74"/>
  <c r="F53" i="74"/>
  <c r="M51" i="74"/>
  <c r="L51" i="74"/>
  <c r="K51" i="74"/>
  <c r="J51" i="74"/>
  <c r="I51" i="74"/>
  <c r="H51" i="74"/>
  <c r="G51" i="74"/>
  <c r="F51" i="74"/>
  <c r="M50" i="74"/>
  <c r="L50" i="74"/>
  <c r="K50" i="74"/>
  <c r="J50" i="74"/>
  <c r="I50" i="74"/>
  <c r="H50" i="74"/>
  <c r="G50" i="74"/>
  <c r="F50" i="74"/>
  <c r="M49" i="74"/>
  <c r="L49" i="74"/>
  <c r="K49" i="74"/>
  <c r="J49" i="74"/>
  <c r="I49" i="74"/>
  <c r="H49" i="74"/>
  <c r="G49" i="74"/>
  <c r="F49" i="74"/>
  <c r="M48" i="74"/>
  <c r="L48" i="74"/>
  <c r="K48" i="74"/>
  <c r="J48" i="74"/>
  <c r="I48" i="74"/>
  <c r="H48" i="74"/>
  <c r="G48" i="74"/>
  <c r="F48" i="74"/>
  <c r="M47" i="74"/>
  <c r="L47" i="74"/>
  <c r="K47" i="74"/>
  <c r="J47" i="74"/>
  <c r="I47" i="74"/>
  <c r="H47" i="74"/>
  <c r="G47" i="74"/>
  <c r="F47" i="74"/>
  <c r="M46" i="74"/>
  <c r="L46" i="74"/>
  <c r="K46" i="74"/>
  <c r="J46" i="74"/>
  <c r="I46" i="74"/>
  <c r="H46" i="74"/>
  <c r="G46" i="74"/>
  <c r="F46" i="74"/>
  <c r="M45" i="74"/>
  <c r="L45" i="74"/>
  <c r="K45" i="74"/>
  <c r="J45" i="74"/>
  <c r="I45" i="74"/>
  <c r="H45" i="74"/>
  <c r="G45" i="74"/>
  <c r="F45" i="74"/>
  <c r="M44" i="74"/>
  <c r="L44" i="74"/>
  <c r="K44" i="74"/>
  <c r="J44" i="74"/>
  <c r="I44" i="74"/>
  <c r="H44" i="74"/>
  <c r="G44" i="74"/>
  <c r="F44" i="74"/>
  <c r="M43" i="74"/>
  <c r="L43" i="74"/>
  <c r="K43" i="74"/>
  <c r="J43" i="74"/>
  <c r="I43" i="74"/>
  <c r="H43" i="74"/>
  <c r="G43" i="74"/>
  <c r="F43" i="74"/>
  <c r="M39" i="74"/>
  <c r="L39" i="74"/>
  <c r="K39" i="74"/>
  <c r="J39" i="74"/>
  <c r="I39" i="74"/>
  <c r="H39" i="74"/>
  <c r="G39" i="74"/>
  <c r="F39" i="74"/>
  <c r="M38" i="74"/>
  <c r="L38" i="74"/>
  <c r="K38" i="74"/>
  <c r="J38" i="74"/>
  <c r="I38" i="74"/>
  <c r="H38" i="74"/>
  <c r="G38" i="74"/>
  <c r="F38" i="74"/>
  <c r="M36" i="74"/>
  <c r="L36" i="74"/>
  <c r="K36" i="74"/>
  <c r="J36" i="74"/>
  <c r="I36" i="74"/>
  <c r="H36" i="74"/>
  <c r="G36" i="74"/>
  <c r="F36" i="74"/>
  <c r="M35" i="74"/>
  <c r="L35" i="74"/>
  <c r="K35" i="74"/>
  <c r="J35" i="74"/>
  <c r="I35" i="74"/>
  <c r="H35" i="74"/>
  <c r="G35" i="74"/>
  <c r="F35" i="74"/>
  <c r="M33" i="74"/>
  <c r="L33" i="74"/>
  <c r="K33" i="74"/>
  <c r="J33" i="74"/>
  <c r="I33" i="74"/>
  <c r="H33" i="74"/>
  <c r="G33" i="74"/>
  <c r="F33" i="74"/>
  <c r="F28" i="74"/>
  <c r="F27" i="74"/>
  <c r="F26" i="74"/>
  <c r="F25" i="74"/>
  <c r="F24" i="74"/>
  <c r="F23" i="74"/>
  <c r="I20" i="74"/>
  <c r="H20" i="74"/>
  <c r="G20" i="74"/>
  <c r="G13" i="74"/>
  <c r="L10" i="74"/>
  <c r="H10" i="74"/>
  <c r="G10" i="74"/>
  <c r="H7" i="74"/>
  <c r="G7" i="74"/>
  <c r="H6" i="74"/>
  <c r="G6" i="74"/>
  <c r="I5" i="74"/>
  <c r="H5" i="74"/>
  <c r="G5" i="74"/>
  <c r="N1" i="74"/>
  <c r="L1" i="74"/>
  <c r="J1" i="74"/>
  <c r="R36" i="73"/>
  <c r="X35" i="73"/>
  <c r="X34" i="73"/>
  <c r="R34" i="73"/>
  <c r="L34" i="73"/>
  <c r="F34" i="73"/>
  <c r="R33" i="73"/>
  <c r="F33" i="73"/>
  <c r="X32" i="73"/>
  <c r="M67" i="116" s="1"/>
  <c r="L32" i="73"/>
  <c r="X30" i="73"/>
  <c r="X29" i="73"/>
  <c r="L29" i="73"/>
  <c r="F29" i="73"/>
  <c r="R28" i="73"/>
  <c r="L28" i="73"/>
  <c r="F28" i="73"/>
  <c r="X26" i="73"/>
  <c r="R26" i="73"/>
  <c r="L26" i="73"/>
  <c r="X25" i="73"/>
  <c r="R25" i="73"/>
  <c r="L25" i="73"/>
  <c r="X24" i="73"/>
  <c r="R24" i="73"/>
  <c r="F24" i="73"/>
  <c r="X23" i="73"/>
  <c r="L23" i="73"/>
  <c r="F23" i="73"/>
  <c r="X22" i="73"/>
  <c r="L22" i="73"/>
  <c r="F22" i="73"/>
  <c r="L21" i="73"/>
  <c r="F21" i="73"/>
  <c r="L20" i="73"/>
  <c r="F20" i="73"/>
  <c r="R19" i="73"/>
  <c r="L19" i="73"/>
  <c r="F19" i="73"/>
  <c r="X18" i="73"/>
  <c r="R18" i="73"/>
  <c r="L18" i="73"/>
  <c r="F18" i="73"/>
  <c r="X17" i="73"/>
  <c r="R17" i="73"/>
  <c r="L17" i="73"/>
  <c r="F17" i="73"/>
  <c r="X16" i="73"/>
  <c r="R16" i="73"/>
  <c r="L16" i="73"/>
  <c r="F16" i="73"/>
  <c r="R15" i="73"/>
  <c r="L15" i="73"/>
  <c r="F15" i="73"/>
  <c r="L14" i="73"/>
  <c r="F14" i="73"/>
  <c r="L13" i="73"/>
  <c r="F13" i="73"/>
  <c r="X12" i="73"/>
  <c r="L12" i="73"/>
  <c r="F12" i="73"/>
  <c r="X11" i="73"/>
  <c r="R11" i="73"/>
  <c r="L11" i="73"/>
  <c r="F11" i="73"/>
  <c r="X10" i="73"/>
  <c r="R10" i="73"/>
  <c r="L10" i="73"/>
  <c r="F10" i="73"/>
  <c r="X9" i="73"/>
  <c r="R9" i="73"/>
  <c r="F9" i="73"/>
  <c r="L8" i="73"/>
  <c r="F8" i="73"/>
  <c r="X1" i="73"/>
  <c r="V1" i="73"/>
  <c r="I1" i="73"/>
  <c r="E1" i="73"/>
  <c r="Y45" i="72"/>
  <c r="W45" i="72"/>
  <c r="U45" i="72"/>
  <c r="G45" i="72"/>
  <c r="Y44" i="72"/>
  <c r="W44" i="72"/>
  <c r="U44" i="72"/>
  <c r="Y43" i="72"/>
  <c r="W43" i="72"/>
  <c r="U43" i="72"/>
  <c r="G43" i="72"/>
  <c r="Y42" i="72"/>
  <c r="W42" i="72"/>
  <c r="U42" i="72"/>
  <c r="G42" i="72"/>
  <c r="Y39" i="72"/>
  <c r="W39" i="72"/>
  <c r="U39" i="72"/>
  <c r="G38" i="72"/>
  <c r="O37" i="72"/>
  <c r="N37" i="72"/>
  <c r="M37" i="72"/>
  <c r="Z36" i="72"/>
  <c r="Y36" i="72"/>
  <c r="X36" i="72"/>
  <c r="W36" i="72"/>
  <c r="V36" i="72"/>
  <c r="U36" i="72"/>
  <c r="O36" i="72"/>
  <c r="N36" i="72"/>
  <c r="M36" i="72"/>
  <c r="G35" i="72"/>
  <c r="G34" i="72"/>
  <c r="Y33" i="72"/>
  <c r="L4" i="116" s="1"/>
  <c r="W33" i="72"/>
  <c r="K4" i="116" s="1"/>
  <c r="U33" i="72"/>
  <c r="J4" i="116" s="1"/>
  <c r="H33" i="72"/>
  <c r="G33" i="72"/>
  <c r="Y32" i="72"/>
  <c r="L3" i="116" s="1"/>
  <c r="W32" i="72"/>
  <c r="K3" i="116" s="1"/>
  <c r="U32" i="72"/>
  <c r="J3" i="116" s="1"/>
  <c r="G32" i="72"/>
  <c r="Y31" i="72"/>
  <c r="L2" i="116" s="1"/>
  <c r="W31" i="72"/>
  <c r="K2" i="116" s="1"/>
  <c r="U31" i="72"/>
  <c r="J2" i="116" s="1"/>
  <c r="N30" i="72"/>
  <c r="M30" i="72"/>
  <c r="G30" i="72"/>
  <c r="Y28" i="72"/>
  <c r="W28" i="72"/>
  <c r="U28" i="72"/>
  <c r="Y27" i="72"/>
  <c r="W27" i="72"/>
  <c r="U27" i="72"/>
  <c r="N27" i="72"/>
  <c r="M27" i="72"/>
  <c r="G27" i="72"/>
  <c r="N26" i="72"/>
  <c r="M26" i="72"/>
  <c r="G25" i="72"/>
  <c r="Y24" i="72"/>
  <c r="W24" i="72"/>
  <c r="U24" i="72"/>
  <c r="H24" i="72"/>
  <c r="G24" i="72"/>
  <c r="Y23" i="72"/>
  <c r="W23" i="72"/>
  <c r="U23" i="72"/>
  <c r="G23" i="72"/>
  <c r="Y22" i="72"/>
  <c r="W22" i="72"/>
  <c r="U22" i="72"/>
  <c r="G21" i="72"/>
  <c r="O20" i="72"/>
  <c r="G20" i="72"/>
  <c r="Y19" i="72"/>
  <c r="W19" i="72"/>
  <c r="U19" i="72"/>
  <c r="G19" i="72"/>
  <c r="Y18" i="72"/>
  <c r="W18" i="72"/>
  <c r="U18" i="72"/>
  <c r="O18" i="72"/>
  <c r="G18" i="72"/>
  <c r="Y17" i="72"/>
  <c r="W17" i="72"/>
  <c r="U17" i="72"/>
  <c r="P17" i="72"/>
  <c r="O17" i="72"/>
  <c r="O16" i="72"/>
  <c r="Y14" i="72"/>
  <c r="W14" i="72"/>
  <c r="U14" i="72"/>
  <c r="G14" i="72"/>
  <c r="Y13" i="72"/>
  <c r="W13" i="72"/>
  <c r="U13" i="72"/>
  <c r="G13" i="72"/>
  <c r="Y12" i="72"/>
  <c r="W12" i="72"/>
  <c r="U12" i="72"/>
  <c r="O12" i="72"/>
  <c r="N12" i="72"/>
  <c r="G12" i="72"/>
  <c r="O10" i="72"/>
  <c r="N10" i="72"/>
  <c r="G10" i="72"/>
  <c r="Z9" i="72"/>
  <c r="Y9" i="72"/>
  <c r="X9" i="72"/>
  <c r="W9" i="72"/>
  <c r="V9" i="72"/>
  <c r="U9" i="72"/>
  <c r="N9" i="72"/>
  <c r="Y8" i="72"/>
  <c r="W8" i="72"/>
  <c r="U8" i="72"/>
  <c r="O8" i="72"/>
  <c r="N8" i="72"/>
  <c r="Y7" i="72"/>
  <c r="W7" i="72"/>
  <c r="U7" i="72"/>
  <c r="O7" i="72"/>
  <c r="N7" i="72"/>
  <c r="G7" i="72"/>
  <c r="G8" i="72" s="1"/>
  <c r="Y6" i="72"/>
  <c r="W6" i="72"/>
  <c r="U6" i="72"/>
  <c r="X1" i="72"/>
  <c r="U1" i="72"/>
  <c r="H1" i="72"/>
  <c r="E1" i="72"/>
  <c r="W35" i="71"/>
  <c r="P35" i="71"/>
  <c r="K35" i="71"/>
  <c r="J35" i="71"/>
  <c r="I35" i="71"/>
  <c r="H35" i="71"/>
  <c r="G35" i="71"/>
  <c r="F35" i="71"/>
  <c r="W32" i="71"/>
  <c r="Q32" i="71"/>
  <c r="P32" i="71"/>
  <c r="K32" i="71"/>
  <c r="J32" i="71"/>
  <c r="I32" i="71"/>
  <c r="H32" i="71"/>
  <c r="G32" i="71"/>
  <c r="F32" i="71"/>
  <c r="X31" i="71"/>
  <c r="W31" i="71"/>
  <c r="Q31" i="71"/>
  <c r="P31" i="71"/>
  <c r="J31" i="71"/>
  <c r="H31" i="71"/>
  <c r="F31" i="71"/>
  <c r="X30" i="71"/>
  <c r="W30" i="71"/>
  <c r="Q30" i="71"/>
  <c r="P30" i="71"/>
  <c r="J30" i="71"/>
  <c r="H30" i="71"/>
  <c r="F30" i="71"/>
  <c r="X29" i="71"/>
  <c r="W29" i="71"/>
  <c r="Q29" i="71"/>
  <c r="P29" i="71"/>
  <c r="J29" i="71"/>
  <c r="H29" i="71"/>
  <c r="F29" i="71"/>
  <c r="X26" i="71"/>
  <c r="W26" i="71"/>
  <c r="Q26" i="71"/>
  <c r="P26" i="71"/>
  <c r="K26" i="71"/>
  <c r="J26" i="71"/>
  <c r="I26" i="71"/>
  <c r="H26" i="71"/>
  <c r="G26" i="71"/>
  <c r="F26" i="71"/>
  <c r="Q25" i="71"/>
  <c r="P25" i="71"/>
  <c r="K25" i="71"/>
  <c r="J25" i="71"/>
  <c r="I25" i="71"/>
  <c r="H25" i="71"/>
  <c r="G25" i="71"/>
  <c r="F25" i="71"/>
  <c r="X24" i="71"/>
  <c r="W24" i="71"/>
  <c r="Q24" i="71"/>
  <c r="P24" i="71"/>
  <c r="K24" i="71"/>
  <c r="J24" i="71"/>
  <c r="I24" i="71"/>
  <c r="H24" i="71"/>
  <c r="G24" i="71"/>
  <c r="F24" i="71"/>
  <c r="W21" i="71"/>
  <c r="P21" i="71"/>
  <c r="K21" i="71"/>
  <c r="J21" i="71"/>
  <c r="I21" i="71"/>
  <c r="H21" i="71"/>
  <c r="G21" i="71"/>
  <c r="F21" i="71"/>
  <c r="W20" i="71"/>
  <c r="P20" i="71"/>
  <c r="K20" i="71"/>
  <c r="J20" i="71"/>
  <c r="I20" i="71"/>
  <c r="H20" i="71"/>
  <c r="G20" i="71"/>
  <c r="F20" i="71"/>
  <c r="W19" i="71"/>
  <c r="T19" i="71"/>
  <c r="P19" i="71"/>
  <c r="K19" i="71"/>
  <c r="J19" i="71"/>
  <c r="I19" i="71"/>
  <c r="H19" i="71"/>
  <c r="G19" i="71"/>
  <c r="F19" i="71"/>
  <c r="W16" i="71"/>
  <c r="U16" i="71"/>
  <c r="T16" i="71"/>
  <c r="J16" i="71"/>
  <c r="H16" i="71"/>
  <c r="F16" i="71"/>
  <c r="E16" i="71"/>
  <c r="W15" i="71"/>
  <c r="U15" i="71"/>
  <c r="T15" i="71"/>
  <c r="Q15" i="71"/>
  <c r="P15" i="71"/>
  <c r="J15" i="71"/>
  <c r="H15" i="71"/>
  <c r="F15" i="71"/>
  <c r="E15" i="71"/>
  <c r="W14" i="71"/>
  <c r="U14" i="71"/>
  <c r="T14" i="71"/>
  <c r="Q14" i="71"/>
  <c r="P14" i="71"/>
  <c r="J14" i="71"/>
  <c r="H14" i="71"/>
  <c r="F14" i="71"/>
  <c r="E14" i="71"/>
  <c r="S9" i="71"/>
  <c r="P9" i="71"/>
  <c r="B6" i="71"/>
  <c r="O5" i="71"/>
  <c r="L5" i="71"/>
  <c r="B5" i="71"/>
  <c r="B4" i="71"/>
  <c r="W3" i="71"/>
  <c r="B3" i="71"/>
  <c r="M110" i="70"/>
  <c r="L110" i="70"/>
  <c r="K110" i="70"/>
  <c r="J110" i="70"/>
  <c r="I110" i="70"/>
  <c r="H110" i="70"/>
  <c r="G110" i="70"/>
  <c r="F110" i="70"/>
  <c r="M109" i="70"/>
  <c r="L109" i="70"/>
  <c r="K109" i="70"/>
  <c r="J109" i="70"/>
  <c r="I109" i="70"/>
  <c r="H109" i="70"/>
  <c r="G109" i="70"/>
  <c r="F109" i="70"/>
  <c r="M108" i="70"/>
  <c r="L108" i="70"/>
  <c r="K108" i="70"/>
  <c r="J108" i="70"/>
  <c r="I108" i="70"/>
  <c r="H108" i="70"/>
  <c r="G108" i="70"/>
  <c r="F108" i="70"/>
  <c r="M107" i="70"/>
  <c r="L107" i="70"/>
  <c r="K107" i="70"/>
  <c r="J107" i="70"/>
  <c r="I107" i="70"/>
  <c r="H107" i="70"/>
  <c r="G107" i="70"/>
  <c r="F107" i="70"/>
  <c r="M105" i="70"/>
  <c r="L105" i="70"/>
  <c r="K105" i="70"/>
  <c r="J105" i="70"/>
  <c r="I105" i="70"/>
  <c r="H105" i="70"/>
  <c r="G105" i="70"/>
  <c r="F105" i="70"/>
  <c r="M104" i="70"/>
  <c r="L104" i="70"/>
  <c r="K104" i="70"/>
  <c r="J104" i="70"/>
  <c r="I104" i="70"/>
  <c r="H104" i="70"/>
  <c r="G104" i="70"/>
  <c r="F104" i="70"/>
  <c r="M103" i="70"/>
  <c r="L103" i="70"/>
  <c r="K103" i="70"/>
  <c r="J103" i="70"/>
  <c r="I103" i="70"/>
  <c r="H103" i="70"/>
  <c r="G103" i="70"/>
  <c r="F103" i="70"/>
  <c r="K102" i="70"/>
  <c r="M99" i="70"/>
  <c r="L99" i="70"/>
  <c r="K99" i="70"/>
  <c r="J99" i="70"/>
  <c r="I99" i="70"/>
  <c r="H99" i="70"/>
  <c r="G99" i="70"/>
  <c r="F99" i="70"/>
  <c r="M98" i="70"/>
  <c r="L98" i="70"/>
  <c r="K98" i="70"/>
  <c r="J98" i="70"/>
  <c r="I98" i="70"/>
  <c r="H98" i="70"/>
  <c r="G98" i="70"/>
  <c r="F98" i="70"/>
  <c r="M97" i="70"/>
  <c r="L97" i="70"/>
  <c r="K97" i="70"/>
  <c r="J97" i="70"/>
  <c r="I97" i="70"/>
  <c r="H97" i="70"/>
  <c r="G97" i="70"/>
  <c r="F97" i="70"/>
  <c r="M96" i="70"/>
  <c r="L96" i="70"/>
  <c r="K96" i="70"/>
  <c r="J96" i="70"/>
  <c r="I96" i="70"/>
  <c r="H96" i="70"/>
  <c r="G96" i="70"/>
  <c r="F96" i="70"/>
  <c r="M95" i="70"/>
  <c r="L95" i="70"/>
  <c r="K95" i="70"/>
  <c r="J95" i="70"/>
  <c r="I95" i="70"/>
  <c r="H95" i="70"/>
  <c r="G95" i="70"/>
  <c r="F95" i="70"/>
  <c r="M94" i="70"/>
  <c r="L94" i="70"/>
  <c r="K94" i="70"/>
  <c r="J94" i="70"/>
  <c r="I94" i="70"/>
  <c r="H94" i="70"/>
  <c r="G94" i="70"/>
  <c r="F94" i="70"/>
  <c r="M93" i="70"/>
  <c r="L93" i="70"/>
  <c r="K93" i="70"/>
  <c r="J93" i="70"/>
  <c r="I93" i="70"/>
  <c r="H93" i="70"/>
  <c r="G93" i="70"/>
  <c r="F93" i="70"/>
  <c r="M92" i="70"/>
  <c r="L92" i="70"/>
  <c r="K92" i="70"/>
  <c r="J92" i="70"/>
  <c r="I92" i="70"/>
  <c r="H92" i="70"/>
  <c r="G92" i="70"/>
  <c r="F92" i="70"/>
  <c r="M91" i="70"/>
  <c r="L91" i="70"/>
  <c r="K91" i="70"/>
  <c r="J91" i="70"/>
  <c r="I91" i="70"/>
  <c r="H91" i="70"/>
  <c r="G91" i="70"/>
  <c r="F91" i="70"/>
  <c r="M89" i="70"/>
  <c r="L89" i="70"/>
  <c r="K89" i="70"/>
  <c r="J89" i="70"/>
  <c r="I89" i="70"/>
  <c r="H89" i="70"/>
  <c r="G89" i="70"/>
  <c r="F89" i="70"/>
  <c r="K88" i="70"/>
  <c r="M82" i="70"/>
  <c r="L82" i="70"/>
  <c r="K82" i="70"/>
  <c r="J82" i="70"/>
  <c r="I82" i="70"/>
  <c r="H82" i="70"/>
  <c r="G82" i="70"/>
  <c r="F82" i="70"/>
  <c r="M81" i="70"/>
  <c r="L81" i="70"/>
  <c r="K81" i="70"/>
  <c r="J81" i="70"/>
  <c r="I81" i="70"/>
  <c r="H81" i="70"/>
  <c r="G81" i="70"/>
  <c r="F81" i="70"/>
  <c r="M80" i="70"/>
  <c r="M83" i="70" s="1"/>
  <c r="L80" i="70"/>
  <c r="L83" i="70" s="1"/>
  <c r="K80" i="70"/>
  <c r="K83" i="70" s="1"/>
  <c r="J80" i="70"/>
  <c r="J83" i="70" s="1"/>
  <c r="I80" i="70"/>
  <c r="I83" i="70" s="1"/>
  <c r="H80" i="70"/>
  <c r="H83" i="70" s="1"/>
  <c r="G80" i="70"/>
  <c r="G83" i="70" s="1"/>
  <c r="F80" i="70"/>
  <c r="F83" i="70" s="1"/>
  <c r="M77" i="70"/>
  <c r="L77" i="70"/>
  <c r="K77" i="70"/>
  <c r="J77" i="70"/>
  <c r="I77" i="70"/>
  <c r="H77" i="70"/>
  <c r="G77" i="70"/>
  <c r="F77" i="70"/>
  <c r="M75" i="70"/>
  <c r="L75" i="70"/>
  <c r="K75" i="70"/>
  <c r="J75" i="70"/>
  <c r="I75" i="70"/>
  <c r="H75" i="70"/>
  <c r="G75" i="70"/>
  <c r="F75" i="70"/>
  <c r="M74" i="70"/>
  <c r="L74" i="70"/>
  <c r="K74" i="70"/>
  <c r="J74" i="70"/>
  <c r="I74" i="70"/>
  <c r="H74" i="70"/>
  <c r="G74" i="70"/>
  <c r="F74" i="70"/>
  <c r="M73" i="70"/>
  <c r="L73" i="70"/>
  <c r="K73" i="70"/>
  <c r="J73" i="70"/>
  <c r="I73" i="70"/>
  <c r="H73" i="70"/>
  <c r="G73" i="70"/>
  <c r="F73" i="70"/>
  <c r="M70" i="70"/>
  <c r="L70" i="70"/>
  <c r="K70" i="70"/>
  <c r="J70" i="70"/>
  <c r="I70" i="70"/>
  <c r="H70" i="70"/>
  <c r="G70" i="70"/>
  <c r="F70" i="70"/>
  <c r="M69" i="70"/>
  <c r="L69" i="70"/>
  <c r="K69" i="70"/>
  <c r="J69" i="70"/>
  <c r="I69" i="70"/>
  <c r="H69" i="70"/>
  <c r="G69" i="70"/>
  <c r="F69" i="70"/>
  <c r="M68" i="70"/>
  <c r="L68" i="70"/>
  <c r="K68" i="70"/>
  <c r="J68" i="70"/>
  <c r="I68" i="70"/>
  <c r="H68" i="70"/>
  <c r="G68" i="70"/>
  <c r="F68" i="70"/>
  <c r="M67" i="70"/>
  <c r="L67" i="70"/>
  <c r="K67" i="70"/>
  <c r="J67" i="70"/>
  <c r="I67" i="70"/>
  <c r="H67" i="70"/>
  <c r="G67" i="70"/>
  <c r="F67" i="70"/>
  <c r="M65" i="70"/>
  <c r="L65" i="70"/>
  <c r="K65" i="70"/>
  <c r="J65" i="70"/>
  <c r="I65" i="70"/>
  <c r="H65" i="70"/>
  <c r="G65" i="70"/>
  <c r="F65" i="70"/>
  <c r="N61" i="70"/>
  <c r="L61" i="70"/>
  <c r="J61" i="70"/>
  <c r="M55" i="70"/>
  <c r="L55" i="70"/>
  <c r="K55" i="70"/>
  <c r="J55" i="70"/>
  <c r="I55" i="70"/>
  <c r="H55" i="70"/>
  <c r="G55" i="70"/>
  <c r="F55" i="70"/>
  <c r="M54" i="70"/>
  <c r="L54" i="70"/>
  <c r="K54" i="70"/>
  <c r="J54" i="70"/>
  <c r="I54" i="70"/>
  <c r="H54" i="70"/>
  <c r="G54" i="70"/>
  <c r="F54" i="70"/>
  <c r="M53" i="70"/>
  <c r="L53" i="70"/>
  <c r="K53" i="70"/>
  <c r="J53" i="70"/>
  <c r="I53" i="70"/>
  <c r="H53" i="70"/>
  <c r="G53" i="70"/>
  <c r="F53" i="70"/>
  <c r="M51" i="70"/>
  <c r="L51" i="70"/>
  <c r="K51" i="70"/>
  <c r="J51" i="70"/>
  <c r="I51" i="70"/>
  <c r="H51" i="70"/>
  <c r="G51" i="70"/>
  <c r="F51" i="70"/>
  <c r="M50" i="70"/>
  <c r="L50" i="70"/>
  <c r="K50" i="70"/>
  <c r="J50" i="70"/>
  <c r="I50" i="70"/>
  <c r="H50" i="70"/>
  <c r="G50" i="70"/>
  <c r="F50" i="70"/>
  <c r="M49" i="70"/>
  <c r="L49" i="70"/>
  <c r="K49" i="70"/>
  <c r="J49" i="70"/>
  <c r="I49" i="70"/>
  <c r="H49" i="70"/>
  <c r="G49" i="70"/>
  <c r="F49" i="70"/>
  <c r="M48" i="70"/>
  <c r="L48" i="70"/>
  <c r="K48" i="70"/>
  <c r="J48" i="70"/>
  <c r="I48" i="70"/>
  <c r="H48" i="70"/>
  <c r="G48" i="70"/>
  <c r="F48" i="70"/>
  <c r="M47" i="70"/>
  <c r="L47" i="70"/>
  <c r="K47" i="70"/>
  <c r="J47" i="70"/>
  <c r="I47" i="70"/>
  <c r="H47" i="70"/>
  <c r="G47" i="70"/>
  <c r="F47" i="70"/>
  <c r="M46" i="70"/>
  <c r="L46" i="70"/>
  <c r="K46" i="70"/>
  <c r="J46" i="70"/>
  <c r="I46" i="70"/>
  <c r="H46" i="70"/>
  <c r="G46" i="70"/>
  <c r="F46" i="70"/>
  <c r="M45" i="70"/>
  <c r="L45" i="70"/>
  <c r="K45" i="70"/>
  <c r="J45" i="70"/>
  <c r="I45" i="70"/>
  <c r="H45" i="70"/>
  <c r="G45" i="70"/>
  <c r="F45" i="70"/>
  <c r="M44" i="70"/>
  <c r="L44" i="70"/>
  <c r="K44" i="70"/>
  <c r="J44" i="70"/>
  <c r="I44" i="70"/>
  <c r="H44" i="70"/>
  <c r="G44" i="70"/>
  <c r="F44" i="70"/>
  <c r="M43" i="70"/>
  <c r="L43" i="70"/>
  <c r="K43" i="70"/>
  <c r="J43" i="70"/>
  <c r="I43" i="70"/>
  <c r="H43" i="70"/>
  <c r="G43" i="70"/>
  <c r="F43" i="70"/>
  <c r="M39" i="70"/>
  <c r="L39" i="70"/>
  <c r="K39" i="70"/>
  <c r="J39" i="70"/>
  <c r="I39" i="70"/>
  <c r="H39" i="70"/>
  <c r="G39" i="70"/>
  <c r="F39" i="70"/>
  <c r="M38" i="70"/>
  <c r="L38" i="70"/>
  <c r="K38" i="70"/>
  <c r="J38" i="70"/>
  <c r="I38" i="70"/>
  <c r="H38" i="70"/>
  <c r="G38" i="70"/>
  <c r="F38" i="70"/>
  <c r="M36" i="70"/>
  <c r="L36" i="70"/>
  <c r="K36" i="70"/>
  <c r="J36" i="70"/>
  <c r="I36" i="70"/>
  <c r="H36" i="70"/>
  <c r="G36" i="70"/>
  <c r="F36" i="70"/>
  <c r="M35" i="70"/>
  <c r="L35" i="70"/>
  <c r="K35" i="70"/>
  <c r="J35" i="70"/>
  <c r="I35" i="70"/>
  <c r="H35" i="70"/>
  <c r="G35" i="70"/>
  <c r="F35" i="70"/>
  <c r="M33" i="70"/>
  <c r="L33" i="70"/>
  <c r="K33" i="70"/>
  <c r="J33" i="70"/>
  <c r="I33" i="70"/>
  <c r="H33" i="70"/>
  <c r="G33" i="70"/>
  <c r="F33" i="70"/>
  <c r="F28" i="70"/>
  <c r="F27" i="70"/>
  <c r="F26" i="70"/>
  <c r="F25" i="70"/>
  <c r="F24" i="70"/>
  <c r="F23" i="70"/>
  <c r="I20" i="70"/>
  <c r="H20" i="70"/>
  <c r="G20" i="70"/>
  <c r="G13" i="70"/>
  <c r="L10" i="70"/>
  <c r="H10" i="70"/>
  <c r="G10" i="70"/>
  <c r="H7" i="70"/>
  <c r="G7" i="70"/>
  <c r="H6" i="70"/>
  <c r="G6" i="70"/>
  <c r="I5" i="70"/>
  <c r="H5" i="70"/>
  <c r="G5" i="70"/>
  <c r="N1" i="70"/>
  <c r="L1" i="70"/>
  <c r="J1" i="70"/>
  <c r="R36" i="69"/>
  <c r="X35" i="69"/>
  <c r="X34" i="69"/>
  <c r="R34" i="69"/>
  <c r="L34" i="69"/>
  <c r="F34" i="69"/>
  <c r="R33" i="69"/>
  <c r="F33" i="69"/>
  <c r="X32" i="69"/>
  <c r="L32" i="69"/>
  <c r="X30" i="69"/>
  <c r="X29" i="69"/>
  <c r="L29" i="69"/>
  <c r="F29" i="69"/>
  <c r="R28" i="69"/>
  <c r="L28" i="69"/>
  <c r="F28" i="69"/>
  <c r="X26" i="69"/>
  <c r="R26" i="69"/>
  <c r="L26" i="69"/>
  <c r="X25" i="69"/>
  <c r="R25" i="69"/>
  <c r="L25" i="69"/>
  <c r="X24" i="69"/>
  <c r="R24" i="69"/>
  <c r="F24" i="69"/>
  <c r="X23" i="69"/>
  <c r="L23" i="69"/>
  <c r="F23" i="69"/>
  <c r="X22" i="69"/>
  <c r="L22" i="69"/>
  <c r="F22" i="69"/>
  <c r="L21" i="69"/>
  <c r="F21" i="69"/>
  <c r="L20" i="69"/>
  <c r="F20" i="69"/>
  <c r="R19" i="69"/>
  <c r="L19" i="69"/>
  <c r="F19" i="69"/>
  <c r="X18" i="69"/>
  <c r="R18" i="69"/>
  <c r="L18" i="69"/>
  <c r="F18" i="69"/>
  <c r="X17" i="69"/>
  <c r="R17" i="69"/>
  <c r="L17" i="69"/>
  <c r="F17" i="69"/>
  <c r="X16" i="69"/>
  <c r="R16" i="69"/>
  <c r="L16" i="69"/>
  <c r="F16" i="69"/>
  <c r="R15" i="69"/>
  <c r="L15" i="69"/>
  <c r="F15" i="69"/>
  <c r="L14" i="69"/>
  <c r="F14" i="69"/>
  <c r="L13" i="69"/>
  <c r="F13" i="69"/>
  <c r="X12" i="69"/>
  <c r="L12" i="69"/>
  <c r="F12" i="69"/>
  <c r="X11" i="69"/>
  <c r="R11" i="69"/>
  <c r="L11" i="69"/>
  <c r="F11" i="69"/>
  <c r="X10" i="69"/>
  <c r="R10" i="69"/>
  <c r="L10" i="69"/>
  <c r="F10" i="69"/>
  <c r="X9" i="69"/>
  <c r="R9" i="69"/>
  <c r="F9" i="69"/>
  <c r="L8" i="69"/>
  <c r="F8" i="69"/>
  <c r="X1" i="69"/>
  <c r="V1" i="69"/>
  <c r="I1" i="69"/>
  <c r="E1" i="69"/>
  <c r="Y45" i="68"/>
  <c r="W45" i="68"/>
  <c r="U45" i="68"/>
  <c r="G45" i="68"/>
  <c r="Y44" i="68"/>
  <c r="W44" i="68"/>
  <c r="U44" i="68"/>
  <c r="Y43" i="68"/>
  <c r="W43" i="68"/>
  <c r="U43" i="68"/>
  <c r="G43" i="68"/>
  <c r="Y42" i="68"/>
  <c r="W42" i="68"/>
  <c r="U42" i="68"/>
  <c r="G42" i="68"/>
  <c r="Y39" i="68"/>
  <c r="W39" i="68"/>
  <c r="U39" i="68"/>
  <c r="G38" i="68"/>
  <c r="O37" i="68"/>
  <c r="N37" i="68"/>
  <c r="M37" i="68"/>
  <c r="Z36" i="68"/>
  <c r="Y36" i="68"/>
  <c r="X36" i="68"/>
  <c r="W36" i="68"/>
  <c r="V36" i="68"/>
  <c r="U36" i="68"/>
  <c r="O36" i="68"/>
  <c r="N36" i="68"/>
  <c r="M36" i="68"/>
  <c r="G35" i="68"/>
  <c r="G34" i="68"/>
  <c r="Y33" i="68"/>
  <c r="W33" i="68"/>
  <c r="U33" i="68"/>
  <c r="H33" i="68"/>
  <c r="G33" i="68"/>
  <c r="Y32" i="68"/>
  <c r="W32" i="68"/>
  <c r="U32" i="68"/>
  <c r="G32" i="68"/>
  <c r="Y31" i="68"/>
  <c r="W31" i="68"/>
  <c r="U31" i="68"/>
  <c r="N30" i="68"/>
  <c r="M30" i="68"/>
  <c r="G30" i="68"/>
  <c r="Y28" i="68"/>
  <c r="W28" i="68"/>
  <c r="U28" i="68"/>
  <c r="Y27" i="68"/>
  <c r="W27" i="68"/>
  <c r="U27" i="68"/>
  <c r="N27" i="68"/>
  <c r="M27" i="68"/>
  <c r="G27" i="68"/>
  <c r="N26" i="68"/>
  <c r="M26" i="68"/>
  <c r="G25" i="68"/>
  <c r="Y24" i="68"/>
  <c r="W24" i="68"/>
  <c r="U24" i="68"/>
  <c r="H24" i="68"/>
  <c r="G24" i="68"/>
  <c r="Y23" i="68"/>
  <c r="W23" i="68"/>
  <c r="U23" i="68"/>
  <c r="G23" i="68"/>
  <c r="Y22" i="68"/>
  <c r="W22" i="68"/>
  <c r="U22" i="68"/>
  <c r="G21" i="68"/>
  <c r="O20" i="68"/>
  <c r="G20" i="68"/>
  <c r="Y19" i="68"/>
  <c r="W19" i="68"/>
  <c r="U19" i="68"/>
  <c r="G19" i="68"/>
  <c r="Y18" i="68"/>
  <c r="W18" i="68"/>
  <c r="U18" i="68"/>
  <c r="O18" i="68"/>
  <c r="G18" i="68"/>
  <c r="Y17" i="68"/>
  <c r="W17" i="68"/>
  <c r="U17" i="68"/>
  <c r="P17" i="68"/>
  <c r="O17" i="68"/>
  <c r="O16" i="68"/>
  <c r="Y14" i="68"/>
  <c r="W14" i="68"/>
  <c r="U14" i="68"/>
  <c r="G14" i="68"/>
  <c r="Y13" i="68"/>
  <c r="W13" i="68"/>
  <c r="U13" i="68"/>
  <c r="G13" i="68"/>
  <c r="Y12" i="68"/>
  <c r="W12" i="68"/>
  <c r="U12" i="68"/>
  <c r="O12" i="68"/>
  <c r="N12" i="68"/>
  <c r="G12" i="68"/>
  <c r="O10" i="68"/>
  <c r="N10" i="68"/>
  <c r="G10" i="68"/>
  <c r="Z9" i="68"/>
  <c r="Y9" i="68"/>
  <c r="X9" i="68"/>
  <c r="W9" i="68"/>
  <c r="V9" i="68"/>
  <c r="U9" i="68"/>
  <c r="N9" i="68"/>
  <c r="Y8" i="68"/>
  <c r="W8" i="68"/>
  <c r="U8" i="68"/>
  <c r="O8" i="68"/>
  <c r="N8" i="68"/>
  <c r="Y7" i="68"/>
  <c r="W7" i="68"/>
  <c r="U7" i="68"/>
  <c r="O7" i="68"/>
  <c r="N7" i="68"/>
  <c r="G7" i="68"/>
  <c r="G8" i="68" s="1"/>
  <c r="Y6" i="68"/>
  <c r="W6" i="68"/>
  <c r="U6" i="68"/>
  <c r="X1" i="68"/>
  <c r="U1" i="68"/>
  <c r="H1" i="68"/>
  <c r="E1" i="68"/>
  <c r="W35" i="67"/>
  <c r="P35" i="67"/>
  <c r="K35" i="67"/>
  <c r="J35" i="67"/>
  <c r="I35" i="67"/>
  <c r="H35" i="67"/>
  <c r="G35" i="67"/>
  <c r="F35" i="67"/>
  <c r="W32" i="67"/>
  <c r="Q32" i="67"/>
  <c r="P32" i="67"/>
  <c r="K32" i="67"/>
  <c r="J32" i="67"/>
  <c r="I32" i="67"/>
  <c r="H32" i="67"/>
  <c r="G32" i="67"/>
  <c r="F32" i="67"/>
  <c r="X31" i="67"/>
  <c r="W31" i="67"/>
  <c r="Q31" i="67"/>
  <c r="P31" i="67"/>
  <c r="J31" i="67"/>
  <c r="H31" i="67"/>
  <c r="F31" i="67"/>
  <c r="X30" i="67"/>
  <c r="W30" i="67"/>
  <c r="Q30" i="67"/>
  <c r="P30" i="67"/>
  <c r="J30" i="67"/>
  <c r="H30" i="67"/>
  <c r="F30" i="67"/>
  <c r="X29" i="67"/>
  <c r="W29" i="67"/>
  <c r="Q29" i="67"/>
  <c r="P29" i="67"/>
  <c r="J29" i="67"/>
  <c r="H29" i="67"/>
  <c r="F29" i="67"/>
  <c r="X26" i="67"/>
  <c r="W26" i="67"/>
  <c r="Q26" i="67"/>
  <c r="P26" i="67"/>
  <c r="K26" i="67"/>
  <c r="J26" i="67"/>
  <c r="I26" i="67"/>
  <c r="H26" i="67"/>
  <c r="G26" i="67"/>
  <c r="F26" i="67"/>
  <c r="Q25" i="67"/>
  <c r="P25" i="67"/>
  <c r="K25" i="67"/>
  <c r="J25" i="67"/>
  <c r="I25" i="67"/>
  <c r="H25" i="67"/>
  <c r="G25" i="67"/>
  <c r="F25" i="67"/>
  <c r="X24" i="67"/>
  <c r="W24" i="67"/>
  <c r="Q24" i="67"/>
  <c r="P24" i="67"/>
  <c r="K24" i="67"/>
  <c r="J24" i="67"/>
  <c r="I24" i="67"/>
  <c r="H24" i="67"/>
  <c r="G24" i="67"/>
  <c r="F24" i="67"/>
  <c r="W21" i="67"/>
  <c r="P21" i="67"/>
  <c r="K21" i="67"/>
  <c r="J21" i="67"/>
  <c r="I21" i="67"/>
  <c r="H21" i="67"/>
  <c r="G21" i="67"/>
  <c r="F21" i="67"/>
  <c r="W20" i="67"/>
  <c r="P20" i="67"/>
  <c r="K20" i="67"/>
  <c r="J20" i="67"/>
  <c r="I20" i="67"/>
  <c r="H20" i="67"/>
  <c r="G20" i="67"/>
  <c r="F20" i="67"/>
  <c r="W19" i="67"/>
  <c r="T19" i="67"/>
  <c r="P19" i="67"/>
  <c r="K19" i="67"/>
  <c r="J19" i="67"/>
  <c r="I19" i="67"/>
  <c r="H19" i="67"/>
  <c r="G19" i="67"/>
  <c r="F19" i="67"/>
  <c r="W16" i="67"/>
  <c r="U16" i="67"/>
  <c r="T16" i="67"/>
  <c r="J16" i="67"/>
  <c r="H16" i="67"/>
  <c r="F16" i="67"/>
  <c r="E16" i="67"/>
  <c r="W15" i="67"/>
  <c r="U15" i="67"/>
  <c r="T15" i="67"/>
  <c r="Q15" i="67"/>
  <c r="P15" i="67"/>
  <c r="J15" i="67"/>
  <c r="H15" i="67"/>
  <c r="F15" i="67"/>
  <c r="E15" i="67"/>
  <c r="W14" i="67"/>
  <c r="U14" i="67"/>
  <c r="T14" i="67"/>
  <c r="Q14" i="67"/>
  <c r="P14" i="67"/>
  <c r="J14" i="67"/>
  <c r="H14" i="67"/>
  <c r="F14" i="67"/>
  <c r="E14" i="67"/>
  <c r="S9" i="67"/>
  <c r="P9" i="67"/>
  <c r="B6" i="67"/>
  <c r="O5" i="67"/>
  <c r="L5" i="67"/>
  <c r="B5" i="67"/>
  <c r="B4" i="67"/>
  <c r="W3" i="67"/>
  <c r="B3" i="67"/>
  <c r="M110" i="66"/>
  <c r="L110" i="66"/>
  <c r="K110" i="66"/>
  <c r="J110" i="66"/>
  <c r="I110" i="66"/>
  <c r="H110" i="66"/>
  <c r="G110" i="66"/>
  <c r="F110" i="66"/>
  <c r="M109" i="66"/>
  <c r="L109" i="66"/>
  <c r="K109" i="66"/>
  <c r="J109" i="66"/>
  <c r="I109" i="66"/>
  <c r="H109" i="66"/>
  <c r="G109" i="66"/>
  <c r="F109" i="66"/>
  <c r="M108" i="66"/>
  <c r="L108" i="66"/>
  <c r="K108" i="66"/>
  <c r="J108" i="66"/>
  <c r="I108" i="66"/>
  <c r="H108" i="66"/>
  <c r="G108" i="66"/>
  <c r="F108" i="66"/>
  <c r="M107" i="66"/>
  <c r="L107" i="66"/>
  <c r="K107" i="66"/>
  <c r="J107" i="66"/>
  <c r="I107" i="66"/>
  <c r="H107" i="66"/>
  <c r="G107" i="66"/>
  <c r="F107" i="66"/>
  <c r="M105" i="66"/>
  <c r="L105" i="66"/>
  <c r="K105" i="66"/>
  <c r="J105" i="66"/>
  <c r="I105" i="66"/>
  <c r="H105" i="66"/>
  <c r="G105" i="66"/>
  <c r="F105" i="66"/>
  <c r="M104" i="66"/>
  <c r="L104" i="66"/>
  <c r="K104" i="66"/>
  <c r="J104" i="66"/>
  <c r="I104" i="66"/>
  <c r="H104" i="66"/>
  <c r="G104" i="66"/>
  <c r="F104" i="66"/>
  <c r="M103" i="66"/>
  <c r="L103" i="66"/>
  <c r="K103" i="66"/>
  <c r="J103" i="66"/>
  <c r="I103" i="66"/>
  <c r="H103" i="66"/>
  <c r="G103" i="66"/>
  <c r="F103" i="66"/>
  <c r="K102" i="66"/>
  <c r="M99" i="66"/>
  <c r="L99" i="66"/>
  <c r="K99" i="66"/>
  <c r="J99" i="66"/>
  <c r="I99" i="66"/>
  <c r="H99" i="66"/>
  <c r="G99" i="66"/>
  <c r="F99" i="66"/>
  <c r="M98" i="66"/>
  <c r="L98" i="66"/>
  <c r="K98" i="66"/>
  <c r="J98" i="66"/>
  <c r="I98" i="66"/>
  <c r="H98" i="66"/>
  <c r="G98" i="66"/>
  <c r="F98" i="66"/>
  <c r="M97" i="66"/>
  <c r="L97" i="66"/>
  <c r="K97" i="66"/>
  <c r="J97" i="66"/>
  <c r="I97" i="66"/>
  <c r="H97" i="66"/>
  <c r="G97" i="66"/>
  <c r="F97" i="66"/>
  <c r="M96" i="66"/>
  <c r="L96" i="66"/>
  <c r="K96" i="66"/>
  <c r="J96" i="66"/>
  <c r="I96" i="66"/>
  <c r="H96" i="66"/>
  <c r="G96" i="66"/>
  <c r="F96" i="66"/>
  <c r="M95" i="66"/>
  <c r="L95" i="66"/>
  <c r="K95" i="66"/>
  <c r="J95" i="66"/>
  <c r="I95" i="66"/>
  <c r="H95" i="66"/>
  <c r="G95" i="66"/>
  <c r="F95" i="66"/>
  <c r="M94" i="66"/>
  <c r="L94" i="66"/>
  <c r="K94" i="66"/>
  <c r="J94" i="66"/>
  <c r="I94" i="66"/>
  <c r="H94" i="66"/>
  <c r="G94" i="66"/>
  <c r="F94" i="66"/>
  <c r="M93" i="66"/>
  <c r="L93" i="66"/>
  <c r="K93" i="66"/>
  <c r="J93" i="66"/>
  <c r="I93" i="66"/>
  <c r="H93" i="66"/>
  <c r="G93" i="66"/>
  <c r="F93" i="66"/>
  <c r="M92" i="66"/>
  <c r="L92" i="66"/>
  <c r="K92" i="66"/>
  <c r="J92" i="66"/>
  <c r="I92" i="66"/>
  <c r="H92" i="66"/>
  <c r="G92" i="66"/>
  <c r="F92" i="66"/>
  <c r="M91" i="66"/>
  <c r="L91" i="66"/>
  <c r="K91" i="66"/>
  <c r="J91" i="66"/>
  <c r="I91" i="66"/>
  <c r="H91" i="66"/>
  <c r="G91" i="66"/>
  <c r="F91" i="66"/>
  <c r="M89" i="66"/>
  <c r="L89" i="66"/>
  <c r="K89" i="66"/>
  <c r="J89" i="66"/>
  <c r="I89" i="66"/>
  <c r="H89" i="66"/>
  <c r="G89" i="66"/>
  <c r="F89" i="66"/>
  <c r="K88" i="66"/>
  <c r="M82" i="66"/>
  <c r="L82" i="66"/>
  <c r="K82" i="66"/>
  <c r="J82" i="66"/>
  <c r="I82" i="66"/>
  <c r="H82" i="66"/>
  <c r="G82" i="66"/>
  <c r="F82" i="66"/>
  <c r="M81" i="66"/>
  <c r="L81" i="66"/>
  <c r="K81" i="66"/>
  <c r="J81" i="66"/>
  <c r="I81" i="66"/>
  <c r="H81" i="66"/>
  <c r="G81" i="66"/>
  <c r="F81" i="66"/>
  <c r="M80" i="66"/>
  <c r="M83" i="66" s="1"/>
  <c r="L80" i="66"/>
  <c r="K80" i="66"/>
  <c r="K83" i="66" s="1"/>
  <c r="J80" i="66"/>
  <c r="J83" i="66" s="1"/>
  <c r="I80" i="66"/>
  <c r="I83" i="66" s="1"/>
  <c r="H80" i="66"/>
  <c r="H83" i="66" s="1"/>
  <c r="G80" i="66"/>
  <c r="G83" i="66" s="1"/>
  <c r="F80" i="66"/>
  <c r="F83" i="66" s="1"/>
  <c r="M77" i="66"/>
  <c r="L77" i="66"/>
  <c r="K77" i="66"/>
  <c r="J77" i="66"/>
  <c r="I77" i="66"/>
  <c r="H77" i="66"/>
  <c r="G77" i="66"/>
  <c r="F77" i="66"/>
  <c r="M75" i="66"/>
  <c r="L75" i="66"/>
  <c r="K75" i="66"/>
  <c r="J75" i="66"/>
  <c r="I75" i="66"/>
  <c r="H75" i="66"/>
  <c r="G75" i="66"/>
  <c r="F75" i="66"/>
  <c r="M74" i="66"/>
  <c r="L74" i="66"/>
  <c r="K74" i="66"/>
  <c r="J74" i="66"/>
  <c r="I74" i="66"/>
  <c r="H74" i="66"/>
  <c r="G74" i="66"/>
  <c r="F74" i="66"/>
  <c r="M73" i="66"/>
  <c r="L73" i="66"/>
  <c r="K73" i="66"/>
  <c r="J73" i="66"/>
  <c r="I73" i="66"/>
  <c r="H73" i="66"/>
  <c r="G73" i="66"/>
  <c r="F73" i="66"/>
  <c r="M70" i="66"/>
  <c r="L70" i="66"/>
  <c r="K70" i="66"/>
  <c r="J70" i="66"/>
  <c r="I70" i="66"/>
  <c r="H70" i="66"/>
  <c r="G70" i="66"/>
  <c r="F70" i="66"/>
  <c r="M69" i="66"/>
  <c r="L69" i="66"/>
  <c r="K69" i="66"/>
  <c r="J69" i="66"/>
  <c r="I69" i="66"/>
  <c r="H69" i="66"/>
  <c r="G69" i="66"/>
  <c r="F69" i="66"/>
  <c r="M68" i="66"/>
  <c r="L68" i="66"/>
  <c r="K68" i="66"/>
  <c r="J68" i="66"/>
  <c r="I68" i="66"/>
  <c r="H68" i="66"/>
  <c r="G68" i="66"/>
  <c r="F68" i="66"/>
  <c r="M67" i="66"/>
  <c r="L67" i="66"/>
  <c r="K67" i="66"/>
  <c r="J67" i="66"/>
  <c r="I67" i="66"/>
  <c r="H67" i="66"/>
  <c r="G67" i="66"/>
  <c r="F67" i="66"/>
  <c r="M65" i="66"/>
  <c r="L65" i="66"/>
  <c r="K65" i="66"/>
  <c r="J65" i="66"/>
  <c r="I65" i="66"/>
  <c r="H65" i="66"/>
  <c r="G65" i="66"/>
  <c r="F65" i="66"/>
  <c r="N61" i="66"/>
  <c r="L61" i="66"/>
  <c r="J61" i="66"/>
  <c r="M55" i="66"/>
  <c r="L55" i="66"/>
  <c r="K55" i="66"/>
  <c r="J55" i="66"/>
  <c r="I55" i="66"/>
  <c r="H55" i="66"/>
  <c r="G55" i="66"/>
  <c r="F55" i="66"/>
  <c r="M54" i="66"/>
  <c r="L54" i="66"/>
  <c r="K54" i="66"/>
  <c r="J54" i="66"/>
  <c r="I54" i="66"/>
  <c r="H54" i="66"/>
  <c r="G54" i="66"/>
  <c r="F54" i="66"/>
  <c r="M53" i="66"/>
  <c r="L53" i="66"/>
  <c r="K53" i="66"/>
  <c r="J53" i="66"/>
  <c r="I53" i="66"/>
  <c r="H53" i="66"/>
  <c r="G53" i="66"/>
  <c r="F53" i="66"/>
  <c r="M51" i="66"/>
  <c r="L51" i="66"/>
  <c r="K51" i="66"/>
  <c r="J51" i="66"/>
  <c r="I51" i="66"/>
  <c r="H51" i="66"/>
  <c r="G51" i="66"/>
  <c r="F51" i="66"/>
  <c r="M50" i="66"/>
  <c r="L50" i="66"/>
  <c r="K50" i="66"/>
  <c r="J50" i="66"/>
  <c r="I50" i="66"/>
  <c r="H50" i="66"/>
  <c r="G50" i="66"/>
  <c r="F50" i="66"/>
  <c r="M49" i="66"/>
  <c r="L49" i="66"/>
  <c r="K49" i="66"/>
  <c r="J49" i="66"/>
  <c r="I49" i="66"/>
  <c r="H49" i="66"/>
  <c r="G49" i="66"/>
  <c r="F49" i="66"/>
  <c r="M48" i="66"/>
  <c r="L48" i="66"/>
  <c r="K48" i="66"/>
  <c r="J48" i="66"/>
  <c r="I48" i="66"/>
  <c r="H48" i="66"/>
  <c r="G48" i="66"/>
  <c r="F48" i="66"/>
  <c r="M47" i="66"/>
  <c r="L47" i="66"/>
  <c r="K47" i="66"/>
  <c r="J47" i="66"/>
  <c r="I47" i="66"/>
  <c r="H47" i="66"/>
  <c r="G47" i="66"/>
  <c r="F47" i="66"/>
  <c r="M46" i="66"/>
  <c r="L46" i="66"/>
  <c r="K46" i="66"/>
  <c r="J46" i="66"/>
  <c r="I46" i="66"/>
  <c r="H46" i="66"/>
  <c r="G46" i="66"/>
  <c r="F46" i="66"/>
  <c r="M45" i="66"/>
  <c r="L45" i="66"/>
  <c r="K45" i="66"/>
  <c r="J45" i="66"/>
  <c r="I45" i="66"/>
  <c r="H45" i="66"/>
  <c r="G45" i="66"/>
  <c r="F45" i="66"/>
  <c r="M44" i="66"/>
  <c r="L44" i="66"/>
  <c r="K44" i="66"/>
  <c r="J44" i="66"/>
  <c r="I44" i="66"/>
  <c r="H44" i="66"/>
  <c r="G44" i="66"/>
  <c r="F44" i="66"/>
  <c r="M43" i="66"/>
  <c r="L43" i="66"/>
  <c r="K43" i="66"/>
  <c r="J43" i="66"/>
  <c r="I43" i="66"/>
  <c r="H43" i="66"/>
  <c r="G43" i="66"/>
  <c r="F43" i="66"/>
  <c r="M39" i="66"/>
  <c r="L39" i="66"/>
  <c r="K39" i="66"/>
  <c r="J39" i="66"/>
  <c r="I39" i="66"/>
  <c r="H39" i="66"/>
  <c r="G39" i="66"/>
  <c r="F39" i="66"/>
  <c r="M38" i="66"/>
  <c r="L38" i="66"/>
  <c r="K38" i="66"/>
  <c r="J38" i="66"/>
  <c r="I38" i="66"/>
  <c r="H38" i="66"/>
  <c r="G38" i="66"/>
  <c r="F38" i="66"/>
  <c r="M36" i="66"/>
  <c r="L36" i="66"/>
  <c r="K36" i="66"/>
  <c r="J36" i="66"/>
  <c r="I36" i="66"/>
  <c r="H36" i="66"/>
  <c r="G36" i="66"/>
  <c r="F36" i="66"/>
  <c r="M35" i="66"/>
  <c r="L35" i="66"/>
  <c r="K35" i="66"/>
  <c r="J35" i="66"/>
  <c r="I35" i="66"/>
  <c r="H35" i="66"/>
  <c r="G35" i="66"/>
  <c r="F35" i="66"/>
  <c r="M33" i="66"/>
  <c r="L33" i="66"/>
  <c r="K33" i="66"/>
  <c r="J33" i="66"/>
  <c r="I33" i="66"/>
  <c r="H33" i="66"/>
  <c r="G33" i="66"/>
  <c r="F33" i="66"/>
  <c r="F28" i="66"/>
  <c r="F27" i="66"/>
  <c r="F26" i="66"/>
  <c r="F25" i="66"/>
  <c r="F24" i="66"/>
  <c r="F23" i="66"/>
  <c r="I20" i="66"/>
  <c r="H20" i="66"/>
  <c r="G20" i="66"/>
  <c r="G13" i="66"/>
  <c r="L10" i="66"/>
  <c r="H10" i="66"/>
  <c r="G10" i="66"/>
  <c r="H7" i="66"/>
  <c r="G7" i="66"/>
  <c r="H6" i="66"/>
  <c r="G6" i="66"/>
  <c r="I5" i="66"/>
  <c r="H5" i="66"/>
  <c r="G5" i="66"/>
  <c r="N1" i="66"/>
  <c r="L1" i="66"/>
  <c r="J1" i="66"/>
  <c r="R36" i="65"/>
  <c r="X35" i="65"/>
  <c r="X34" i="65"/>
  <c r="R34" i="65"/>
  <c r="L34" i="65"/>
  <c r="F34" i="65"/>
  <c r="R33" i="65"/>
  <c r="F33" i="65"/>
  <c r="X32" i="65"/>
  <c r="L32" i="65"/>
  <c r="X30" i="65"/>
  <c r="X29" i="65"/>
  <c r="L29" i="65"/>
  <c r="F29" i="65"/>
  <c r="R28" i="65"/>
  <c r="L28" i="65"/>
  <c r="F28" i="65"/>
  <c r="X26" i="65"/>
  <c r="R26" i="65"/>
  <c r="L26" i="65"/>
  <c r="X25" i="65"/>
  <c r="R25" i="65"/>
  <c r="L25" i="65"/>
  <c r="X24" i="65"/>
  <c r="R24" i="65"/>
  <c r="F24" i="65"/>
  <c r="X23" i="65"/>
  <c r="L23" i="65"/>
  <c r="F23" i="65"/>
  <c r="X22" i="65"/>
  <c r="L22" i="65"/>
  <c r="F22" i="65"/>
  <c r="L21" i="65"/>
  <c r="F21" i="65"/>
  <c r="L20" i="65"/>
  <c r="F20" i="65"/>
  <c r="R19" i="65"/>
  <c r="L19" i="65"/>
  <c r="F19" i="65"/>
  <c r="X18" i="65"/>
  <c r="R18" i="65"/>
  <c r="L18" i="65"/>
  <c r="F18" i="65"/>
  <c r="X17" i="65"/>
  <c r="R17" i="65"/>
  <c r="L17" i="65"/>
  <c r="F17" i="65"/>
  <c r="X16" i="65"/>
  <c r="R16" i="65"/>
  <c r="L16" i="65"/>
  <c r="F16" i="65"/>
  <c r="R15" i="65"/>
  <c r="L15" i="65"/>
  <c r="F15" i="65"/>
  <c r="L14" i="65"/>
  <c r="F14" i="65"/>
  <c r="L13" i="65"/>
  <c r="F13" i="65"/>
  <c r="X12" i="65"/>
  <c r="L12" i="65"/>
  <c r="F12" i="65"/>
  <c r="X11" i="65"/>
  <c r="R11" i="65"/>
  <c r="L11" i="65"/>
  <c r="F11" i="65"/>
  <c r="X10" i="65"/>
  <c r="R10" i="65"/>
  <c r="L10" i="65"/>
  <c r="F10" i="65"/>
  <c r="X9" i="65"/>
  <c r="R9" i="65"/>
  <c r="F9" i="65"/>
  <c r="L8" i="65"/>
  <c r="F8" i="65"/>
  <c r="X1" i="65"/>
  <c r="V1" i="65"/>
  <c r="I1" i="65"/>
  <c r="E1" i="65"/>
  <c r="Y45" i="64"/>
  <c r="W45" i="64"/>
  <c r="U45" i="64"/>
  <c r="G45" i="64"/>
  <c r="Y44" i="64"/>
  <c r="W44" i="64"/>
  <c r="U44" i="64"/>
  <c r="Y43" i="64"/>
  <c r="W43" i="64"/>
  <c r="U43" i="64"/>
  <c r="G43" i="64"/>
  <c r="Y42" i="64"/>
  <c r="W42" i="64"/>
  <c r="U42" i="64"/>
  <c r="G42" i="64"/>
  <c r="Y39" i="64"/>
  <c r="W39" i="64"/>
  <c r="U39" i="64"/>
  <c r="G38" i="64"/>
  <c r="O37" i="64"/>
  <c r="N37" i="64"/>
  <c r="M37" i="64"/>
  <c r="Z36" i="64"/>
  <c r="Y36" i="64"/>
  <c r="X36" i="64"/>
  <c r="W36" i="64"/>
  <c r="V36" i="64"/>
  <c r="U36" i="64"/>
  <c r="O36" i="64"/>
  <c r="N36" i="64"/>
  <c r="M36" i="64"/>
  <c r="G35" i="64"/>
  <c r="G34" i="64"/>
  <c r="Y33" i="64"/>
  <c r="W33" i="64"/>
  <c r="U33" i="64"/>
  <c r="H33" i="64"/>
  <c r="G33" i="64"/>
  <c r="Y32" i="64"/>
  <c r="W32" i="64"/>
  <c r="U32" i="64"/>
  <c r="G32" i="64"/>
  <c r="Y31" i="64"/>
  <c r="W31" i="64"/>
  <c r="U31" i="64"/>
  <c r="N30" i="64"/>
  <c r="M30" i="64"/>
  <c r="G30" i="64"/>
  <c r="Y28" i="64"/>
  <c r="W28" i="64"/>
  <c r="U28" i="64"/>
  <c r="Y27" i="64"/>
  <c r="W27" i="64"/>
  <c r="U27" i="64"/>
  <c r="N27" i="64"/>
  <c r="M27" i="64"/>
  <c r="G27" i="64"/>
  <c r="N26" i="64"/>
  <c r="M26" i="64"/>
  <c r="G25" i="64"/>
  <c r="Y24" i="64"/>
  <c r="W24" i="64"/>
  <c r="U24" i="64"/>
  <c r="H24" i="64"/>
  <c r="G24" i="64"/>
  <c r="Y23" i="64"/>
  <c r="W23" i="64"/>
  <c r="U23" i="64"/>
  <c r="G23" i="64"/>
  <c r="Y22" i="64"/>
  <c r="W22" i="64"/>
  <c r="U22" i="64"/>
  <c r="G21" i="64"/>
  <c r="O20" i="64"/>
  <c r="G20" i="64"/>
  <c r="Y19" i="64"/>
  <c r="W19" i="64"/>
  <c r="U19" i="64"/>
  <c r="G19" i="64"/>
  <c r="Y18" i="64"/>
  <c r="W18" i="64"/>
  <c r="U18" i="64"/>
  <c r="O18" i="64"/>
  <c r="G18" i="64"/>
  <c r="Y17" i="64"/>
  <c r="W17" i="64"/>
  <c r="U17" i="64"/>
  <c r="P17" i="64"/>
  <c r="O17" i="64"/>
  <c r="O16" i="64"/>
  <c r="Y14" i="64"/>
  <c r="W14" i="64"/>
  <c r="U14" i="64"/>
  <c r="G14" i="64"/>
  <c r="Y13" i="64"/>
  <c r="W13" i="64"/>
  <c r="U13" i="64"/>
  <c r="G13" i="64"/>
  <c r="Y12" i="64"/>
  <c r="W12" i="64"/>
  <c r="U12" i="64"/>
  <c r="O12" i="64"/>
  <c r="N12" i="64"/>
  <c r="G12" i="64"/>
  <c r="O10" i="64"/>
  <c r="N10" i="64"/>
  <c r="G10" i="64"/>
  <c r="G11" i="64" s="1"/>
  <c r="Z9" i="64"/>
  <c r="Y9" i="64"/>
  <c r="X9" i="64"/>
  <c r="W9" i="64"/>
  <c r="V9" i="64"/>
  <c r="U9" i="64"/>
  <c r="N9" i="64"/>
  <c r="Y8" i="64"/>
  <c r="W8" i="64"/>
  <c r="U8" i="64"/>
  <c r="O8" i="64"/>
  <c r="N8" i="64"/>
  <c r="Y7" i="64"/>
  <c r="W7" i="64"/>
  <c r="U7" i="64"/>
  <c r="O7" i="64"/>
  <c r="N7" i="64"/>
  <c r="G7" i="64"/>
  <c r="G8" i="64" s="1"/>
  <c r="Y6" i="64"/>
  <c r="W6" i="64"/>
  <c r="U6" i="64"/>
  <c r="X1" i="64"/>
  <c r="U1" i="64"/>
  <c r="H1" i="64"/>
  <c r="E1" i="64"/>
  <c r="W35" i="63"/>
  <c r="P35" i="63"/>
  <c r="K35" i="63"/>
  <c r="J35" i="63"/>
  <c r="I35" i="63"/>
  <c r="H35" i="63"/>
  <c r="G35" i="63"/>
  <c r="F35" i="63"/>
  <c r="W32" i="63"/>
  <c r="Q32" i="63"/>
  <c r="P32" i="63"/>
  <c r="K32" i="63"/>
  <c r="J32" i="63"/>
  <c r="I32" i="63"/>
  <c r="H32" i="63"/>
  <c r="G32" i="63"/>
  <c r="F32" i="63"/>
  <c r="X31" i="63"/>
  <c r="W31" i="63"/>
  <c r="Q31" i="63"/>
  <c r="P31" i="63"/>
  <c r="J31" i="63"/>
  <c r="H31" i="63"/>
  <c r="F31" i="63"/>
  <c r="X30" i="63"/>
  <c r="W30" i="63"/>
  <c r="Q30" i="63"/>
  <c r="P30" i="63"/>
  <c r="J30" i="63"/>
  <c r="H30" i="63"/>
  <c r="F30" i="63"/>
  <c r="X29" i="63"/>
  <c r="W29" i="63"/>
  <c r="Q29" i="63"/>
  <c r="P29" i="63"/>
  <c r="J29" i="63"/>
  <c r="H29" i="63"/>
  <c r="F29" i="63"/>
  <c r="X26" i="63"/>
  <c r="W26" i="63"/>
  <c r="Q26" i="63"/>
  <c r="P26" i="63"/>
  <c r="K26" i="63"/>
  <c r="J26" i="63"/>
  <c r="I26" i="63"/>
  <c r="H26" i="63"/>
  <c r="G26" i="63"/>
  <c r="F26" i="63"/>
  <c r="Q25" i="63"/>
  <c r="P25" i="63"/>
  <c r="K25" i="63"/>
  <c r="J25" i="63"/>
  <c r="I25" i="63"/>
  <c r="H25" i="63"/>
  <c r="G25" i="63"/>
  <c r="F25" i="63"/>
  <c r="X24" i="63"/>
  <c r="W24" i="63"/>
  <c r="Q24" i="63"/>
  <c r="P24" i="63"/>
  <c r="K24" i="63"/>
  <c r="J24" i="63"/>
  <c r="I24" i="63"/>
  <c r="H24" i="63"/>
  <c r="G24" i="63"/>
  <c r="F24" i="63"/>
  <c r="W21" i="63"/>
  <c r="P21" i="63"/>
  <c r="K21" i="63"/>
  <c r="J21" i="63"/>
  <c r="I21" i="63"/>
  <c r="H21" i="63"/>
  <c r="G21" i="63"/>
  <c r="F21" i="63"/>
  <c r="W20" i="63"/>
  <c r="P20" i="63"/>
  <c r="K20" i="63"/>
  <c r="J20" i="63"/>
  <c r="I20" i="63"/>
  <c r="H20" i="63"/>
  <c r="G20" i="63"/>
  <c r="F20" i="63"/>
  <c r="W19" i="63"/>
  <c r="T19" i="63"/>
  <c r="P19" i="63"/>
  <c r="K19" i="63"/>
  <c r="J19" i="63"/>
  <c r="I19" i="63"/>
  <c r="H19" i="63"/>
  <c r="G19" i="63"/>
  <c r="F19" i="63"/>
  <c r="W16" i="63"/>
  <c r="U16" i="63"/>
  <c r="T16" i="63"/>
  <c r="J16" i="63"/>
  <c r="H16" i="63"/>
  <c r="F16" i="63"/>
  <c r="E16" i="63"/>
  <c r="W15" i="63"/>
  <c r="U15" i="63"/>
  <c r="T15" i="63"/>
  <c r="Q15" i="63"/>
  <c r="P15" i="63"/>
  <c r="J15" i="63"/>
  <c r="H15" i="63"/>
  <c r="F15" i="63"/>
  <c r="E15" i="63"/>
  <c r="W14" i="63"/>
  <c r="U14" i="63"/>
  <c r="T14" i="63"/>
  <c r="Q14" i="63"/>
  <c r="P14" i="63"/>
  <c r="J14" i="63"/>
  <c r="H14" i="63"/>
  <c r="F14" i="63"/>
  <c r="E14" i="63"/>
  <c r="S9" i="63"/>
  <c r="P9" i="63"/>
  <c r="B6" i="63"/>
  <c r="O5" i="63"/>
  <c r="L5" i="63"/>
  <c r="B5" i="63"/>
  <c r="B4" i="63"/>
  <c r="W3" i="63"/>
  <c r="B3" i="63"/>
  <c r="M110" i="62"/>
  <c r="L110" i="62"/>
  <c r="K110" i="62"/>
  <c r="J110" i="62"/>
  <c r="I110" i="62"/>
  <c r="H110" i="62"/>
  <c r="G110" i="62"/>
  <c r="F110" i="62"/>
  <c r="M109" i="62"/>
  <c r="L109" i="62"/>
  <c r="K109" i="62"/>
  <c r="J109" i="62"/>
  <c r="I109" i="62"/>
  <c r="H109" i="62"/>
  <c r="G109" i="62"/>
  <c r="F109" i="62"/>
  <c r="M108" i="62"/>
  <c r="L108" i="62"/>
  <c r="K108" i="62"/>
  <c r="J108" i="62"/>
  <c r="I108" i="62"/>
  <c r="H108" i="62"/>
  <c r="G108" i="62"/>
  <c r="F108" i="62"/>
  <c r="M107" i="62"/>
  <c r="L107" i="62"/>
  <c r="K107" i="62"/>
  <c r="J107" i="62"/>
  <c r="I107" i="62"/>
  <c r="H107" i="62"/>
  <c r="G107" i="62"/>
  <c r="F107" i="62"/>
  <c r="M105" i="62"/>
  <c r="L105" i="62"/>
  <c r="K105" i="62"/>
  <c r="J105" i="62"/>
  <c r="I105" i="62"/>
  <c r="H105" i="62"/>
  <c r="G105" i="62"/>
  <c r="F105" i="62"/>
  <c r="M104" i="62"/>
  <c r="L104" i="62"/>
  <c r="K104" i="62"/>
  <c r="J104" i="62"/>
  <c r="I104" i="62"/>
  <c r="H104" i="62"/>
  <c r="G104" i="62"/>
  <c r="F104" i="62"/>
  <c r="M103" i="62"/>
  <c r="L103" i="62"/>
  <c r="K103" i="62"/>
  <c r="J103" i="62"/>
  <c r="I103" i="62"/>
  <c r="H103" i="62"/>
  <c r="G103" i="62"/>
  <c r="F103" i="62"/>
  <c r="K102" i="62"/>
  <c r="M99" i="62"/>
  <c r="L99" i="62"/>
  <c r="K99" i="62"/>
  <c r="J99" i="62"/>
  <c r="I99" i="62"/>
  <c r="H99" i="62"/>
  <c r="G99" i="62"/>
  <c r="F99" i="62"/>
  <c r="M98" i="62"/>
  <c r="L98" i="62"/>
  <c r="K98" i="62"/>
  <c r="J98" i="62"/>
  <c r="I98" i="62"/>
  <c r="H98" i="62"/>
  <c r="G98" i="62"/>
  <c r="F98" i="62"/>
  <c r="M97" i="62"/>
  <c r="L97" i="62"/>
  <c r="K97" i="62"/>
  <c r="J97" i="62"/>
  <c r="I97" i="62"/>
  <c r="H97" i="62"/>
  <c r="G97" i="62"/>
  <c r="F97" i="62"/>
  <c r="M96" i="62"/>
  <c r="L96" i="62"/>
  <c r="K96" i="62"/>
  <c r="J96" i="62"/>
  <c r="I96" i="62"/>
  <c r="H96" i="62"/>
  <c r="G96" i="62"/>
  <c r="F96" i="62"/>
  <c r="M95" i="62"/>
  <c r="L95" i="62"/>
  <c r="K95" i="62"/>
  <c r="J95" i="62"/>
  <c r="I95" i="62"/>
  <c r="H95" i="62"/>
  <c r="G95" i="62"/>
  <c r="F95" i="62"/>
  <c r="M94" i="62"/>
  <c r="L94" i="62"/>
  <c r="K94" i="62"/>
  <c r="J94" i="62"/>
  <c r="I94" i="62"/>
  <c r="H94" i="62"/>
  <c r="G94" i="62"/>
  <c r="F94" i="62"/>
  <c r="M93" i="62"/>
  <c r="L93" i="62"/>
  <c r="K93" i="62"/>
  <c r="J93" i="62"/>
  <c r="I93" i="62"/>
  <c r="H93" i="62"/>
  <c r="G93" i="62"/>
  <c r="F93" i="62"/>
  <c r="M92" i="62"/>
  <c r="L92" i="62"/>
  <c r="K92" i="62"/>
  <c r="J92" i="62"/>
  <c r="I92" i="62"/>
  <c r="H92" i="62"/>
  <c r="G92" i="62"/>
  <c r="F92" i="62"/>
  <c r="M91" i="62"/>
  <c r="L91" i="62"/>
  <c r="K91" i="62"/>
  <c r="J91" i="62"/>
  <c r="I91" i="62"/>
  <c r="H91" i="62"/>
  <c r="G91" i="62"/>
  <c r="F91" i="62"/>
  <c r="M89" i="62"/>
  <c r="L89" i="62"/>
  <c r="K89" i="62"/>
  <c r="J89" i="62"/>
  <c r="I89" i="62"/>
  <c r="H89" i="62"/>
  <c r="G89" i="62"/>
  <c r="F89" i="62"/>
  <c r="K88" i="62"/>
  <c r="M82" i="62"/>
  <c r="L82" i="62"/>
  <c r="K82" i="62"/>
  <c r="J82" i="62"/>
  <c r="I82" i="62"/>
  <c r="H82" i="62"/>
  <c r="G82" i="62"/>
  <c r="F82" i="62"/>
  <c r="M81" i="62"/>
  <c r="L81" i="62"/>
  <c r="K81" i="62"/>
  <c r="J81" i="62"/>
  <c r="I81" i="62"/>
  <c r="H81" i="62"/>
  <c r="G81" i="62"/>
  <c r="F81" i="62"/>
  <c r="M80" i="62"/>
  <c r="M83" i="62" s="1"/>
  <c r="L80" i="62"/>
  <c r="L83" i="62" s="1"/>
  <c r="K80" i="62"/>
  <c r="J80" i="62"/>
  <c r="J83" i="62" s="1"/>
  <c r="I80" i="62"/>
  <c r="I83" i="62" s="1"/>
  <c r="H80" i="62"/>
  <c r="H83" i="62" s="1"/>
  <c r="G80" i="62"/>
  <c r="G83" i="62" s="1"/>
  <c r="F80" i="62"/>
  <c r="F83" i="62" s="1"/>
  <c r="M77" i="62"/>
  <c r="L77" i="62"/>
  <c r="K77" i="62"/>
  <c r="J77" i="62"/>
  <c r="I77" i="62"/>
  <c r="H77" i="62"/>
  <c r="G77" i="62"/>
  <c r="F77" i="62"/>
  <c r="M75" i="62"/>
  <c r="L75" i="62"/>
  <c r="K75" i="62"/>
  <c r="J75" i="62"/>
  <c r="I75" i="62"/>
  <c r="H75" i="62"/>
  <c r="G75" i="62"/>
  <c r="F75" i="62"/>
  <c r="M74" i="62"/>
  <c r="L74" i="62"/>
  <c r="K74" i="62"/>
  <c r="J74" i="62"/>
  <c r="I74" i="62"/>
  <c r="H74" i="62"/>
  <c r="G74" i="62"/>
  <c r="F74" i="62"/>
  <c r="M73" i="62"/>
  <c r="L73" i="62"/>
  <c r="K73" i="62"/>
  <c r="J73" i="62"/>
  <c r="I73" i="62"/>
  <c r="H73" i="62"/>
  <c r="G73" i="62"/>
  <c r="F73" i="62"/>
  <c r="M70" i="62"/>
  <c r="L70" i="62"/>
  <c r="K70" i="62"/>
  <c r="J70" i="62"/>
  <c r="I70" i="62"/>
  <c r="H70" i="62"/>
  <c r="G70" i="62"/>
  <c r="F70" i="62"/>
  <c r="M69" i="62"/>
  <c r="L69" i="62"/>
  <c r="K69" i="62"/>
  <c r="J69" i="62"/>
  <c r="I69" i="62"/>
  <c r="H69" i="62"/>
  <c r="G69" i="62"/>
  <c r="F69" i="62"/>
  <c r="M68" i="62"/>
  <c r="L68" i="62"/>
  <c r="K68" i="62"/>
  <c r="J68" i="62"/>
  <c r="I68" i="62"/>
  <c r="H68" i="62"/>
  <c r="G68" i="62"/>
  <c r="F68" i="62"/>
  <c r="M67" i="62"/>
  <c r="L67" i="62"/>
  <c r="K67" i="62"/>
  <c r="J67" i="62"/>
  <c r="I67" i="62"/>
  <c r="H67" i="62"/>
  <c r="G67" i="62"/>
  <c r="F67" i="62"/>
  <c r="M65" i="62"/>
  <c r="L65" i="62"/>
  <c r="K65" i="62"/>
  <c r="J65" i="62"/>
  <c r="I65" i="62"/>
  <c r="H65" i="62"/>
  <c r="G65" i="62"/>
  <c r="F65" i="62"/>
  <c r="N61" i="62"/>
  <c r="L61" i="62"/>
  <c r="J61" i="62"/>
  <c r="M55" i="62"/>
  <c r="L55" i="62"/>
  <c r="K55" i="62"/>
  <c r="J55" i="62"/>
  <c r="I55" i="62"/>
  <c r="H55" i="62"/>
  <c r="G55" i="62"/>
  <c r="F55" i="62"/>
  <c r="M54" i="62"/>
  <c r="L54" i="62"/>
  <c r="K54" i="62"/>
  <c r="J54" i="62"/>
  <c r="I54" i="62"/>
  <c r="H54" i="62"/>
  <c r="G54" i="62"/>
  <c r="F54" i="62"/>
  <c r="M53" i="62"/>
  <c r="L53" i="62"/>
  <c r="K53" i="62"/>
  <c r="J53" i="62"/>
  <c r="I53" i="62"/>
  <c r="H53" i="62"/>
  <c r="G53" i="62"/>
  <c r="F53" i="62"/>
  <c r="M51" i="62"/>
  <c r="L51" i="62"/>
  <c r="K51" i="62"/>
  <c r="J51" i="62"/>
  <c r="I51" i="62"/>
  <c r="H51" i="62"/>
  <c r="G51" i="62"/>
  <c r="F51" i="62"/>
  <c r="M50" i="62"/>
  <c r="L50" i="62"/>
  <c r="K50" i="62"/>
  <c r="J50" i="62"/>
  <c r="I50" i="62"/>
  <c r="H50" i="62"/>
  <c r="G50" i="62"/>
  <c r="F50" i="62"/>
  <c r="M49" i="62"/>
  <c r="L49" i="62"/>
  <c r="K49" i="62"/>
  <c r="J49" i="62"/>
  <c r="I49" i="62"/>
  <c r="H49" i="62"/>
  <c r="G49" i="62"/>
  <c r="F49" i="62"/>
  <c r="M48" i="62"/>
  <c r="L48" i="62"/>
  <c r="K48" i="62"/>
  <c r="J48" i="62"/>
  <c r="I48" i="62"/>
  <c r="H48" i="62"/>
  <c r="G48" i="62"/>
  <c r="F48" i="62"/>
  <c r="M47" i="62"/>
  <c r="L47" i="62"/>
  <c r="K47" i="62"/>
  <c r="J47" i="62"/>
  <c r="I47" i="62"/>
  <c r="H47" i="62"/>
  <c r="G47" i="62"/>
  <c r="F47" i="62"/>
  <c r="M46" i="62"/>
  <c r="L46" i="62"/>
  <c r="K46" i="62"/>
  <c r="J46" i="62"/>
  <c r="I46" i="62"/>
  <c r="H46" i="62"/>
  <c r="G46" i="62"/>
  <c r="F46" i="62"/>
  <c r="M45" i="62"/>
  <c r="L45" i="62"/>
  <c r="K45" i="62"/>
  <c r="J45" i="62"/>
  <c r="I45" i="62"/>
  <c r="H45" i="62"/>
  <c r="G45" i="62"/>
  <c r="F45" i="62"/>
  <c r="M44" i="62"/>
  <c r="L44" i="62"/>
  <c r="K44" i="62"/>
  <c r="J44" i="62"/>
  <c r="I44" i="62"/>
  <c r="H44" i="62"/>
  <c r="G44" i="62"/>
  <c r="F44" i="62"/>
  <c r="M43" i="62"/>
  <c r="L43" i="62"/>
  <c r="K43" i="62"/>
  <c r="J43" i="62"/>
  <c r="I43" i="62"/>
  <c r="H43" i="62"/>
  <c r="G43" i="62"/>
  <c r="F43" i="62"/>
  <c r="M39" i="62"/>
  <c r="L39" i="62"/>
  <c r="K39" i="62"/>
  <c r="J39" i="62"/>
  <c r="I39" i="62"/>
  <c r="H39" i="62"/>
  <c r="G39" i="62"/>
  <c r="F39" i="62"/>
  <c r="M38" i="62"/>
  <c r="L38" i="62"/>
  <c r="K38" i="62"/>
  <c r="J38" i="62"/>
  <c r="I38" i="62"/>
  <c r="H38" i="62"/>
  <c r="G38" i="62"/>
  <c r="F38" i="62"/>
  <c r="M36" i="62"/>
  <c r="L36" i="62"/>
  <c r="K36" i="62"/>
  <c r="J36" i="62"/>
  <c r="I36" i="62"/>
  <c r="H36" i="62"/>
  <c r="G36" i="62"/>
  <c r="F36" i="62"/>
  <c r="M35" i="62"/>
  <c r="L35" i="62"/>
  <c r="K35" i="62"/>
  <c r="J35" i="62"/>
  <c r="I35" i="62"/>
  <c r="H35" i="62"/>
  <c r="G35" i="62"/>
  <c r="F35" i="62"/>
  <c r="M33" i="62"/>
  <c r="L33" i="62"/>
  <c r="K33" i="62"/>
  <c r="J33" i="62"/>
  <c r="I33" i="62"/>
  <c r="H33" i="62"/>
  <c r="G33" i="62"/>
  <c r="F33" i="62"/>
  <c r="F28" i="62"/>
  <c r="F27" i="62"/>
  <c r="F26" i="62"/>
  <c r="F25" i="62"/>
  <c r="F24" i="62"/>
  <c r="F23" i="62"/>
  <c r="I20" i="62"/>
  <c r="H20" i="62"/>
  <c r="G20" i="62"/>
  <c r="G13" i="62"/>
  <c r="L10" i="62"/>
  <c r="H10" i="62"/>
  <c r="G10" i="62"/>
  <c r="H7" i="62"/>
  <c r="G7" i="62"/>
  <c r="H6" i="62"/>
  <c r="G6" i="62"/>
  <c r="I5" i="62"/>
  <c r="H5" i="62"/>
  <c r="G5" i="62"/>
  <c r="N1" i="62"/>
  <c r="L1" i="62"/>
  <c r="J1" i="62"/>
  <c r="R36" i="61"/>
  <c r="X35" i="61"/>
  <c r="X34" i="61"/>
  <c r="R34" i="61"/>
  <c r="L34" i="61"/>
  <c r="F34" i="61"/>
  <c r="R33" i="61"/>
  <c r="F33" i="61"/>
  <c r="X32" i="61"/>
  <c r="L32" i="61"/>
  <c r="X30" i="61"/>
  <c r="X29" i="61"/>
  <c r="L29" i="61"/>
  <c r="F29" i="61"/>
  <c r="R28" i="61"/>
  <c r="L28" i="61"/>
  <c r="F28" i="61"/>
  <c r="X26" i="61"/>
  <c r="R26" i="61"/>
  <c r="L26" i="61"/>
  <c r="X25" i="61"/>
  <c r="R25" i="61"/>
  <c r="L25" i="61"/>
  <c r="X24" i="61"/>
  <c r="R24" i="61"/>
  <c r="F24" i="61"/>
  <c r="X23" i="61"/>
  <c r="L23" i="61"/>
  <c r="F23" i="61"/>
  <c r="X22" i="61"/>
  <c r="L22" i="61"/>
  <c r="F22" i="61"/>
  <c r="L21" i="61"/>
  <c r="F21" i="61"/>
  <c r="L20" i="61"/>
  <c r="F20" i="61"/>
  <c r="R19" i="61"/>
  <c r="L19" i="61"/>
  <c r="F19" i="61"/>
  <c r="X18" i="61"/>
  <c r="R18" i="61"/>
  <c r="L18" i="61"/>
  <c r="F18" i="61"/>
  <c r="X17" i="61"/>
  <c r="R17" i="61"/>
  <c r="L17" i="61"/>
  <c r="F17" i="61"/>
  <c r="X16" i="61"/>
  <c r="R16" i="61"/>
  <c r="L16" i="61"/>
  <c r="F16" i="61"/>
  <c r="R15" i="61"/>
  <c r="L15" i="61"/>
  <c r="F15" i="61"/>
  <c r="L14" i="61"/>
  <c r="F14" i="61"/>
  <c r="L13" i="61"/>
  <c r="F13" i="61"/>
  <c r="X12" i="61"/>
  <c r="L12" i="61"/>
  <c r="F12" i="61"/>
  <c r="X11" i="61"/>
  <c r="R11" i="61"/>
  <c r="L11" i="61"/>
  <c r="F11" i="61"/>
  <c r="X10" i="61"/>
  <c r="R10" i="61"/>
  <c r="L10" i="61"/>
  <c r="F10" i="61"/>
  <c r="X9" i="61"/>
  <c r="R9" i="61"/>
  <c r="F9" i="61"/>
  <c r="L8" i="61"/>
  <c r="F8" i="61"/>
  <c r="X1" i="61"/>
  <c r="V1" i="61"/>
  <c r="I1" i="61"/>
  <c r="E1" i="61"/>
  <c r="Y45" i="60"/>
  <c r="W45" i="60"/>
  <c r="U45" i="60"/>
  <c r="G45" i="60"/>
  <c r="Y44" i="60"/>
  <c r="W44" i="60"/>
  <c r="U44" i="60"/>
  <c r="Y43" i="60"/>
  <c r="W43" i="60"/>
  <c r="U43" i="60"/>
  <c r="G43" i="60"/>
  <c r="Y42" i="60"/>
  <c r="W42" i="60"/>
  <c r="U42" i="60"/>
  <c r="G42" i="60"/>
  <c r="Y39" i="60"/>
  <c r="W39" i="60"/>
  <c r="U39" i="60"/>
  <c r="G38" i="60"/>
  <c r="O37" i="60"/>
  <c r="N37" i="60"/>
  <c r="M37" i="60"/>
  <c r="Z36" i="60"/>
  <c r="Y36" i="60"/>
  <c r="X36" i="60"/>
  <c r="W36" i="60"/>
  <c r="V36" i="60"/>
  <c r="U36" i="60"/>
  <c r="O36" i="60"/>
  <c r="N36" i="60"/>
  <c r="M36" i="60"/>
  <c r="G35" i="60"/>
  <c r="G34" i="60"/>
  <c r="Y33" i="60"/>
  <c r="W33" i="60"/>
  <c r="U33" i="60"/>
  <c r="H33" i="60"/>
  <c r="G33" i="60"/>
  <c r="Y32" i="60"/>
  <c r="W32" i="60"/>
  <c r="U32" i="60"/>
  <c r="G32" i="60"/>
  <c r="Y31" i="60"/>
  <c r="W31" i="60"/>
  <c r="U31" i="60"/>
  <c r="N30" i="60"/>
  <c r="M30" i="60"/>
  <c r="G30" i="60"/>
  <c r="Y28" i="60"/>
  <c r="W28" i="60"/>
  <c r="U28" i="60"/>
  <c r="Y27" i="60"/>
  <c r="W27" i="60"/>
  <c r="U27" i="60"/>
  <c r="N27" i="60"/>
  <c r="M27" i="60"/>
  <c r="G27" i="60"/>
  <c r="N26" i="60"/>
  <c r="M26" i="60"/>
  <c r="G25" i="60"/>
  <c r="Y24" i="60"/>
  <c r="W24" i="60"/>
  <c r="U24" i="60"/>
  <c r="H24" i="60"/>
  <c r="G24" i="60"/>
  <c r="Y23" i="60"/>
  <c r="W23" i="60"/>
  <c r="U23" i="60"/>
  <c r="G23" i="60"/>
  <c r="Y22" i="60"/>
  <c r="W22" i="60"/>
  <c r="U22" i="60"/>
  <c r="G21" i="60"/>
  <c r="O20" i="60"/>
  <c r="G20" i="60"/>
  <c r="Y19" i="60"/>
  <c r="W19" i="60"/>
  <c r="U19" i="60"/>
  <c r="G19" i="60"/>
  <c r="Y18" i="60"/>
  <c r="W18" i="60"/>
  <c r="U18" i="60"/>
  <c r="O18" i="60"/>
  <c r="G18" i="60"/>
  <c r="Y17" i="60"/>
  <c r="W17" i="60"/>
  <c r="U17" i="60"/>
  <c r="P17" i="60"/>
  <c r="O17" i="60"/>
  <c r="O16" i="60"/>
  <c r="Y14" i="60"/>
  <c r="W14" i="60"/>
  <c r="U14" i="60"/>
  <c r="G14" i="60"/>
  <c r="Y13" i="60"/>
  <c r="W13" i="60"/>
  <c r="U13" i="60"/>
  <c r="G13" i="60"/>
  <c r="Y12" i="60"/>
  <c r="W12" i="60"/>
  <c r="U12" i="60"/>
  <c r="O12" i="60"/>
  <c r="N12" i="60"/>
  <c r="G12" i="60"/>
  <c r="O10" i="60"/>
  <c r="N10" i="60"/>
  <c r="G10" i="60"/>
  <c r="G11" i="60" s="1"/>
  <c r="Z9" i="60"/>
  <c r="Y9" i="60"/>
  <c r="X9" i="60"/>
  <c r="W9" i="60"/>
  <c r="V9" i="60"/>
  <c r="U9" i="60"/>
  <c r="N9" i="60"/>
  <c r="Y8" i="60"/>
  <c r="W8" i="60"/>
  <c r="U8" i="60"/>
  <c r="O8" i="60"/>
  <c r="N8" i="60"/>
  <c r="Y7" i="60"/>
  <c r="W7" i="60"/>
  <c r="U7" i="60"/>
  <c r="O7" i="60"/>
  <c r="N7" i="60"/>
  <c r="G7" i="60"/>
  <c r="G8" i="60" s="1"/>
  <c r="Y6" i="60"/>
  <c r="W6" i="60"/>
  <c r="U6" i="60"/>
  <c r="X1" i="60"/>
  <c r="U1" i="60"/>
  <c r="H1" i="60"/>
  <c r="E1" i="60"/>
  <c r="W35" i="59"/>
  <c r="P35" i="59"/>
  <c r="K35" i="59"/>
  <c r="J35" i="59"/>
  <c r="I35" i="59"/>
  <c r="H35" i="59"/>
  <c r="G35" i="59"/>
  <c r="F35" i="59"/>
  <c r="W32" i="59"/>
  <c r="Q32" i="59"/>
  <c r="P32" i="59"/>
  <c r="K32" i="59"/>
  <c r="J32" i="59"/>
  <c r="I32" i="59"/>
  <c r="H32" i="59"/>
  <c r="G32" i="59"/>
  <c r="F32" i="59"/>
  <c r="X31" i="59"/>
  <c r="W31" i="59"/>
  <c r="Q31" i="59"/>
  <c r="P31" i="59"/>
  <c r="J31" i="59"/>
  <c r="H31" i="59"/>
  <c r="F31" i="59"/>
  <c r="X30" i="59"/>
  <c r="W30" i="59"/>
  <c r="Q30" i="59"/>
  <c r="P30" i="59"/>
  <c r="J30" i="59"/>
  <c r="H30" i="59"/>
  <c r="F30" i="59"/>
  <c r="X29" i="59"/>
  <c r="W29" i="59"/>
  <c r="Q29" i="59"/>
  <c r="P29" i="59"/>
  <c r="J29" i="59"/>
  <c r="H29" i="59"/>
  <c r="F29" i="59"/>
  <c r="X26" i="59"/>
  <c r="W26" i="59"/>
  <c r="Q26" i="59"/>
  <c r="P26" i="59"/>
  <c r="K26" i="59"/>
  <c r="J26" i="59"/>
  <c r="I26" i="59"/>
  <c r="H26" i="59"/>
  <c r="G26" i="59"/>
  <c r="F26" i="59"/>
  <c r="Q25" i="59"/>
  <c r="P25" i="59"/>
  <c r="K25" i="59"/>
  <c r="J25" i="59"/>
  <c r="I25" i="59"/>
  <c r="H25" i="59"/>
  <c r="G25" i="59"/>
  <c r="F25" i="59"/>
  <c r="X24" i="59"/>
  <c r="W24" i="59"/>
  <c r="Q24" i="59"/>
  <c r="P24" i="59"/>
  <c r="K24" i="59"/>
  <c r="J24" i="59"/>
  <c r="I24" i="59"/>
  <c r="H24" i="59"/>
  <c r="G24" i="59"/>
  <c r="F24" i="59"/>
  <c r="W21" i="59"/>
  <c r="P21" i="59"/>
  <c r="K21" i="59"/>
  <c r="J21" i="59"/>
  <c r="I21" i="59"/>
  <c r="H21" i="59"/>
  <c r="G21" i="59"/>
  <c r="F21" i="59"/>
  <c r="W20" i="59"/>
  <c r="P20" i="59"/>
  <c r="K20" i="59"/>
  <c r="J20" i="59"/>
  <c r="I20" i="59"/>
  <c r="H20" i="59"/>
  <c r="G20" i="59"/>
  <c r="F20" i="59"/>
  <c r="W19" i="59"/>
  <c r="T19" i="59"/>
  <c r="P19" i="59"/>
  <c r="K19" i="59"/>
  <c r="J19" i="59"/>
  <c r="I19" i="59"/>
  <c r="H19" i="59"/>
  <c r="G19" i="59"/>
  <c r="F19" i="59"/>
  <c r="W16" i="59"/>
  <c r="U16" i="59"/>
  <c r="T16" i="59"/>
  <c r="J16" i="59"/>
  <c r="H16" i="59"/>
  <c r="F16" i="59"/>
  <c r="E16" i="59"/>
  <c r="W15" i="59"/>
  <c r="U15" i="59"/>
  <c r="T15" i="59"/>
  <c r="Q15" i="59"/>
  <c r="P15" i="59"/>
  <c r="J15" i="59"/>
  <c r="H15" i="59"/>
  <c r="F15" i="59"/>
  <c r="E15" i="59"/>
  <c r="W14" i="59"/>
  <c r="U14" i="59"/>
  <c r="T14" i="59"/>
  <c r="Q14" i="59"/>
  <c r="P14" i="59"/>
  <c r="J14" i="59"/>
  <c r="H14" i="59"/>
  <c r="F14" i="59"/>
  <c r="E14" i="59"/>
  <c r="S9" i="59"/>
  <c r="P9" i="59"/>
  <c r="B6" i="59"/>
  <c r="O5" i="59"/>
  <c r="L5" i="59"/>
  <c r="B5" i="59"/>
  <c r="B4" i="59"/>
  <c r="W3" i="59"/>
  <c r="B3" i="59"/>
  <c r="G83" i="84"/>
  <c r="J83" i="74"/>
  <c r="L83" i="66"/>
  <c r="K83" i="62"/>
  <c r="R12" i="69"/>
  <c r="O29" i="33"/>
  <c r="O29" i="35"/>
  <c r="O29" i="34"/>
  <c r="O29" i="29"/>
  <c r="O28" i="29"/>
  <c r="O29" i="5"/>
  <c r="O29" i="72"/>
  <c r="O28" i="72"/>
  <c r="O29" i="68"/>
  <c r="O28" i="68"/>
  <c r="O29" i="64"/>
  <c r="O28" i="64"/>
  <c r="O29" i="60"/>
  <c r="O28" i="60"/>
  <c r="G83" i="82" l="1"/>
  <c r="L83" i="78"/>
  <c r="M174" i="124"/>
  <c r="R174" i="124" s="1"/>
  <c r="W174" i="124" s="1"/>
  <c r="F83" i="80"/>
  <c r="H83" i="76"/>
  <c r="M198" i="124"/>
  <c r="R198" i="124" s="1"/>
  <c r="W198" i="124" s="1"/>
  <c r="N44" i="72"/>
  <c r="M28" i="60"/>
  <c r="X13" i="73"/>
  <c r="M83" i="76"/>
  <c r="L30" i="69"/>
  <c r="M197" i="124"/>
  <c r="G16" i="74"/>
  <c r="K83" i="74"/>
  <c r="L30" i="61"/>
  <c r="M29" i="68"/>
  <c r="X31" i="65"/>
  <c r="C122" i="9"/>
  <c r="I72" i="9"/>
  <c r="D47" i="9"/>
  <c r="W201" i="124"/>
  <c r="G147" i="9"/>
  <c r="H147" i="9"/>
  <c r="I147" i="9"/>
  <c r="B147" i="9"/>
  <c r="C147" i="9"/>
  <c r="D147" i="9"/>
  <c r="E147" i="9"/>
  <c r="F147" i="9"/>
  <c r="B122" i="9"/>
  <c r="E122" i="9"/>
  <c r="F122" i="9"/>
  <c r="D122" i="9"/>
  <c r="H50" i="113"/>
  <c r="R201" i="124"/>
  <c r="G122" i="9"/>
  <c r="H122" i="9"/>
  <c r="I122" i="9"/>
  <c r="E97" i="9"/>
  <c r="F97" i="9"/>
  <c r="H50" i="114"/>
  <c r="M201" i="124"/>
  <c r="G97" i="9"/>
  <c r="H97" i="9"/>
  <c r="I97" i="9"/>
  <c r="B97" i="9"/>
  <c r="C97" i="9"/>
  <c r="D97" i="9"/>
  <c r="H72" i="9"/>
  <c r="B72" i="9"/>
  <c r="C72" i="9"/>
  <c r="D72" i="9"/>
  <c r="E72" i="9"/>
  <c r="F72" i="9"/>
  <c r="H50" i="115"/>
  <c r="H201" i="124"/>
  <c r="G72" i="9"/>
  <c r="C47" i="9"/>
  <c r="E47" i="9"/>
  <c r="F47" i="9"/>
  <c r="H50" i="116"/>
  <c r="P28" i="120" s="1"/>
  <c r="C201" i="124"/>
  <c r="G47" i="9"/>
  <c r="H47" i="9"/>
  <c r="I47" i="9"/>
  <c r="B47" i="9"/>
  <c r="G9" i="60"/>
  <c r="G9" i="64"/>
  <c r="X31" i="69"/>
  <c r="L24" i="69"/>
  <c r="L27" i="69" s="1"/>
  <c r="F27" i="69" s="1"/>
  <c r="H17" i="74"/>
  <c r="X19" i="65"/>
  <c r="H16" i="74"/>
  <c r="I16" i="74"/>
  <c r="G17" i="74"/>
  <c r="X19" i="77"/>
  <c r="K83" i="82"/>
  <c r="R12" i="73"/>
  <c r="N29" i="68"/>
  <c r="X31" i="73"/>
  <c r="L83" i="82"/>
  <c r="L33" i="73"/>
  <c r="L35" i="73" s="1"/>
  <c r="N44" i="68"/>
  <c r="H16" i="70"/>
  <c r="O7" i="116"/>
  <c r="B7" i="124"/>
  <c r="A9" i="124"/>
  <c r="N9" i="116"/>
  <c r="P7" i="116"/>
  <c r="C7" i="124"/>
  <c r="B9" i="124"/>
  <c r="O9" i="116"/>
  <c r="P9" i="116"/>
  <c r="C9" i="124"/>
  <c r="A8" i="124"/>
  <c r="N8" i="116"/>
  <c r="B8" i="124"/>
  <c r="O8" i="116"/>
  <c r="C8" i="124"/>
  <c r="P8" i="116"/>
  <c r="X19" i="73"/>
  <c r="A7" i="124"/>
  <c r="N7" i="116"/>
  <c r="G9" i="33"/>
  <c r="X31" i="83"/>
  <c r="R12" i="79"/>
  <c r="R12" i="83"/>
  <c r="O7" i="110"/>
  <c r="V7" i="124"/>
  <c r="V8" i="124"/>
  <c r="O8" i="110"/>
  <c r="N9" i="110"/>
  <c r="U9" i="124"/>
  <c r="W7" i="124"/>
  <c r="P7" i="110"/>
  <c r="W8" i="124"/>
  <c r="P8" i="110"/>
  <c r="O9" i="110"/>
  <c r="V9" i="124"/>
  <c r="W9" i="124"/>
  <c r="P9" i="110"/>
  <c r="N7" i="110"/>
  <c r="U7" i="124"/>
  <c r="N8" i="110"/>
  <c r="U8" i="124"/>
  <c r="N9" i="113"/>
  <c r="P9" i="124"/>
  <c r="P7" i="124"/>
  <c r="N7" i="113"/>
  <c r="N8" i="113"/>
  <c r="P8" i="124"/>
  <c r="O8" i="113"/>
  <c r="Q8" i="124"/>
  <c r="R7" i="124"/>
  <c r="P7" i="113"/>
  <c r="R8" i="124"/>
  <c r="P8" i="113"/>
  <c r="O9" i="113"/>
  <c r="Q9" i="124"/>
  <c r="O7" i="113"/>
  <c r="Q7" i="124"/>
  <c r="R9" i="124"/>
  <c r="P9" i="113"/>
  <c r="K7" i="124"/>
  <c r="N7" i="114"/>
  <c r="K8" i="124"/>
  <c r="N8" i="114"/>
  <c r="I16" i="78"/>
  <c r="L7" i="124"/>
  <c r="O7" i="114"/>
  <c r="L8" i="124"/>
  <c r="O8" i="114"/>
  <c r="N9" i="114"/>
  <c r="K9" i="124"/>
  <c r="M9" i="124"/>
  <c r="P9" i="114"/>
  <c r="M7" i="124"/>
  <c r="P7" i="114"/>
  <c r="M8" i="124"/>
  <c r="P8" i="114"/>
  <c r="O9" i="114"/>
  <c r="L9" i="124"/>
  <c r="O11" i="68"/>
  <c r="R12" i="65"/>
  <c r="R20" i="61"/>
  <c r="R27" i="61"/>
  <c r="N44" i="60"/>
  <c r="R12" i="61"/>
  <c r="N11" i="72"/>
  <c r="N28" i="72"/>
  <c r="X13" i="69"/>
  <c r="G15" i="64"/>
  <c r="N44" i="64"/>
  <c r="I16" i="66"/>
  <c r="I16" i="62"/>
  <c r="N44" i="33"/>
  <c r="R27" i="83"/>
  <c r="N29" i="29"/>
  <c r="R12" i="75"/>
  <c r="L33" i="83"/>
  <c r="L35" i="83" s="1"/>
  <c r="O11" i="34"/>
  <c r="L30" i="77"/>
  <c r="N11" i="29"/>
  <c r="L33" i="77"/>
  <c r="L35" i="77" s="1"/>
  <c r="N44" i="35"/>
  <c r="X19" i="81"/>
  <c r="I16" i="82"/>
  <c r="I17" i="78"/>
  <c r="X13" i="75"/>
  <c r="M29" i="72"/>
  <c r="I16" i="70"/>
  <c r="N11" i="68"/>
  <c r="M28" i="68"/>
  <c r="R27" i="69"/>
  <c r="X27" i="69"/>
  <c r="L33" i="69"/>
  <c r="L35" i="69" s="1"/>
  <c r="N29" i="64"/>
  <c r="M29" i="60"/>
  <c r="X31" i="61"/>
  <c r="N29" i="60"/>
  <c r="M83" i="78"/>
  <c r="G17" i="82"/>
  <c r="L30" i="79"/>
  <c r="G17" i="78"/>
  <c r="G16" i="78"/>
  <c r="G16" i="82"/>
  <c r="L30" i="73"/>
  <c r="O11" i="72"/>
  <c r="M28" i="72"/>
  <c r="R20" i="73"/>
  <c r="R21" i="73" s="1"/>
  <c r="L24" i="73"/>
  <c r="L27" i="73" s="1"/>
  <c r="F27" i="73" s="1"/>
  <c r="R27" i="73"/>
  <c r="R35" i="73"/>
  <c r="R20" i="69"/>
  <c r="R35" i="69"/>
  <c r="N28" i="68"/>
  <c r="X19" i="69"/>
  <c r="O11" i="64"/>
  <c r="R35" i="65"/>
  <c r="X13" i="65"/>
  <c r="R27" i="65"/>
  <c r="L24" i="65"/>
  <c r="L27" i="65" s="1"/>
  <c r="F27" i="65" s="1"/>
  <c r="X19" i="61"/>
  <c r="X27" i="61"/>
  <c r="H16" i="62"/>
  <c r="X13" i="61"/>
  <c r="N44" i="5"/>
  <c r="X31" i="75"/>
  <c r="L30" i="75"/>
  <c r="H16" i="78"/>
  <c r="N44" i="29"/>
  <c r="R20" i="77"/>
  <c r="N29" i="72"/>
  <c r="G9" i="72"/>
  <c r="G9" i="68"/>
  <c r="G17" i="70"/>
  <c r="N11" i="64"/>
  <c r="G26" i="64"/>
  <c r="R20" i="65"/>
  <c r="X27" i="65"/>
  <c r="L30" i="65"/>
  <c r="G15" i="60"/>
  <c r="G16" i="62"/>
  <c r="O11" i="60"/>
  <c r="L24" i="61"/>
  <c r="L27" i="61" s="1"/>
  <c r="F27" i="61" s="1"/>
  <c r="R35" i="61"/>
  <c r="N11" i="60"/>
  <c r="G17" i="62"/>
  <c r="X13" i="83"/>
  <c r="L30" i="83"/>
  <c r="N29" i="34"/>
  <c r="X31" i="79"/>
  <c r="N44" i="34"/>
  <c r="L33" i="79"/>
  <c r="L35" i="79" s="1"/>
  <c r="N28" i="34"/>
  <c r="G9" i="5"/>
  <c r="R27" i="75"/>
  <c r="O11" i="5"/>
  <c r="L24" i="75"/>
  <c r="L27" i="75" s="1"/>
  <c r="F27" i="75" s="1"/>
  <c r="R35" i="75"/>
  <c r="N11" i="33"/>
  <c r="M28" i="33"/>
  <c r="X27" i="83"/>
  <c r="N29" i="35"/>
  <c r="L33" i="81"/>
  <c r="L35" i="81" s="1"/>
  <c r="X13" i="79"/>
  <c r="R20" i="79"/>
  <c r="L24" i="79"/>
  <c r="L27" i="79" s="1"/>
  <c r="F27" i="79" s="1"/>
  <c r="R35" i="79"/>
  <c r="I16" i="80"/>
  <c r="G9" i="29"/>
  <c r="X13" i="77"/>
  <c r="L24" i="77"/>
  <c r="L27" i="77" s="1"/>
  <c r="F27" i="77" s="1"/>
  <c r="X31" i="77"/>
  <c r="O11" i="29"/>
  <c r="R35" i="77"/>
  <c r="R12" i="81"/>
  <c r="L30" i="81"/>
  <c r="N28" i="35"/>
  <c r="N11" i="35"/>
  <c r="N11" i="34"/>
  <c r="H16" i="80"/>
  <c r="G26" i="29"/>
  <c r="G17" i="76"/>
  <c r="H16" i="82"/>
  <c r="P42" i="124"/>
  <c r="P43" i="124"/>
  <c r="P44" i="124"/>
  <c r="Q42" i="124"/>
  <c r="Q43" i="124"/>
  <c r="Q44" i="124"/>
  <c r="R42" i="124"/>
  <c r="R43" i="124"/>
  <c r="R44" i="124"/>
  <c r="P47" i="124"/>
  <c r="P48" i="124"/>
  <c r="P49" i="124"/>
  <c r="Q47" i="124"/>
  <c r="Q48" i="124"/>
  <c r="Q49" i="124"/>
  <c r="R47" i="124"/>
  <c r="R48" i="124"/>
  <c r="R49" i="124"/>
  <c r="G17" i="80"/>
  <c r="R20" i="75"/>
  <c r="X19" i="83"/>
  <c r="G16" i="84"/>
  <c r="M28" i="5"/>
  <c r="O11" i="33"/>
  <c r="N29" i="33"/>
  <c r="R20" i="83"/>
  <c r="L24" i="83"/>
  <c r="L27" i="83" s="1"/>
  <c r="F27" i="83" s="1"/>
  <c r="R35" i="83"/>
  <c r="O11" i="35"/>
  <c r="M28" i="35"/>
  <c r="R20" i="81"/>
  <c r="R35" i="81"/>
  <c r="X13" i="81"/>
  <c r="M28" i="34"/>
  <c r="R27" i="79"/>
  <c r="M29" i="5"/>
  <c r="N11" i="5"/>
  <c r="N29" i="5"/>
  <c r="X19" i="75"/>
  <c r="X27" i="75"/>
  <c r="G26" i="72"/>
  <c r="X27" i="73"/>
  <c r="G16" i="70"/>
  <c r="G26" i="60"/>
  <c r="H16" i="84"/>
  <c r="G9" i="35"/>
  <c r="L24" i="81"/>
  <c r="L27" i="81" s="1"/>
  <c r="F27" i="81" s="1"/>
  <c r="R27" i="81"/>
  <c r="X19" i="79"/>
  <c r="R12" i="77"/>
  <c r="M29" i="29"/>
  <c r="X27" i="77"/>
  <c r="G26" i="5"/>
  <c r="X27" i="81"/>
  <c r="R27" i="77"/>
  <c r="G15" i="29"/>
  <c r="I16" i="84"/>
  <c r="G17" i="84"/>
  <c r="H17" i="84"/>
  <c r="N28" i="33"/>
  <c r="I17" i="84"/>
  <c r="X31" i="81"/>
  <c r="G26" i="35"/>
  <c r="M29" i="34"/>
  <c r="M28" i="29"/>
  <c r="G16" i="76"/>
  <c r="N28" i="5"/>
  <c r="G26" i="33"/>
  <c r="G26" i="34"/>
  <c r="G15" i="34"/>
  <c r="X27" i="79"/>
  <c r="G26" i="68"/>
  <c r="N28" i="64"/>
  <c r="M28" i="64"/>
  <c r="H16" i="66"/>
  <c r="L33" i="65"/>
  <c r="L35" i="65" s="1"/>
  <c r="H17" i="76"/>
  <c r="I16" i="76"/>
  <c r="H17" i="70"/>
  <c r="G17" i="66"/>
  <c r="H17" i="66"/>
  <c r="I17" i="66"/>
  <c r="G16" i="66"/>
  <c r="H17" i="82"/>
  <c r="I17" i="82"/>
  <c r="H17" i="80"/>
  <c r="I17" i="80"/>
  <c r="G16" i="80"/>
  <c r="H17" i="78"/>
  <c r="I17" i="76"/>
  <c r="H16" i="76"/>
  <c r="I17" i="74"/>
  <c r="I17" i="70"/>
  <c r="H17" i="62"/>
  <c r="I17" i="62"/>
  <c r="L33" i="75"/>
  <c r="L35" i="75" s="1"/>
  <c r="R21" i="69"/>
  <c r="L33" i="61"/>
  <c r="L35" i="61" s="1"/>
  <c r="O28" i="33"/>
  <c r="N43" i="33"/>
  <c r="G11" i="33"/>
  <c r="G15" i="33" s="1"/>
  <c r="M29" i="33"/>
  <c r="O28" i="35"/>
  <c r="N43" i="35"/>
  <c r="G11" i="35"/>
  <c r="G15" i="35" s="1"/>
  <c r="M29" i="35"/>
  <c r="G9" i="34"/>
  <c r="O28" i="34"/>
  <c r="N43" i="34"/>
  <c r="N28" i="29"/>
  <c r="N43" i="29"/>
  <c r="O28" i="5"/>
  <c r="N43" i="5"/>
  <c r="G11" i="5"/>
  <c r="G15" i="5" s="1"/>
  <c r="N43" i="72"/>
  <c r="G11" i="72"/>
  <c r="G15" i="72" s="1"/>
  <c r="N43" i="68"/>
  <c r="G11" i="68"/>
  <c r="G15" i="68" s="1"/>
  <c r="N43" i="64"/>
  <c r="M29" i="64"/>
  <c r="N28" i="60"/>
  <c r="N43" i="60"/>
  <c r="N45" i="72" l="1"/>
  <c r="N45" i="68"/>
  <c r="R21" i="79"/>
  <c r="R30" i="79" s="1"/>
  <c r="R30" i="69"/>
  <c r="R21" i="61"/>
  <c r="R30" i="61" s="1"/>
  <c r="N45" i="5"/>
  <c r="R21" i="75"/>
  <c r="R30" i="75" s="1"/>
  <c r="N45" i="29"/>
  <c r="N45" i="33"/>
  <c r="R21" i="83"/>
  <c r="R30" i="83" s="1"/>
  <c r="R21" i="81"/>
  <c r="R30" i="81" s="1"/>
  <c r="N45" i="35"/>
  <c r="R21" i="77"/>
  <c r="R30" i="77" s="1"/>
  <c r="R21" i="65"/>
  <c r="R30" i="65" s="1"/>
  <c r="N45" i="64"/>
  <c r="N45" i="60"/>
  <c r="N45" i="34"/>
  <c r="R30" i="73"/>
  <c r="P45" i="124"/>
  <c r="R45" i="124"/>
  <c r="Q45" i="124"/>
  <c r="R65" i="110" l="1"/>
  <c r="O261" i="94" l="1"/>
  <c r="O262" i="94"/>
  <c r="O263" i="94"/>
  <c r="O264" i="94"/>
  <c r="O265" i="94"/>
  <c r="O266" i="94"/>
  <c r="O267" i="94"/>
  <c r="O268" i="94"/>
  <c r="O269" i="94"/>
  <c r="O270" i="94"/>
  <c r="O271" i="94"/>
  <c r="O272" i="94"/>
  <c r="O273" i="94"/>
  <c r="O274" i="94"/>
  <c r="O275" i="94"/>
  <c r="O276" i="94"/>
  <c r="O277" i="94"/>
  <c r="O278" i="94"/>
  <c r="O279" i="94"/>
  <c r="O280" i="94"/>
  <c r="O281" i="94"/>
  <c r="O282" i="94"/>
  <c r="O283" i="94"/>
  <c r="O284" i="94"/>
  <c r="O285" i="94"/>
  <c r="O286" i="94"/>
  <c r="O287" i="94"/>
  <c r="O288" i="94"/>
  <c r="O289" i="94"/>
  <c r="O290" i="94"/>
  <c r="O291" i="94"/>
  <c r="O292" i="94"/>
  <c r="O293" i="94"/>
  <c r="O294" i="94"/>
  <c r="O295" i="94"/>
  <c r="O296" i="94"/>
  <c r="O297" i="94"/>
  <c r="O298" i="94"/>
  <c r="O299" i="94"/>
  <c r="O300" i="94"/>
  <c r="O301" i="94"/>
  <c r="O302" i="94"/>
  <c r="O303" i="94"/>
  <c r="O304" i="94"/>
  <c r="O305" i="94"/>
  <c r="O306" i="94"/>
  <c r="O307" i="94"/>
  <c r="O308" i="94"/>
  <c r="O309" i="94"/>
  <c r="O310" i="94"/>
  <c r="O311" i="94"/>
  <c r="O312" i="94"/>
  <c r="O313" i="94"/>
  <c r="O314" i="94"/>
  <c r="O315" i="94"/>
  <c r="O316" i="94"/>
  <c r="O317" i="94"/>
  <c r="O318" i="94"/>
  <c r="O319" i="94"/>
  <c r="O320" i="94"/>
  <c r="O321" i="94"/>
  <c r="O322" i="94"/>
  <c r="O323" i="94"/>
  <c r="O324" i="94"/>
  <c r="O325" i="94"/>
  <c r="O326" i="94"/>
  <c r="O327" i="94"/>
  <c r="O328" i="94"/>
  <c r="O329" i="94"/>
  <c r="O330" i="94"/>
  <c r="O331" i="94"/>
  <c r="O332" i="94"/>
  <c r="O333" i="94"/>
  <c r="O334" i="94"/>
  <c r="O335" i="94"/>
  <c r="O336" i="94"/>
  <c r="O337" i="94"/>
  <c r="O338" i="94"/>
  <c r="O339" i="94"/>
  <c r="O340" i="94"/>
  <c r="O341" i="94"/>
  <c r="O342" i="94"/>
  <c r="O343" i="94"/>
  <c r="O344" i="94"/>
  <c r="O345" i="94"/>
  <c r="O346" i="94"/>
  <c r="O347" i="94"/>
  <c r="O348" i="94"/>
  <c r="O349" i="94"/>
  <c r="O350" i="94"/>
  <c r="O351" i="94"/>
  <c r="O352" i="94"/>
  <c r="O353" i="94"/>
  <c r="O354" i="94"/>
  <c r="O355" i="94"/>
  <c r="O356" i="94"/>
  <c r="O357" i="94"/>
  <c r="O358" i="94"/>
  <c r="O359" i="94"/>
  <c r="O360" i="94"/>
  <c r="O361" i="94"/>
  <c r="E20" i="116" l="1"/>
  <c r="X27" i="8" l="1"/>
  <c r="T82" i="124" l="1"/>
  <c r="S82" i="124"/>
  <c r="O82" i="124"/>
  <c r="N82" i="124"/>
  <c r="J82" i="124"/>
  <c r="I82" i="124"/>
  <c r="H33" i="54" l="1"/>
  <c r="I33" i="54" s="1"/>
  <c r="J33" i="54" s="1"/>
  <c r="K33" i="54" s="1"/>
  <c r="H41" i="54"/>
  <c r="R73" i="94" l="1"/>
  <c r="R74" i="94"/>
  <c r="R75" i="94"/>
  <c r="R76" i="94"/>
  <c r="R77" i="94"/>
  <c r="R78" i="94"/>
  <c r="R79" i="94"/>
  <c r="R80" i="94"/>
  <c r="R81" i="94"/>
  <c r="R82" i="94"/>
  <c r="R83" i="94"/>
  <c r="R72" i="94"/>
  <c r="R59" i="94" l="1"/>
  <c r="R60" i="94"/>
  <c r="R61" i="94"/>
  <c r="R62" i="94"/>
  <c r="R63" i="94"/>
  <c r="R64" i="94"/>
  <c r="R65" i="94"/>
  <c r="R66" i="94"/>
  <c r="R67" i="94"/>
  <c r="R68" i="94"/>
  <c r="R69" i="94"/>
  <c r="R58" i="94"/>
  <c r="R45" i="94"/>
  <c r="R46" i="94"/>
  <c r="R47" i="94"/>
  <c r="R48" i="94"/>
  <c r="R49" i="94"/>
  <c r="R50" i="94"/>
  <c r="R51" i="94"/>
  <c r="R52" i="94"/>
  <c r="R53" i="94"/>
  <c r="R54" i="94"/>
  <c r="R55" i="94"/>
  <c r="R44" i="94"/>
  <c r="R17" i="94" l="1"/>
  <c r="R18" i="94"/>
  <c r="R19" i="94"/>
  <c r="R20" i="94"/>
  <c r="R21" i="94"/>
  <c r="R22" i="94"/>
  <c r="R23" i="94"/>
  <c r="R24" i="94"/>
  <c r="R25" i="94"/>
  <c r="R26" i="94"/>
  <c r="R27" i="94"/>
  <c r="R16" i="94"/>
  <c r="Z35" i="94" l="1"/>
  <c r="Z36" i="94"/>
  <c r="Z37" i="94"/>
  <c r="Z38" i="94"/>
  <c r="Z39" i="94"/>
  <c r="Z34" i="94"/>
  <c r="Z29" i="94"/>
  <c r="Z30" i="94"/>
  <c r="Z31" i="94"/>
  <c r="Z32" i="94"/>
  <c r="Z33" i="94"/>
  <c r="Z28" i="94"/>
  <c r="Z23" i="94"/>
  <c r="Z24" i="94"/>
  <c r="Z25" i="94"/>
  <c r="Z26" i="94"/>
  <c r="Z27" i="94"/>
  <c r="Z22" i="94"/>
  <c r="Z2" i="94" l="1"/>
  <c r="Z3" i="94"/>
  <c r="Z4" i="94"/>
  <c r="Z5" i="94"/>
  <c r="Z6" i="94"/>
  <c r="Z7" i="94"/>
  <c r="Z8" i="94"/>
  <c r="Z9" i="94"/>
  <c r="Z10" i="94"/>
  <c r="Z11" i="94"/>
  <c r="Z12" i="94"/>
  <c r="Z13" i="94"/>
  <c r="Z14" i="94"/>
  <c r="Z15" i="94"/>
  <c r="Z16" i="94"/>
  <c r="Z17" i="94"/>
  <c r="Z18" i="94"/>
  <c r="Z19" i="94"/>
  <c r="R9" i="94" l="1"/>
  <c r="R10" i="94"/>
  <c r="R11" i="94"/>
  <c r="R12" i="94"/>
  <c r="R13" i="94"/>
  <c r="R8" i="94"/>
  <c r="R4" i="94"/>
  <c r="R3" i="94"/>
  <c r="R2" i="94"/>
  <c r="AJ114" i="124" l="1" a="1"/>
  <c r="AJ114" i="124" s="1"/>
  <c r="AJ116" i="124" s="1"/>
  <c r="AI130" i="124" a="1"/>
  <c r="AI130" i="124" s="1"/>
  <c r="D193" i="124" l="1"/>
  <c r="I193" i="124"/>
  <c r="N193" i="124"/>
  <c r="X193" i="124"/>
  <c r="X495" i="124" l="1"/>
  <c r="W495" i="124"/>
  <c r="V495" i="124"/>
  <c r="U495" i="124"/>
  <c r="S495" i="124"/>
  <c r="R495" i="124"/>
  <c r="Q495" i="124"/>
  <c r="P495" i="124"/>
  <c r="N495" i="124"/>
  <c r="M495" i="124"/>
  <c r="L495" i="124"/>
  <c r="K495" i="124"/>
  <c r="I495" i="124"/>
  <c r="H495" i="124"/>
  <c r="G495" i="124"/>
  <c r="F495" i="124"/>
  <c r="D495" i="124"/>
  <c r="C495" i="124"/>
  <c r="B495" i="124"/>
  <c r="A495" i="124"/>
  <c r="A401" i="124"/>
  <c r="X397" i="124"/>
  <c r="W397" i="124"/>
  <c r="W393" i="124" s="1"/>
  <c r="V397" i="124"/>
  <c r="V393" i="124" s="1"/>
  <c r="S397" i="124"/>
  <c r="S393" i="124" s="1"/>
  <c r="R397" i="124"/>
  <c r="R393" i="124" s="1"/>
  <c r="Q397" i="124"/>
  <c r="Q393" i="124" s="1"/>
  <c r="N397" i="124"/>
  <c r="N393" i="124" s="1"/>
  <c r="M397" i="124"/>
  <c r="M393" i="124" s="1"/>
  <c r="L397" i="124"/>
  <c r="L393" i="124" s="1"/>
  <c r="I397" i="124"/>
  <c r="I393" i="124" s="1"/>
  <c r="H397" i="124"/>
  <c r="H393" i="124" s="1"/>
  <c r="G397" i="124"/>
  <c r="G393" i="124" s="1"/>
  <c r="D397" i="124"/>
  <c r="D393" i="124" s="1"/>
  <c r="C397" i="124"/>
  <c r="C393" i="124" s="1"/>
  <c r="B397" i="124"/>
  <c r="B393" i="124" s="1"/>
  <c r="A397" i="124"/>
  <c r="X396" i="124"/>
  <c r="X392" i="124" s="1"/>
  <c r="W396" i="124"/>
  <c r="W392" i="124" s="1"/>
  <c r="V396" i="124"/>
  <c r="V392" i="124" s="1"/>
  <c r="S396" i="124"/>
  <c r="S392" i="124" s="1"/>
  <c r="R396" i="124"/>
  <c r="R392" i="124" s="1"/>
  <c r="Q396" i="124"/>
  <c r="Q392" i="124" s="1"/>
  <c r="N396" i="124"/>
  <c r="N392" i="124" s="1"/>
  <c r="M396" i="124"/>
  <c r="M392" i="124" s="1"/>
  <c r="L396" i="124"/>
  <c r="L392" i="124" s="1"/>
  <c r="I396" i="124"/>
  <c r="I392" i="124" s="1"/>
  <c r="H396" i="124"/>
  <c r="H392" i="124" s="1"/>
  <c r="G396" i="124"/>
  <c r="G392" i="124" s="1"/>
  <c r="D396" i="124"/>
  <c r="D392" i="124" s="1"/>
  <c r="C396" i="124"/>
  <c r="C392" i="124" s="1"/>
  <c r="B396" i="124"/>
  <c r="B392" i="124" s="1"/>
  <c r="A396" i="124"/>
  <c r="X395" i="124"/>
  <c r="X391" i="124" s="1"/>
  <c r="W395" i="124"/>
  <c r="W391" i="124" s="1"/>
  <c r="V395" i="124"/>
  <c r="V391" i="124" s="1"/>
  <c r="S395" i="124"/>
  <c r="S391" i="124" s="1"/>
  <c r="R395" i="124"/>
  <c r="R391" i="124" s="1"/>
  <c r="Q395" i="124"/>
  <c r="Q391" i="124" s="1"/>
  <c r="N395" i="124"/>
  <c r="N391" i="124" s="1"/>
  <c r="M395" i="124"/>
  <c r="M391" i="124" s="1"/>
  <c r="L395" i="124"/>
  <c r="L391" i="124" s="1"/>
  <c r="I395" i="124"/>
  <c r="I391" i="124" s="1"/>
  <c r="H395" i="124"/>
  <c r="H391" i="124" s="1"/>
  <c r="G395" i="124"/>
  <c r="G391" i="124" s="1"/>
  <c r="D395" i="124"/>
  <c r="D391" i="124" s="1"/>
  <c r="C395" i="124"/>
  <c r="C391" i="124" s="1"/>
  <c r="B395" i="124"/>
  <c r="B391" i="124" s="1"/>
  <c r="A395" i="124"/>
  <c r="X393" i="124"/>
  <c r="W367" i="124"/>
  <c r="R367" i="124"/>
  <c r="M367" i="124"/>
  <c r="H367" i="124"/>
  <c r="C367" i="124"/>
  <c r="H279" i="124"/>
  <c r="M279" i="124" s="1"/>
  <c r="R279" i="124" s="1"/>
  <c r="W279" i="124" s="1"/>
  <c r="W270" i="124"/>
  <c r="U454" i="124" s="1"/>
  <c r="R270" i="124"/>
  <c r="P454" i="124" s="1"/>
  <c r="M270" i="124"/>
  <c r="K454" i="124" s="1"/>
  <c r="H270" i="124"/>
  <c r="F454" i="124" s="1"/>
  <c r="C270" i="124"/>
  <c r="W267" i="124"/>
  <c r="U442" i="124" s="1"/>
  <c r="R267" i="124"/>
  <c r="M267" i="124"/>
  <c r="K442" i="124" s="1"/>
  <c r="H267" i="124"/>
  <c r="F442" i="124" s="1"/>
  <c r="C267" i="124"/>
  <c r="C263" i="124"/>
  <c r="C256" i="124"/>
  <c r="W251" i="124"/>
  <c r="V251" i="124"/>
  <c r="U251" i="124"/>
  <c r="R251" i="124"/>
  <c r="Q251" i="124"/>
  <c r="P251" i="124"/>
  <c r="M251" i="124"/>
  <c r="L251" i="124"/>
  <c r="K251" i="124"/>
  <c r="H251" i="124"/>
  <c r="G251" i="124"/>
  <c r="F251" i="124"/>
  <c r="W250" i="124"/>
  <c r="V250" i="124"/>
  <c r="U250" i="124"/>
  <c r="R250" i="124"/>
  <c r="Q250" i="124"/>
  <c r="P250" i="124"/>
  <c r="M250" i="124"/>
  <c r="L250" i="124"/>
  <c r="K250" i="124"/>
  <c r="H250" i="124"/>
  <c r="G250" i="124"/>
  <c r="F250" i="124"/>
  <c r="W249" i="124"/>
  <c r="V249" i="124"/>
  <c r="U249" i="124"/>
  <c r="R249" i="124"/>
  <c r="Q249" i="124"/>
  <c r="P249" i="124"/>
  <c r="M249" i="124"/>
  <c r="L249" i="124"/>
  <c r="K249" i="124"/>
  <c r="H249" i="124"/>
  <c r="G249" i="124"/>
  <c r="F249" i="124"/>
  <c r="C211" i="124"/>
  <c r="B211" i="124"/>
  <c r="A211" i="124"/>
  <c r="X185" i="124"/>
  <c r="W178" i="124"/>
  <c r="R178" i="124"/>
  <c r="M178" i="124"/>
  <c r="H178" i="124"/>
  <c r="C178" i="124"/>
  <c r="AE158" i="124"/>
  <c r="AD158" i="124"/>
  <c r="AC158" i="124"/>
  <c r="AE157" i="124"/>
  <c r="AD157" i="124"/>
  <c r="AC157" i="124"/>
  <c r="AE156" i="124"/>
  <c r="AD156" i="124"/>
  <c r="AC156" i="124"/>
  <c r="AE155" i="124"/>
  <c r="AD155" i="124"/>
  <c r="AC155" i="124"/>
  <c r="AE154" i="124"/>
  <c r="AD154" i="124"/>
  <c r="AC154" i="124"/>
  <c r="E140" i="124"/>
  <c r="E139" i="124"/>
  <c r="E138" i="124"/>
  <c r="X137" i="124"/>
  <c r="S137" i="124"/>
  <c r="N137" i="124"/>
  <c r="I137" i="124"/>
  <c r="D137" i="124"/>
  <c r="AI132" i="124"/>
  <c r="AG130" i="124" a="1"/>
  <c r="AG130" i="124" s="1"/>
  <c r="AG132" i="124" s="1"/>
  <c r="AE130" i="124" a="1"/>
  <c r="AE130" i="124" s="1"/>
  <c r="AE132" i="124" s="1"/>
  <c r="AC130" i="124" a="1"/>
  <c r="AC130" i="124" s="1"/>
  <c r="AC132" i="124" s="1"/>
  <c r="AA130" i="124" a="1"/>
  <c r="AA130" i="124" s="1"/>
  <c r="AA132" i="124" s="1"/>
  <c r="X125" i="124"/>
  <c r="W125" i="124"/>
  <c r="V125" i="124"/>
  <c r="S125" i="124"/>
  <c r="R125" i="124"/>
  <c r="Q125" i="124"/>
  <c r="N125" i="124"/>
  <c r="M125" i="124"/>
  <c r="L125" i="124"/>
  <c r="I125" i="124"/>
  <c r="H125" i="124"/>
  <c r="G125" i="124"/>
  <c r="D125" i="124"/>
  <c r="C125" i="124"/>
  <c r="B125" i="124"/>
  <c r="D124" i="124"/>
  <c r="C124" i="124"/>
  <c r="B124" i="124"/>
  <c r="E122" i="124"/>
  <c r="X121" i="124"/>
  <c r="W121" i="124"/>
  <c r="V121" i="124"/>
  <c r="S121" i="124"/>
  <c r="R121" i="124"/>
  <c r="Q121" i="124"/>
  <c r="N121" i="124"/>
  <c r="M121" i="124"/>
  <c r="L121" i="124"/>
  <c r="I121" i="124"/>
  <c r="H121" i="124"/>
  <c r="G121" i="124"/>
  <c r="E121" i="124"/>
  <c r="D121" i="124"/>
  <c r="C121" i="124"/>
  <c r="B121" i="124"/>
  <c r="E120" i="124"/>
  <c r="AC114" i="124" a="1"/>
  <c r="AC114" i="124" s="1"/>
  <c r="AC116" i="124" s="1"/>
  <c r="AA114" i="124" a="1"/>
  <c r="AA114" i="124" s="1"/>
  <c r="AA116" i="124" s="1"/>
  <c r="AJ98" i="124" a="1"/>
  <c r="AJ98" i="124" s="1"/>
  <c r="AJ100" i="124" s="1"/>
  <c r="AE98" i="124" a="1"/>
  <c r="AE98" i="124" s="1"/>
  <c r="AE100" i="124" s="1"/>
  <c r="AC98" i="124" a="1"/>
  <c r="AC98" i="124" s="1"/>
  <c r="AC100" i="124" s="1"/>
  <c r="AA98" i="124" a="1"/>
  <c r="AA98" i="124" s="1"/>
  <c r="AA100" i="124" s="1"/>
  <c r="AJ82" i="124" a="1"/>
  <c r="AJ82" i="124" s="1"/>
  <c r="AE82" i="124" a="1"/>
  <c r="AE82" i="124" s="1"/>
  <c r="AE84" i="124" s="1"/>
  <c r="AC82" i="124" a="1"/>
  <c r="AC82" i="124" s="1"/>
  <c r="AC84" i="124" s="1"/>
  <c r="AA82" i="124" a="1"/>
  <c r="AA82" i="124" s="1"/>
  <c r="AA84" i="124" s="1"/>
  <c r="Y82" i="124"/>
  <c r="X82" i="124"/>
  <c r="W79" i="124"/>
  <c r="V79" i="124"/>
  <c r="U79" i="124"/>
  <c r="W78" i="124"/>
  <c r="V78" i="124"/>
  <c r="U78" i="124"/>
  <c r="W77" i="124"/>
  <c r="V77" i="124"/>
  <c r="U77" i="124"/>
  <c r="AE66" i="124" a="1"/>
  <c r="AE66" i="124" s="1"/>
  <c r="AE68" i="124" s="1"/>
  <c r="AC66" i="124" a="1"/>
  <c r="AC66" i="124" s="1"/>
  <c r="AC68" i="124" s="1"/>
  <c r="AA66" i="124" a="1"/>
  <c r="AA66" i="124" s="1"/>
  <c r="AA68" i="124" s="1"/>
  <c r="AI50" i="124" a="1"/>
  <c r="AI50" i="124" s="1"/>
  <c r="AI52" i="124" s="1"/>
  <c r="AG50" i="124" a="1"/>
  <c r="AG50" i="124" s="1"/>
  <c r="AG52" i="124" s="1"/>
  <c r="AE50" i="124" a="1"/>
  <c r="AE50" i="124" s="1"/>
  <c r="AE52" i="124" s="1"/>
  <c r="AC50" i="124" a="1"/>
  <c r="AC50" i="124" s="1"/>
  <c r="AC52" i="124" s="1"/>
  <c r="AA50" i="124" a="1"/>
  <c r="AA50" i="124" s="1"/>
  <c r="AA52" i="124" s="1"/>
  <c r="W34" i="124"/>
  <c r="V34" i="124"/>
  <c r="U34" i="124"/>
  <c r="W33" i="124"/>
  <c r="V33" i="124"/>
  <c r="U33" i="124"/>
  <c r="W32" i="124"/>
  <c r="V32" i="124"/>
  <c r="U32" i="124"/>
  <c r="W14" i="124"/>
  <c r="V14" i="124"/>
  <c r="U14" i="124"/>
  <c r="M14" i="124"/>
  <c r="L14" i="124"/>
  <c r="K14" i="124"/>
  <c r="H14" i="124"/>
  <c r="G14" i="124"/>
  <c r="F14" i="124"/>
  <c r="C14" i="124"/>
  <c r="B14" i="124"/>
  <c r="A14" i="124"/>
  <c r="W13" i="124"/>
  <c r="V13" i="124"/>
  <c r="U13" i="124"/>
  <c r="M13" i="124"/>
  <c r="L13" i="124"/>
  <c r="K13" i="124"/>
  <c r="H13" i="124"/>
  <c r="G13" i="124"/>
  <c r="F13" i="124"/>
  <c r="C13" i="124"/>
  <c r="B13" i="124"/>
  <c r="A13" i="124"/>
  <c r="W12" i="124"/>
  <c r="V12" i="124"/>
  <c r="U12" i="124"/>
  <c r="M12" i="124"/>
  <c r="L12" i="124"/>
  <c r="K12" i="124"/>
  <c r="H12" i="124"/>
  <c r="G12" i="124"/>
  <c r="F12" i="124"/>
  <c r="C12" i="124"/>
  <c r="B12" i="124"/>
  <c r="A12" i="124"/>
  <c r="Z367" i="124" l="1"/>
  <c r="A454" i="124"/>
  <c r="Z270" i="124"/>
  <c r="P442" i="124"/>
  <c r="Z267" i="124"/>
  <c r="A442" i="124"/>
  <c r="X77" i="124"/>
  <c r="I12" i="124"/>
  <c r="N12" i="124"/>
  <c r="X32" i="124"/>
  <c r="X12" i="124"/>
  <c r="S12" i="124"/>
  <c r="D12" i="124"/>
  <c r="A429" i="124"/>
  <c r="L33" i="54" l="1"/>
  <c r="H34" i="54" l="1"/>
  <c r="G34" i="54"/>
  <c r="J34" i="54"/>
  <c r="K34" i="54"/>
  <c r="I34" i="54"/>
  <c r="K28" i="54"/>
  <c r="J28" i="54"/>
  <c r="I28" i="54"/>
  <c r="H28" i="54"/>
  <c r="G28" i="54"/>
  <c r="I42" i="110"/>
  <c r="I42" i="113"/>
  <c r="I42" i="114"/>
  <c r="I42" i="115"/>
  <c r="I42" i="116"/>
  <c r="K29" i="54"/>
  <c r="J29" i="54"/>
  <c r="I29" i="54"/>
  <c r="H29" i="54"/>
  <c r="G29" i="54"/>
  <c r="L34" i="54" l="1"/>
  <c r="R5" i="94" l="1"/>
  <c r="R6" i="94"/>
  <c r="R7" i="94"/>
  <c r="I49" i="9" l="1"/>
  <c r="I74" i="9" s="1"/>
  <c r="I99" i="9" s="1"/>
  <c r="I124" i="9" s="1"/>
  <c r="H49" i="9"/>
  <c r="H74" i="9" s="1"/>
  <c r="H99" i="9" s="1"/>
  <c r="H124" i="9" s="1"/>
  <c r="G49" i="9"/>
  <c r="G74" i="9" s="1"/>
  <c r="G99" i="9" s="1"/>
  <c r="G124" i="9" s="1"/>
  <c r="F49" i="9"/>
  <c r="F74" i="9" s="1"/>
  <c r="F99" i="9" s="1"/>
  <c r="F124" i="9" s="1"/>
  <c r="E49" i="9"/>
  <c r="E74" i="9" s="1"/>
  <c r="E99" i="9" s="1"/>
  <c r="E124" i="9" s="1"/>
  <c r="D49" i="9"/>
  <c r="D74" i="9" s="1"/>
  <c r="D99" i="9" s="1"/>
  <c r="D124" i="9" s="1"/>
  <c r="C49" i="9"/>
  <c r="C74" i="9" s="1"/>
  <c r="C99" i="9" s="1"/>
  <c r="C124" i="9" s="1"/>
  <c r="B49" i="9"/>
  <c r="B74" i="9" s="1"/>
  <c r="B99" i="9" s="1"/>
  <c r="B124" i="9" s="1"/>
  <c r="P14" i="110" l="1"/>
  <c r="O14" i="110"/>
  <c r="N14" i="110"/>
  <c r="P13" i="110"/>
  <c r="O13" i="110"/>
  <c r="N13" i="110"/>
  <c r="P12" i="110"/>
  <c r="O12" i="110"/>
  <c r="N12" i="110"/>
  <c r="P14" i="113"/>
  <c r="O14" i="113"/>
  <c r="N14" i="113"/>
  <c r="P13" i="113"/>
  <c r="O13" i="113"/>
  <c r="N13" i="113"/>
  <c r="P12" i="113"/>
  <c r="O12" i="113"/>
  <c r="N12" i="113"/>
  <c r="P14" i="114"/>
  <c r="O14" i="114"/>
  <c r="N14" i="114"/>
  <c r="P13" i="114"/>
  <c r="O13" i="114"/>
  <c r="N13" i="114"/>
  <c r="P12" i="114"/>
  <c r="O12" i="114"/>
  <c r="N12" i="114"/>
  <c r="P14" i="115"/>
  <c r="O14" i="115"/>
  <c r="N14" i="115"/>
  <c r="P13" i="115"/>
  <c r="O13" i="115"/>
  <c r="N13" i="115"/>
  <c r="P12" i="115"/>
  <c r="O12" i="115"/>
  <c r="N12" i="115"/>
  <c r="N13" i="116"/>
  <c r="O13" i="116"/>
  <c r="P13" i="116"/>
  <c r="N14" i="116"/>
  <c r="O14" i="116"/>
  <c r="P14" i="116"/>
  <c r="O12" i="116"/>
  <c r="P12" i="116"/>
  <c r="N12" i="116"/>
  <c r="O12" i="124" l="1"/>
  <c r="E12" i="124"/>
  <c r="Y12" i="124"/>
  <c r="J12" i="124"/>
  <c r="T12" i="124"/>
  <c r="E22" i="116" l="1"/>
  <c r="E21" i="116"/>
  <c r="D21" i="110" l="1"/>
  <c r="C21" i="110"/>
  <c r="B21" i="110"/>
  <c r="D21" i="113"/>
  <c r="C21" i="113"/>
  <c r="B21" i="113"/>
  <c r="D21" i="114"/>
  <c r="C21" i="114"/>
  <c r="B21" i="114"/>
  <c r="D21" i="115"/>
  <c r="C21" i="115"/>
  <c r="B21" i="115"/>
  <c r="D21" i="116"/>
  <c r="C21" i="116"/>
  <c r="B21" i="116"/>
  <c r="Z27" i="8" l="1"/>
  <c r="AA27" i="8"/>
  <c r="Z28" i="8"/>
  <c r="AA28" i="8"/>
  <c r="Z29" i="8"/>
  <c r="AA29" i="8"/>
  <c r="Z30" i="8"/>
  <c r="AA30" i="8"/>
  <c r="Z31" i="8"/>
  <c r="AA31" i="8"/>
  <c r="Z17" i="8"/>
  <c r="AA17" i="8"/>
  <c r="Z18" i="8"/>
  <c r="AA18" i="8"/>
  <c r="Z19" i="8"/>
  <c r="AA19" i="8"/>
  <c r="Z20" i="8"/>
  <c r="AA20" i="8"/>
  <c r="Z21" i="8"/>
  <c r="AA21" i="8"/>
  <c r="Z7" i="8"/>
  <c r="AA7" i="8"/>
  <c r="Z8" i="8"/>
  <c r="AA8" i="8"/>
  <c r="Z9" i="8"/>
  <c r="AA9" i="8"/>
  <c r="Z10" i="8"/>
  <c r="AA10" i="8"/>
  <c r="Z11" i="8"/>
  <c r="AA11" i="8"/>
  <c r="X116" i="124" l="1"/>
  <c r="R116" i="124"/>
  <c r="D116" i="124"/>
  <c r="G116" i="124"/>
  <c r="S116" i="124"/>
  <c r="M116" i="124"/>
  <c r="V116" i="124"/>
  <c r="B116" i="124"/>
  <c r="N116" i="124"/>
  <c r="L116" i="124"/>
  <c r="H116" i="124"/>
  <c r="Q116" i="124"/>
  <c r="W116" i="124"/>
  <c r="C116" i="124"/>
  <c r="I116" i="124"/>
  <c r="P18" i="111"/>
  <c r="P18" i="117"/>
  <c r="P18" i="118"/>
  <c r="P18" i="119"/>
  <c r="V117" i="124" l="1"/>
  <c r="E123" i="124"/>
  <c r="G117" i="124"/>
  <c r="J120" i="124" s="1"/>
  <c r="L117" i="124"/>
  <c r="N117" i="124"/>
  <c r="M117" i="124"/>
  <c r="I117" i="124"/>
  <c r="J122" i="124" s="1"/>
  <c r="J125" i="124" s="1"/>
  <c r="E125" i="124"/>
  <c r="H117" i="124"/>
  <c r="J121" i="124" s="1"/>
  <c r="J124" i="124" s="1"/>
  <c r="E124" i="124"/>
  <c r="Q117" i="124"/>
  <c r="R117" i="124"/>
  <c r="W117" i="124"/>
  <c r="S117" i="124"/>
  <c r="X117" i="124"/>
  <c r="G30" i="54"/>
  <c r="O121" i="124" l="1"/>
  <c r="O124" i="124" s="1"/>
  <c r="O122" i="124"/>
  <c r="O125" i="124" s="1"/>
  <c r="O120" i="124"/>
  <c r="T120" i="124" s="1"/>
  <c r="Y120" i="124" s="1"/>
  <c r="J123" i="124"/>
  <c r="H30" i="54"/>
  <c r="I30" i="54" s="1"/>
  <c r="J30" i="54" s="1"/>
  <c r="K30" i="54" s="1"/>
  <c r="O258" i="94"/>
  <c r="O257" i="94"/>
  <c r="O256" i="94"/>
  <c r="O255" i="94"/>
  <c r="O254" i="94"/>
  <c r="O253" i="94"/>
  <c r="O252" i="94"/>
  <c r="O251" i="94"/>
  <c r="O250" i="94"/>
  <c r="O249" i="94"/>
  <c r="O248" i="94"/>
  <c r="O247" i="94"/>
  <c r="O246" i="94"/>
  <c r="O245" i="94"/>
  <c r="O244" i="94"/>
  <c r="O243" i="94"/>
  <c r="O242" i="94"/>
  <c r="O241" i="94"/>
  <c r="O240" i="94"/>
  <c r="O239" i="94"/>
  <c r="O238" i="94"/>
  <c r="O237" i="94"/>
  <c r="O236" i="94"/>
  <c r="O235" i="94"/>
  <c r="O234" i="94"/>
  <c r="O233" i="94"/>
  <c r="O232" i="94"/>
  <c r="O231" i="94"/>
  <c r="O230" i="94"/>
  <c r="O229" i="94"/>
  <c r="O228" i="94"/>
  <c r="O227" i="94"/>
  <c r="O226" i="94"/>
  <c r="O225" i="94"/>
  <c r="O224" i="94"/>
  <c r="O223" i="94"/>
  <c r="O222" i="94"/>
  <c r="O221" i="94"/>
  <c r="O220" i="94"/>
  <c r="O219" i="94"/>
  <c r="T121" i="124" l="1"/>
  <c r="T124" i="124" s="1"/>
  <c r="O123" i="124"/>
  <c r="T122" i="124"/>
  <c r="F90" i="8"/>
  <c r="E90" i="8"/>
  <c r="D90" i="8"/>
  <c r="F89" i="8"/>
  <c r="E89" i="8"/>
  <c r="D89" i="8"/>
  <c r="F88" i="8"/>
  <c r="E88" i="8"/>
  <c r="D88" i="8"/>
  <c r="F87" i="8"/>
  <c r="E87" i="8"/>
  <c r="D87" i="8"/>
  <c r="E86" i="8"/>
  <c r="F86" i="8"/>
  <c r="D86" i="8"/>
  <c r="Y121" i="124" l="1"/>
  <c r="Y124" i="124" s="1"/>
  <c r="T125" i="124"/>
  <c r="Y122" i="124"/>
  <c r="Y125" i="124" s="1"/>
  <c r="T123" i="124"/>
  <c r="Y123" i="124"/>
  <c r="AA32" i="8"/>
  <c r="Z32" i="8"/>
  <c r="AB32" i="8" l="1"/>
  <c r="X31" i="8" l="1"/>
  <c r="X30" i="8"/>
  <c r="X29" i="8"/>
  <c r="X28" i="8"/>
  <c r="X21" i="8"/>
  <c r="X20" i="8"/>
  <c r="X19" i="8"/>
  <c r="X17" i="8"/>
  <c r="X11" i="8"/>
  <c r="X10" i="8"/>
  <c r="X9" i="8"/>
  <c r="X8" i="8"/>
  <c r="X7" i="8"/>
  <c r="W26" i="9" l="1"/>
  <c r="W27" i="9"/>
  <c r="W28" i="9"/>
  <c r="W29" i="9"/>
  <c r="W30" i="9"/>
  <c r="W31" i="9"/>
  <c r="W32" i="9"/>
  <c r="W33" i="9"/>
  <c r="W34" i="9"/>
  <c r="X26" i="9"/>
  <c r="Y26" i="9"/>
  <c r="Z26" i="9"/>
  <c r="AA26" i="9"/>
  <c r="AB26" i="9"/>
  <c r="AC26" i="9"/>
  <c r="AD26" i="9"/>
  <c r="X27" i="9"/>
  <c r="Y27" i="9"/>
  <c r="Z27" i="9"/>
  <c r="AA27" i="9"/>
  <c r="AB27" i="9"/>
  <c r="AC27" i="9"/>
  <c r="AD27" i="9"/>
  <c r="X28" i="9"/>
  <c r="Y28" i="9"/>
  <c r="Z28" i="9"/>
  <c r="AA28" i="9"/>
  <c r="AB28" i="9"/>
  <c r="AC28" i="9"/>
  <c r="AD28" i="9"/>
  <c r="X29" i="9"/>
  <c r="Y29" i="9"/>
  <c r="Z29" i="9"/>
  <c r="AA29" i="9"/>
  <c r="AB29" i="9"/>
  <c r="AC29" i="9"/>
  <c r="AD29" i="9"/>
  <c r="X30" i="9"/>
  <c r="Y30" i="9"/>
  <c r="Z30" i="9"/>
  <c r="AA30" i="9"/>
  <c r="AB30" i="9"/>
  <c r="AC30" i="9"/>
  <c r="AD30" i="9"/>
  <c r="X31" i="9"/>
  <c r="Y31" i="9"/>
  <c r="Z31" i="9"/>
  <c r="AA31" i="9"/>
  <c r="AB31" i="9"/>
  <c r="AC31" i="9"/>
  <c r="AD31" i="9"/>
  <c r="X32" i="9"/>
  <c r="Y32" i="9"/>
  <c r="Z32" i="9"/>
  <c r="AA32" i="9"/>
  <c r="AB32" i="9"/>
  <c r="AC32" i="9"/>
  <c r="AD32" i="9"/>
  <c r="X33" i="9"/>
  <c r="Y33" i="9"/>
  <c r="Z33" i="9"/>
  <c r="AA33" i="9"/>
  <c r="AB33" i="9"/>
  <c r="AC33" i="9"/>
  <c r="AD33" i="9"/>
  <c r="X34" i="9"/>
  <c r="Y34" i="9"/>
  <c r="Z34" i="9"/>
  <c r="AA34" i="9"/>
  <c r="AB34" i="9"/>
  <c r="AC34" i="9"/>
  <c r="AD34" i="9"/>
  <c r="C66" i="110" l="1"/>
  <c r="X267" i="124" s="1"/>
  <c r="C66" i="113"/>
  <c r="S267" i="124" s="1"/>
  <c r="C66" i="114"/>
  <c r="C66" i="115"/>
  <c r="C66" i="116"/>
  <c r="N267" i="124" l="1"/>
  <c r="I267" i="124"/>
  <c r="D267" i="124"/>
  <c r="B24" i="116"/>
  <c r="X26" i="8"/>
  <c r="X25" i="8"/>
  <c r="X24" i="8"/>
  <c r="X23" i="8"/>
  <c r="X22" i="8"/>
  <c r="X16" i="8"/>
  <c r="X15" i="8"/>
  <c r="X14" i="8"/>
  <c r="X13" i="8"/>
  <c r="X12" i="8"/>
  <c r="X6" i="8"/>
  <c r="X5" i="8"/>
  <c r="X4" i="8"/>
  <c r="X3" i="8"/>
  <c r="X2" i="8"/>
  <c r="W2" i="8" l="1"/>
  <c r="F11" i="9"/>
  <c r="X360" i="124"/>
  <c r="H27" i="110"/>
  <c r="D25" i="110"/>
  <c r="C25" i="110"/>
  <c r="B25" i="110"/>
  <c r="D24" i="110"/>
  <c r="C24" i="110"/>
  <c r="B24" i="110"/>
  <c r="D16" i="110"/>
  <c r="C16" i="110"/>
  <c r="B16" i="110"/>
  <c r="AQ9" i="110"/>
  <c r="AP9" i="110"/>
  <c r="AO9" i="110"/>
  <c r="AN9" i="110"/>
  <c r="R65" i="113"/>
  <c r="H27" i="113"/>
  <c r="D25" i="113"/>
  <c r="C25" i="113"/>
  <c r="B25" i="113"/>
  <c r="D24" i="113"/>
  <c r="C24" i="113"/>
  <c r="B24" i="113"/>
  <c r="D16" i="113"/>
  <c r="C16" i="113"/>
  <c r="B16" i="113"/>
  <c r="AQ9" i="113"/>
  <c r="AP9" i="113"/>
  <c r="AO9" i="113"/>
  <c r="AN9" i="113"/>
  <c r="R65" i="114"/>
  <c r="H27" i="114"/>
  <c r="D25" i="114"/>
  <c r="C25" i="114"/>
  <c r="B25" i="114"/>
  <c r="C24" i="114"/>
  <c r="B24" i="114"/>
  <c r="D16" i="114"/>
  <c r="C16" i="114"/>
  <c r="B16" i="114"/>
  <c r="AQ9" i="114"/>
  <c r="AP9" i="114"/>
  <c r="AO9" i="114"/>
  <c r="AN9" i="114"/>
  <c r="R65" i="115"/>
  <c r="H27" i="115"/>
  <c r="D25" i="115"/>
  <c r="C25" i="115"/>
  <c r="B25" i="115"/>
  <c r="D24" i="115"/>
  <c r="C24" i="115"/>
  <c r="B24" i="115"/>
  <c r="D16" i="115"/>
  <c r="C16" i="115"/>
  <c r="B16" i="115"/>
  <c r="AQ9" i="115"/>
  <c r="AP9" i="115"/>
  <c r="AO9" i="115"/>
  <c r="AN9" i="115"/>
  <c r="R65" i="116"/>
  <c r="H27" i="116"/>
  <c r="D25" i="116"/>
  <c r="C25" i="116"/>
  <c r="B25" i="116"/>
  <c r="D24" i="116"/>
  <c r="C24" i="116"/>
  <c r="D16" i="116"/>
  <c r="E25" i="116" s="1"/>
  <c r="C16" i="116"/>
  <c r="E24" i="116" s="1"/>
  <c r="B16" i="116"/>
  <c r="E23" i="116" s="1"/>
  <c r="AQ9" i="116"/>
  <c r="AP9" i="116"/>
  <c r="AO9" i="116"/>
  <c r="AN9" i="116"/>
  <c r="L9" i="116"/>
  <c r="K9" i="116"/>
  <c r="J9" i="116"/>
  <c r="O199" i="94"/>
  <c r="O200" i="94"/>
  <c r="O201" i="94"/>
  <c r="O202" i="94"/>
  <c r="O203" i="94"/>
  <c r="O204" i="94"/>
  <c r="O205" i="94"/>
  <c r="O206" i="94"/>
  <c r="O207" i="94"/>
  <c r="O208" i="94"/>
  <c r="O209" i="94"/>
  <c r="O210" i="94"/>
  <c r="O211" i="94"/>
  <c r="O212" i="94"/>
  <c r="O213" i="94"/>
  <c r="O214" i="94"/>
  <c r="O215" i="94"/>
  <c r="O216" i="94"/>
  <c r="O217" i="94"/>
  <c r="O218" i="94"/>
  <c r="N360" i="124" l="1"/>
  <c r="D360" i="124"/>
  <c r="I360" i="124"/>
  <c r="S360" i="124"/>
  <c r="H1" i="9"/>
  <c r="I1" i="9"/>
  <c r="D37" i="110" l="1"/>
  <c r="D37" i="113"/>
  <c r="D37" i="114"/>
  <c r="D37" i="116"/>
  <c r="D37" i="115"/>
  <c r="N20" i="8" l="1"/>
  <c r="A68" i="124" l="1"/>
  <c r="A69" i="124"/>
  <c r="A67" i="124"/>
  <c r="R18" i="116"/>
  <c r="R19" i="116"/>
  <c r="R17" i="116"/>
  <c r="G20" i="58"/>
  <c r="N42" i="8" s="1"/>
  <c r="R72" i="110" l="1"/>
  <c r="X367" i="124" s="1"/>
  <c r="R72" i="113"/>
  <c r="S367" i="124" s="1"/>
  <c r="R72" i="114"/>
  <c r="R72" i="115"/>
  <c r="R72" i="116"/>
  <c r="N367" i="124" l="1"/>
  <c r="D367" i="124"/>
  <c r="I367" i="124"/>
  <c r="B116" i="9"/>
  <c r="J28" i="111" l="1"/>
  <c r="H28" i="111"/>
  <c r="F28" i="111"/>
  <c r="J28" i="117"/>
  <c r="H28" i="117"/>
  <c r="F28" i="117"/>
  <c r="J28" i="118"/>
  <c r="H28" i="118"/>
  <c r="F28" i="118"/>
  <c r="J28" i="119"/>
  <c r="H28" i="119"/>
  <c r="F28" i="119"/>
  <c r="D11" i="9" l="1"/>
  <c r="O59" i="8"/>
  <c r="Y26" i="8"/>
  <c r="Y16" i="8"/>
  <c r="Y6" i="8"/>
  <c r="F14" i="9"/>
  <c r="F13" i="9"/>
  <c r="F10" i="9"/>
  <c r="F9" i="9"/>
  <c r="F6" i="9"/>
  <c r="F5" i="9"/>
  <c r="F4" i="9"/>
  <c r="F3" i="9"/>
  <c r="F18" i="9"/>
  <c r="F16" i="54" s="1"/>
  <c r="F19" i="9"/>
  <c r="F13" i="54" s="1"/>
  <c r="P46" i="8"/>
  <c r="O46" i="8"/>
  <c r="N46" i="8"/>
  <c r="O58" i="8"/>
  <c r="Y25" i="8"/>
  <c r="Y15" i="8"/>
  <c r="Y5" i="8"/>
  <c r="E10" i="9"/>
  <c r="E18" i="9"/>
  <c r="E16" i="54" s="1"/>
  <c r="E19" i="9"/>
  <c r="E13" i="54" s="1"/>
  <c r="P45" i="8"/>
  <c r="O45" i="8"/>
  <c r="N45" i="8"/>
  <c r="Q32" i="8"/>
  <c r="F25" i="54" s="1"/>
  <c r="O57" i="8"/>
  <c r="Y24" i="8"/>
  <c r="Y14" i="8"/>
  <c r="Y4" i="8"/>
  <c r="D14" i="9"/>
  <c r="D13" i="9"/>
  <c r="D12" i="9"/>
  <c r="D19" i="54" s="1"/>
  <c r="D10" i="9"/>
  <c r="D9" i="9"/>
  <c r="D6" i="9"/>
  <c r="D5" i="9"/>
  <c r="D4" i="9"/>
  <c r="D3" i="9"/>
  <c r="D18" i="9"/>
  <c r="D16" i="54" s="1"/>
  <c r="D19" i="9"/>
  <c r="D13" i="54" s="1"/>
  <c r="P44" i="8"/>
  <c r="O44" i="8"/>
  <c r="N44" i="8"/>
  <c r="Q31" i="8"/>
  <c r="E25" i="54" s="1"/>
  <c r="O56" i="8"/>
  <c r="Y23" i="8"/>
  <c r="Y13" i="8"/>
  <c r="Y3" i="8"/>
  <c r="C10" i="9"/>
  <c r="C18" i="9"/>
  <c r="C16" i="54" s="1"/>
  <c r="C19" i="9"/>
  <c r="C13" i="54" s="1"/>
  <c r="P43" i="8"/>
  <c r="O43" i="8"/>
  <c r="N43" i="8"/>
  <c r="Q30" i="8"/>
  <c r="D25" i="54" s="1"/>
  <c r="M110" i="58"/>
  <c r="L110" i="58"/>
  <c r="K110" i="58"/>
  <c r="J110" i="58"/>
  <c r="I110" i="58"/>
  <c r="H110" i="58"/>
  <c r="G110" i="58"/>
  <c r="F110" i="58"/>
  <c r="O55" i="8" s="1"/>
  <c r="M109" i="58"/>
  <c r="L109" i="58"/>
  <c r="K109" i="58"/>
  <c r="J109" i="58"/>
  <c r="I109" i="58"/>
  <c r="H109" i="58"/>
  <c r="G109" i="58"/>
  <c r="F109" i="58"/>
  <c r="Y22" i="8" s="1"/>
  <c r="M108" i="58"/>
  <c r="L108" i="58"/>
  <c r="K108" i="58"/>
  <c r="J108" i="58"/>
  <c r="I108" i="58"/>
  <c r="H108" i="58"/>
  <c r="G108" i="58"/>
  <c r="F108" i="58"/>
  <c r="Y12" i="8" s="1"/>
  <c r="M107" i="58"/>
  <c r="L107" i="58"/>
  <c r="K107" i="58"/>
  <c r="J107" i="58"/>
  <c r="I107" i="58"/>
  <c r="H107" i="58"/>
  <c r="G107" i="58"/>
  <c r="F107" i="58"/>
  <c r="Y2" i="8" s="1"/>
  <c r="M105" i="58"/>
  <c r="L105" i="58"/>
  <c r="K105" i="58"/>
  <c r="J105" i="58"/>
  <c r="I105" i="58"/>
  <c r="H105" i="58"/>
  <c r="G105" i="58"/>
  <c r="F105" i="58"/>
  <c r="M104" i="58"/>
  <c r="L104" i="58"/>
  <c r="K104" i="58"/>
  <c r="J104" i="58"/>
  <c r="I104" i="58"/>
  <c r="H104" i="58"/>
  <c r="G104" i="58"/>
  <c r="F104" i="58"/>
  <c r="M103" i="58"/>
  <c r="L103" i="58"/>
  <c r="K103" i="58"/>
  <c r="J103" i="58"/>
  <c r="I103" i="58"/>
  <c r="H103" i="58"/>
  <c r="G103" i="58"/>
  <c r="F103" i="58"/>
  <c r="K102" i="58"/>
  <c r="M99" i="58"/>
  <c r="L99" i="58"/>
  <c r="K99" i="58"/>
  <c r="J99" i="58"/>
  <c r="I99" i="58"/>
  <c r="H99" i="58"/>
  <c r="G99" i="58"/>
  <c r="F99" i="58"/>
  <c r="M98" i="58"/>
  <c r="L98" i="58"/>
  <c r="K98" i="58"/>
  <c r="J98" i="58"/>
  <c r="I98" i="58"/>
  <c r="H98" i="58"/>
  <c r="G98" i="58"/>
  <c r="F98" i="58"/>
  <c r="M97" i="58"/>
  <c r="L97" i="58"/>
  <c r="K97" i="58"/>
  <c r="J97" i="58"/>
  <c r="I97" i="58"/>
  <c r="H97" i="58"/>
  <c r="G97" i="58"/>
  <c r="F97" i="58"/>
  <c r="M96" i="58"/>
  <c r="L96" i="58"/>
  <c r="K96" i="58"/>
  <c r="J96" i="58"/>
  <c r="I96" i="58"/>
  <c r="H96" i="58"/>
  <c r="G96" i="58"/>
  <c r="F96" i="58"/>
  <c r="M95" i="58"/>
  <c r="L95" i="58"/>
  <c r="K95" i="58"/>
  <c r="J95" i="58"/>
  <c r="I95" i="58"/>
  <c r="H95" i="58"/>
  <c r="G95" i="58"/>
  <c r="F95" i="58"/>
  <c r="M94" i="58"/>
  <c r="L94" i="58"/>
  <c r="K94" i="58"/>
  <c r="J94" i="58"/>
  <c r="I94" i="58"/>
  <c r="H94" i="58"/>
  <c r="G94" i="58"/>
  <c r="F94" i="58"/>
  <c r="M93" i="58"/>
  <c r="L93" i="58"/>
  <c r="K93" i="58"/>
  <c r="J93" i="58"/>
  <c r="I93" i="58"/>
  <c r="H93" i="58"/>
  <c r="G93" i="58"/>
  <c r="F93" i="58"/>
  <c r="M92" i="58"/>
  <c r="L92" i="58"/>
  <c r="K92" i="58"/>
  <c r="J92" i="58"/>
  <c r="I92" i="58"/>
  <c r="H92" i="58"/>
  <c r="G92" i="58"/>
  <c r="F92" i="58"/>
  <c r="M91" i="58"/>
  <c r="L91" i="58"/>
  <c r="K91" i="58"/>
  <c r="J91" i="58"/>
  <c r="I91" i="58"/>
  <c r="H91" i="58"/>
  <c r="G91" i="58"/>
  <c r="F91" i="58"/>
  <c r="M89" i="58"/>
  <c r="L89" i="58"/>
  <c r="K89" i="58"/>
  <c r="J89" i="58"/>
  <c r="I89" i="58"/>
  <c r="H89" i="58"/>
  <c r="G89" i="58"/>
  <c r="F89" i="58"/>
  <c r="K88" i="58"/>
  <c r="M82" i="58"/>
  <c r="L82" i="58"/>
  <c r="K82" i="58"/>
  <c r="J82" i="58"/>
  <c r="I82" i="58"/>
  <c r="H82" i="58"/>
  <c r="G82" i="58"/>
  <c r="F82" i="58"/>
  <c r="M81" i="58"/>
  <c r="L81" i="58"/>
  <c r="K81" i="58"/>
  <c r="J81" i="58"/>
  <c r="I81" i="58"/>
  <c r="H81" i="58"/>
  <c r="G81" i="58"/>
  <c r="F81" i="58"/>
  <c r="M80" i="58"/>
  <c r="L80" i="58"/>
  <c r="K80" i="58"/>
  <c r="J80" i="58"/>
  <c r="I80" i="58"/>
  <c r="H80" i="58"/>
  <c r="G80" i="58"/>
  <c r="F80" i="58"/>
  <c r="M77" i="58"/>
  <c r="L77" i="58"/>
  <c r="K77" i="58"/>
  <c r="J77" i="58"/>
  <c r="I77" i="58"/>
  <c r="H77" i="58"/>
  <c r="G77" i="58"/>
  <c r="F77" i="58"/>
  <c r="M75" i="58"/>
  <c r="L75" i="58"/>
  <c r="K75" i="58"/>
  <c r="J75" i="58"/>
  <c r="I75" i="58"/>
  <c r="H75" i="58"/>
  <c r="G75" i="58"/>
  <c r="F75" i="58"/>
  <c r="B10" i="9" s="1"/>
  <c r="M74" i="58"/>
  <c r="L74" i="58"/>
  <c r="K74" i="58"/>
  <c r="J74" i="58"/>
  <c r="I74" i="58"/>
  <c r="H74" i="58"/>
  <c r="G74" i="58"/>
  <c r="F74" i="58"/>
  <c r="M73" i="58"/>
  <c r="L73" i="58"/>
  <c r="K73" i="58"/>
  <c r="J73" i="58"/>
  <c r="I73" i="58"/>
  <c r="H73" i="58"/>
  <c r="G73" i="58"/>
  <c r="F73" i="58"/>
  <c r="M70" i="58"/>
  <c r="L70" i="58"/>
  <c r="K70" i="58"/>
  <c r="J70" i="58"/>
  <c r="I70" i="58"/>
  <c r="H70" i="58"/>
  <c r="G70" i="58"/>
  <c r="F70" i="58"/>
  <c r="M69" i="58"/>
  <c r="L69" i="58"/>
  <c r="K69" i="58"/>
  <c r="J69" i="58"/>
  <c r="I69" i="58"/>
  <c r="H69" i="58"/>
  <c r="G69" i="58"/>
  <c r="F69" i="58"/>
  <c r="M68" i="58"/>
  <c r="L68" i="58"/>
  <c r="K68" i="58"/>
  <c r="J68" i="58"/>
  <c r="I68" i="58"/>
  <c r="H68" i="58"/>
  <c r="G68" i="58"/>
  <c r="F68" i="58"/>
  <c r="M67" i="58"/>
  <c r="L67" i="58"/>
  <c r="K67" i="58"/>
  <c r="J67" i="58"/>
  <c r="I67" i="58"/>
  <c r="H67" i="58"/>
  <c r="G67" i="58"/>
  <c r="F67" i="58"/>
  <c r="M65" i="58"/>
  <c r="L65" i="58"/>
  <c r="K65" i="58"/>
  <c r="J65" i="58"/>
  <c r="I65" i="58"/>
  <c r="H65" i="58"/>
  <c r="G65" i="58"/>
  <c r="F65" i="58"/>
  <c r="N61" i="58"/>
  <c r="L61" i="58"/>
  <c r="J61" i="58"/>
  <c r="M55" i="58"/>
  <c r="L55" i="58"/>
  <c r="K55" i="58"/>
  <c r="J55" i="58"/>
  <c r="I55" i="58"/>
  <c r="H55" i="58"/>
  <c r="G55" i="58"/>
  <c r="F55" i="58"/>
  <c r="M54" i="58"/>
  <c r="L54" i="58"/>
  <c r="K54" i="58"/>
  <c r="J54" i="58"/>
  <c r="I54" i="58"/>
  <c r="H54" i="58"/>
  <c r="G54" i="58"/>
  <c r="F54" i="58"/>
  <c r="M53" i="58"/>
  <c r="L53" i="58"/>
  <c r="K53" i="58"/>
  <c r="J53" i="58"/>
  <c r="I53" i="58"/>
  <c r="H53" i="58"/>
  <c r="G53" i="58"/>
  <c r="F53" i="58"/>
  <c r="M51" i="58"/>
  <c r="L51" i="58"/>
  <c r="K51" i="58"/>
  <c r="J51" i="58"/>
  <c r="I51" i="58"/>
  <c r="H51" i="58"/>
  <c r="G51" i="58"/>
  <c r="F51" i="58"/>
  <c r="M50" i="58"/>
  <c r="L50" i="58"/>
  <c r="K50" i="58"/>
  <c r="J50" i="58"/>
  <c r="I50" i="58"/>
  <c r="H50" i="58"/>
  <c r="G50" i="58"/>
  <c r="F50" i="58"/>
  <c r="M49" i="58"/>
  <c r="L49" i="58"/>
  <c r="K49" i="58"/>
  <c r="J49" i="58"/>
  <c r="I49" i="58"/>
  <c r="H49" i="58"/>
  <c r="G49" i="58"/>
  <c r="F49" i="58"/>
  <c r="M48" i="58"/>
  <c r="L48" i="58"/>
  <c r="K48" i="58"/>
  <c r="J48" i="58"/>
  <c r="I48" i="58"/>
  <c r="H48" i="58"/>
  <c r="G48" i="58"/>
  <c r="F48" i="58"/>
  <c r="M47" i="58"/>
  <c r="L47" i="58"/>
  <c r="K47" i="58"/>
  <c r="J47" i="58"/>
  <c r="I47" i="58"/>
  <c r="H47" i="58"/>
  <c r="G47" i="58"/>
  <c r="F47" i="58"/>
  <c r="M46" i="58"/>
  <c r="L46" i="58"/>
  <c r="K46" i="58"/>
  <c r="J46" i="58"/>
  <c r="I46" i="58"/>
  <c r="H46" i="58"/>
  <c r="G46" i="58"/>
  <c r="F46" i="58"/>
  <c r="M45" i="58"/>
  <c r="L45" i="58"/>
  <c r="K45" i="58"/>
  <c r="J45" i="58"/>
  <c r="I45" i="58"/>
  <c r="H45" i="58"/>
  <c r="G45" i="58"/>
  <c r="F45" i="58"/>
  <c r="M44" i="58"/>
  <c r="L44" i="58"/>
  <c r="K44" i="58"/>
  <c r="J44" i="58"/>
  <c r="I44" i="58"/>
  <c r="H44" i="58"/>
  <c r="G44" i="58"/>
  <c r="F44" i="58"/>
  <c r="M43" i="58"/>
  <c r="L43" i="58"/>
  <c r="K43" i="58"/>
  <c r="J43" i="58"/>
  <c r="I43" i="58"/>
  <c r="H43" i="58"/>
  <c r="G43" i="58"/>
  <c r="F43" i="58"/>
  <c r="M39" i="58"/>
  <c r="L39" i="58"/>
  <c r="K39" i="58"/>
  <c r="J39" i="58"/>
  <c r="I39" i="58"/>
  <c r="H39" i="58"/>
  <c r="G39" i="58"/>
  <c r="F39" i="58"/>
  <c r="B18" i="9" s="1"/>
  <c r="B16" i="54" s="1"/>
  <c r="M38" i="58"/>
  <c r="L38" i="58"/>
  <c r="K38" i="58"/>
  <c r="J38" i="58"/>
  <c r="I38" i="58"/>
  <c r="H38" i="58"/>
  <c r="G38" i="58"/>
  <c r="F38" i="58"/>
  <c r="M36" i="58"/>
  <c r="L36" i="58"/>
  <c r="K36" i="58"/>
  <c r="J36" i="58"/>
  <c r="I36" i="58"/>
  <c r="H36" i="58"/>
  <c r="G36" i="58"/>
  <c r="F36" i="58"/>
  <c r="M35" i="58"/>
  <c r="L35" i="58"/>
  <c r="K35" i="58"/>
  <c r="J35" i="58"/>
  <c r="I35" i="58"/>
  <c r="H35" i="58"/>
  <c r="G35" i="58"/>
  <c r="F35" i="58"/>
  <c r="B19" i="9" s="1"/>
  <c r="B13" i="54" s="1"/>
  <c r="M33" i="58"/>
  <c r="L33" i="58"/>
  <c r="K33" i="58"/>
  <c r="J33" i="58"/>
  <c r="I33" i="58"/>
  <c r="H33" i="58"/>
  <c r="G33" i="58"/>
  <c r="F33" i="58"/>
  <c r="F28" i="58"/>
  <c r="F27" i="58"/>
  <c r="F26" i="58"/>
  <c r="F25" i="58"/>
  <c r="F24" i="58"/>
  <c r="F23" i="58"/>
  <c r="I20" i="58"/>
  <c r="P42" i="8" s="1"/>
  <c r="H20" i="58"/>
  <c r="O42" i="8" s="1"/>
  <c r="G13" i="58"/>
  <c r="L10" i="58"/>
  <c r="H10" i="58"/>
  <c r="G10" i="58"/>
  <c r="Q29" i="8" s="1"/>
  <c r="C25" i="54" s="1"/>
  <c r="H7" i="58"/>
  <c r="G7" i="58"/>
  <c r="H6" i="58"/>
  <c r="G6" i="58"/>
  <c r="I5" i="58"/>
  <c r="H5" i="58"/>
  <c r="G5" i="58"/>
  <c r="N1" i="58"/>
  <c r="L1" i="58"/>
  <c r="J1" i="58"/>
  <c r="I36" i="9"/>
  <c r="H36" i="9"/>
  <c r="G36" i="9"/>
  <c r="F36" i="9"/>
  <c r="E36" i="9"/>
  <c r="D36" i="9"/>
  <c r="C36" i="9"/>
  <c r="B36" i="9"/>
  <c r="I33" i="9"/>
  <c r="H33" i="9"/>
  <c r="G33" i="9"/>
  <c r="F33" i="9"/>
  <c r="E33" i="9"/>
  <c r="D33" i="9"/>
  <c r="C33" i="9"/>
  <c r="B33" i="9"/>
  <c r="I48" i="9"/>
  <c r="H48" i="9"/>
  <c r="G48" i="9"/>
  <c r="F48" i="9"/>
  <c r="E48" i="9"/>
  <c r="D48" i="9"/>
  <c r="C48" i="9"/>
  <c r="B48" i="9"/>
  <c r="I41" i="9"/>
  <c r="H41" i="9"/>
  <c r="G41" i="9"/>
  <c r="F41" i="9"/>
  <c r="E41" i="9"/>
  <c r="D41" i="9"/>
  <c r="C41" i="9"/>
  <c r="B41" i="9"/>
  <c r="I42" i="9"/>
  <c r="H42" i="9"/>
  <c r="G42" i="9"/>
  <c r="F42" i="9"/>
  <c r="E42" i="9"/>
  <c r="D42" i="9"/>
  <c r="C42" i="9"/>
  <c r="B42" i="9"/>
  <c r="AD59" i="9"/>
  <c r="AC59" i="9"/>
  <c r="AB59" i="9"/>
  <c r="AA59" i="9"/>
  <c r="Z59" i="9"/>
  <c r="Y59" i="9"/>
  <c r="X59" i="9"/>
  <c r="W59" i="9"/>
  <c r="AD58" i="9"/>
  <c r="AC58" i="9"/>
  <c r="AB58" i="9"/>
  <c r="AA58" i="9"/>
  <c r="Z58" i="9"/>
  <c r="Y58" i="9"/>
  <c r="X58" i="9"/>
  <c r="W58" i="9"/>
  <c r="AD57" i="9"/>
  <c r="AC57" i="9"/>
  <c r="AB57" i="9"/>
  <c r="AA57" i="9"/>
  <c r="Z57" i="9"/>
  <c r="Y57" i="9"/>
  <c r="X57" i="9"/>
  <c r="W57" i="9"/>
  <c r="AD56" i="9"/>
  <c r="AC56" i="9"/>
  <c r="AB56" i="9"/>
  <c r="AA56" i="9"/>
  <c r="Z56" i="9"/>
  <c r="Y56" i="9"/>
  <c r="X56" i="9"/>
  <c r="W56" i="9"/>
  <c r="AD55" i="9"/>
  <c r="AC55" i="9"/>
  <c r="AB55" i="9"/>
  <c r="AA55" i="9"/>
  <c r="Z55" i="9"/>
  <c r="Y55" i="9"/>
  <c r="X55" i="9"/>
  <c r="W55" i="9"/>
  <c r="AD54" i="9"/>
  <c r="AC54" i="9"/>
  <c r="AB54" i="9"/>
  <c r="AA54" i="9"/>
  <c r="Z54" i="9"/>
  <c r="Y54" i="9"/>
  <c r="X54" i="9"/>
  <c r="W54" i="9"/>
  <c r="AD53" i="9"/>
  <c r="AC53" i="9"/>
  <c r="AB53" i="9"/>
  <c r="AA53" i="9"/>
  <c r="Z53" i="9"/>
  <c r="Y53" i="9"/>
  <c r="X53" i="9"/>
  <c r="W53" i="9"/>
  <c r="AD52" i="9"/>
  <c r="AC52" i="9"/>
  <c r="AB52" i="9"/>
  <c r="AA52" i="9"/>
  <c r="Z52" i="9"/>
  <c r="Y52" i="9"/>
  <c r="X52" i="9"/>
  <c r="W52" i="9"/>
  <c r="AD51" i="9"/>
  <c r="AC51" i="9"/>
  <c r="AB51" i="9"/>
  <c r="AA51" i="9"/>
  <c r="Z51" i="9"/>
  <c r="Y51" i="9"/>
  <c r="X51" i="9"/>
  <c r="W51" i="9"/>
  <c r="I61" i="9"/>
  <c r="H61" i="9"/>
  <c r="G61" i="9"/>
  <c r="F61" i="9"/>
  <c r="E61" i="9"/>
  <c r="D61" i="9"/>
  <c r="C61" i="9"/>
  <c r="B61" i="9"/>
  <c r="I58" i="9"/>
  <c r="H58" i="9"/>
  <c r="G58" i="9"/>
  <c r="F58" i="9"/>
  <c r="E58" i="9"/>
  <c r="D58" i="9"/>
  <c r="C58" i="9"/>
  <c r="B58" i="9"/>
  <c r="I73" i="9"/>
  <c r="H73" i="9"/>
  <c r="G73" i="9"/>
  <c r="F73" i="9"/>
  <c r="E73" i="9"/>
  <c r="D73" i="9"/>
  <c r="C73" i="9"/>
  <c r="B73" i="9"/>
  <c r="I66" i="9"/>
  <c r="H66" i="9"/>
  <c r="G66" i="9"/>
  <c r="F66" i="9"/>
  <c r="E66" i="9"/>
  <c r="D66" i="9"/>
  <c r="C66" i="9"/>
  <c r="B66" i="9"/>
  <c r="I67" i="9"/>
  <c r="H67" i="9"/>
  <c r="G67" i="9"/>
  <c r="F67" i="9"/>
  <c r="E67" i="9"/>
  <c r="D67" i="9"/>
  <c r="C67" i="9"/>
  <c r="B67" i="9"/>
  <c r="AD84" i="9"/>
  <c r="AC84" i="9"/>
  <c r="AB84" i="9"/>
  <c r="AA84" i="9"/>
  <c r="Z84" i="9"/>
  <c r="Y84" i="9"/>
  <c r="X84" i="9"/>
  <c r="W84" i="9"/>
  <c r="AD83" i="9"/>
  <c r="AC83" i="9"/>
  <c r="AB83" i="9"/>
  <c r="AA83" i="9"/>
  <c r="Z83" i="9"/>
  <c r="Y83" i="9"/>
  <c r="X83" i="9"/>
  <c r="W83" i="9"/>
  <c r="AD82" i="9"/>
  <c r="AC82" i="9"/>
  <c r="AB82" i="9"/>
  <c r="AA82" i="9"/>
  <c r="Z82" i="9"/>
  <c r="Y82" i="9"/>
  <c r="X82" i="9"/>
  <c r="W82" i="9"/>
  <c r="AD81" i="9"/>
  <c r="AC81" i="9"/>
  <c r="AB81" i="9"/>
  <c r="AA81" i="9"/>
  <c r="Z81" i="9"/>
  <c r="Y81" i="9"/>
  <c r="X81" i="9"/>
  <c r="W81" i="9"/>
  <c r="AD80" i="9"/>
  <c r="AC80" i="9"/>
  <c r="AB80" i="9"/>
  <c r="AA80" i="9"/>
  <c r="Z80" i="9"/>
  <c r="Y80" i="9"/>
  <c r="X80" i="9"/>
  <c r="W80" i="9"/>
  <c r="AD79" i="9"/>
  <c r="AC79" i="9"/>
  <c r="AB79" i="9"/>
  <c r="AA79" i="9"/>
  <c r="Z79" i="9"/>
  <c r="Y79" i="9"/>
  <c r="X79" i="9"/>
  <c r="W79" i="9"/>
  <c r="AD78" i="9"/>
  <c r="AC78" i="9"/>
  <c r="AB78" i="9"/>
  <c r="AA78" i="9"/>
  <c r="Z78" i="9"/>
  <c r="Y78" i="9"/>
  <c r="X78" i="9"/>
  <c r="W78" i="9"/>
  <c r="AD77" i="9"/>
  <c r="AC77" i="9"/>
  <c r="AB77" i="9"/>
  <c r="AA77" i="9"/>
  <c r="Z77" i="9"/>
  <c r="Y77" i="9"/>
  <c r="X77" i="9"/>
  <c r="W77" i="9"/>
  <c r="AD76" i="9"/>
  <c r="AC76" i="9"/>
  <c r="AB76" i="9"/>
  <c r="AA76" i="9"/>
  <c r="Z76" i="9"/>
  <c r="Y76" i="9"/>
  <c r="X76" i="9"/>
  <c r="W76" i="9"/>
  <c r="I86" i="9"/>
  <c r="H86" i="9"/>
  <c r="G86" i="9"/>
  <c r="F86" i="9"/>
  <c r="E86" i="9"/>
  <c r="D86" i="9"/>
  <c r="C86" i="9"/>
  <c r="B86" i="9"/>
  <c r="I83" i="9"/>
  <c r="H83" i="9"/>
  <c r="G83" i="9"/>
  <c r="F83" i="9"/>
  <c r="E83" i="9"/>
  <c r="D83" i="9"/>
  <c r="C83" i="9"/>
  <c r="B83" i="9"/>
  <c r="I98" i="9"/>
  <c r="H98" i="9"/>
  <c r="G98" i="9"/>
  <c r="F98" i="9"/>
  <c r="E98" i="9"/>
  <c r="D98" i="9"/>
  <c r="C98" i="9"/>
  <c r="B98" i="9"/>
  <c r="I91" i="9"/>
  <c r="H91" i="9"/>
  <c r="G91" i="9"/>
  <c r="F91" i="9"/>
  <c r="E91" i="9"/>
  <c r="D91" i="9"/>
  <c r="C91" i="9"/>
  <c r="B91" i="9"/>
  <c r="I92" i="9"/>
  <c r="H92" i="9"/>
  <c r="G92" i="9"/>
  <c r="F92" i="9"/>
  <c r="E92" i="9"/>
  <c r="D92" i="9"/>
  <c r="C92" i="9"/>
  <c r="B92" i="9"/>
  <c r="AD109" i="9"/>
  <c r="AC109" i="9"/>
  <c r="AB109" i="9"/>
  <c r="AA109" i="9"/>
  <c r="Z109" i="9"/>
  <c r="Y109" i="9"/>
  <c r="X109" i="9"/>
  <c r="W109" i="9"/>
  <c r="AD108" i="9"/>
  <c r="AC108" i="9"/>
  <c r="AB108" i="9"/>
  <c r="AA108" i="9"/>
  <c r="Z108" i="9"/>
  <c r="Y108" i="9"/>
  <c r="X108" i="9"/>
  <c r="W108" i="9"/>
  <c r="AD107" i="9"/>
  <c r="AC107" i="9"/>
  <c r="AB107" i="9"/>
  <c r="AA107" i="9"/>
  <c r="Z107" i="9"/>
  <c r="Y107" i="9"/>
  <c r="X107" i="9"/>
  <c r="W107" i="9"/>
  <c r="AD106" i="9"/>
  <c r="AC106" i="9"/>
  <c r="AB106" i="9"/>
  <c r="AA106" i="9"/>
  <c r="Z106" i="9"/>
  <c r="Y106" i="9"/>
  <c r="X106" i="9"/>
  <c r="W106" i="9"/>
  <c r="AD105" i="9"/>
  <c r="AC105" i="9"/>
  <c r="AB105" i="9"/>
  <c r="AA105" i="9"/>
  <c r="Z105" i="9"/>
  <c r="Y105" i="9"/>
  <c r="X105" i="9"/>
  <c r="W105" i="9"/>
  <c r="AD104" i="9"/>
  <c r="AC104" i="9"/>
  <c r="AB104" i="9"/>
  <c r="AA104" i="9"/>
  <c r="Z104" i="9"/>
  <c r="Y104" i="9"/>
  <c r="X104" i="9"/>
  <c r="W104" i="9"/>
  <c r="AD103" i="9"/>
  <c r="AC103" i="9"/>
  <c r="AB103" i="9"/>
  <c r="AA103" i="9"/>
  <c r="Z103" i="9"/>
  <c r="Y103" i="9"/>
  <c r="X103" i="9"/>
  <c r="W103" i="9"/>
  <c r="AD102" i="9"/>
  <c r="AC102" i="9"/>
  <c r="AB102" i="9"/>
  <c r="AA102" i="9"/>
  <c r="Z102" i="9"/>
  <c r="Y102" i="9"/>
  <c r="X102" i="9"/>
  <c r="W102" i="9"/>
  <c r="AD101" i="9"/>
  <c r="AC101" i="9"/>
  <c r="AB101" i="9"/>
  <c r="AA101" i="9"/>
  <c r="Z101" i="9"/>
  <c r="Y101" i="9"/>
  <c r="X101" i="9"/>
  <c r="W101" i="9"/>
  <c r="I108" i="9"/>
  <c r="H108" i="9"/>
  <c r="G108" i="9"/>
  <c r="F108" i="9"/>
  <c r="E108" i="9"/>
  <c r="D108" i="9"/>
  <c r="C108" i="9"/>
  <c r="B108" i="9"/>
  <c r="I123" i="9"/>
  <c r="H123" i="9"/>
  <c r="G123" i="9"/>
  <c r="F123" i="9"/>
  <c r="E123" i="9"/>
  <c r="D123" i="9"/>
  <c r="C123" i="9"/>
  <c r="B123" i="9"/>
  <c r="I116" i="9"/>
  <c r="H116" i="9"/>
  <c r="G116" i="9"/>
  <c r="F116" i="9"/>
  <c r="E116" i="9"/>
  <c r="D116" i="9"/>
  <c r="C116" i="9"/>
  <c r="I117" i="9"/>
  <c r="H117" i="9"/>
  <c r="G117" i="9"/>
  <c r="F117" i="9"/>
  <c r="E117" i="9"/>
  <c r="D117" i="9"/>
  <c r="C117" i="9"/>
  <c r="B117" i="9"/>
  <c r="AD134" i="9"/>
  <c r="AC134" i="9"/>
  <c r="AB134" i="9"/>
  <c r="AA134" i="9"/>
  <c r="Z134" i="9"/>
  <c r="Y134" i="9"/>
  <c r="X134" i="9"/>
  <c r="W134" i="9"/>
  <c r="AD133" i="9"/>
  <c r="AC133" i="9"/>
  <c r="AB133" i="9"/>
  <c r="AA133" i="9"/>
  <c r="Z133" i="9"/>
  <c r="Y133" i="9"/>
  <c r="X133" i="9"/>
  <c r="W133" i="9"/>
  <c r="AD132" i="9"/>
  <c r="AC132" i="9"/>
  <c r="AB132" i="9"/>
  <c r="AA132" i="9"/>
  <c r="Z132" i="9"/>
  <c r="Y132" i="9"/>
  <c r="X132" i="9"/>
  <c r="W132" i="9"/>
  <c r="AD131" i="9"/>
  <c r="AC131" i="9"/>
  <c r="AB131" i="9"/>
  <c r="AA131" i="9"/>
  <c r="Z131" i="9"/>
  <c r="Y131" i="9"/>
  <c r="X131" i="9"/>
  <c r="W131" i="9"/>
  <c r="AD130" i="9"/>
  <c r="AC130" i="9"/>
  <c r="AB130" i="9"/>
  <c r="AA130" i="9"/>
  <c r="Z130" i="9"/>
  <c r="Y130" i="9"/>
  <c r="X130" i="9"/>
  <c r="W130" i="9"/>
  <c r="AD129" i="9"/>
  <c r="AC129" i="9"/>
  <c r="AB129" i="9"/>
  <c r="AA129" i="9"/>
  <c r="Z129" i="9"/>
  <c r="Y129" i="9"/>
  <c r="X129" i="9"/>
  <c r="W129" i="9"/>
  <c r="AD128" i="9"/>
  <c r="AC128" i="9"/>
  <c r="AB128" i="9"/>
  <c r="AA128" i="9"/>
  <c r="Z128" i="9"/>
  <c r="Y128" i="9"/>
  <c r="X128" i="9"/>
  <c r="W128" i="9"/>
  <c r="AD127" i="9"/>
  <c r="AC127" i="9"/>
  <c r="AB127" i="9"/>
  <c r="AA127" i="9"/>
  <c r="Z127" i="9"/>
  <c r="Y127" i="9"/>
  <c r="X127" i="9"/>
  <c r="W127" i="9"/>
  <c r="AD126" i="9"/>
  <c r="AC126" i="9"/>
  <c r="AB126" i="9"/>
  <c r="AA126" i="9"/>
  <c r="Z126" i="9"/>
  <c r="Y126" i="9"/>
  <c r="X126" i="9"/>
  <c r="W126" i="9"/>
  <c r="I133" i="9"/>
  <c r="H133" i="9"/>
  <c r="G133" i="9"/>
  <c r="F133" i="9"/>
  <c r="E133" i="9"/>
  <c r="D133" i="9"/>
  <c r="C133" i="9"/>
  <c r="B133" i="9"/>
  <c r="I148" i="9"/>
  <c r="H148" i="9"/>
  <c r="G148" i="9"/>
  <c r="F148" i="9"/>
  <c r="E148" i="9"/>
  <c r="D148" i="9"/>
  <c r="C148" i="9"/>
  <c r="B148" i="9"/>
  <c r="I141" i="9"/>
  <c r="H141" i="9"/>
  <c r="G141" i="9"/>
  <c r="F141" i="9"/>
  <c r="E141" i="9"/>
  <c r="D141" i="9"/>
  <c r="C141" i="9"/>
  <c r="B141" i="9"/>
  <c r="I142" i="9"/>
  <c r="H142" i="9"/>
  <c r="G142" i="9"/>
  <c r="F142" i="9"/>
  <c r="E142" i="9"/>
  <c r="D142" i="9"/>
  <c r="C142" i="9"/>
  <c r="B142" i="9"/>
  <c r="N42" i="114" l="1"/>
  <c r="N43" i="114"/>
  <c r="N44" i="114"/>
  <c r="O42" i="114"/>
  <c r="O43" i="114"/>
  <c r="O44" i="114"/>
  <c r="P42" i="114"/>
  <c r="P43" i="114"/>
  <c r="P44" i="114"/>
  <c r="W191" i="124"/>
  <c r="Y336" i="124" s="1"/>
  <c r="M191" i="124"/>
  <c r="O328" i="124" s="1"/>
  <c r="H191" i="124"/>
  <c r="J336" i="124" s="1"/>
  <c r="B184" i="124"/>
  <c r="C180" i="124" s="1"/>
  <c r="B185" i="124"/>
  <c r="A47" i="124"/>
  <c r="A48" i="124"/>
  <c r="A49" i="124"/>
  <c r="C47" i="124"/>
  <c r="C48" i="124"/>
  <c r="B186" i="124"/>
  <c r="C191" i="124"/>
  <c r="E337" i="124" s="1"/>
  <c r="C49" i="124"/>
  <c r="N42" i="113"/>
  <c r="N43" i="113"/>
  <c r="N44" i="113"/>
  <c r="P42" i="113"/>
  <c r="P43" i="113"/>
  <c r="P44" i="113"/>
  <c r="O42" i="113"/>
  <c r="O44" i="113"/>
  <c r="O43" i="113"/>
  <c r="B49" i="124"/>
  <c r="B47" i="124"/>
  <c r="B48" i="124"/>
  <c r="U42" i="124"/>
  <c r="N42" i="110"/>
  <c r="V43" i="124"/>
  <c r="O43" i="110"/>
  <c r="V44" i="124"/>
  <c r="O44" i="110"/>
  <c r="P43" i="110"/>
  <c r="W43" i="124"/>
  <c r="U43" i="124"/>
  <c r="N43" i="110"/>
  <c r="N44" i="110"/>
  <c r="U44" i="124"/>
  <c r="O42" i="110"/>
  <c r="V42" i="124"/>
  <c r="P42" i="110"/>
  <c r="W42" i="124"/>
  <c r="W44" i="124"/>
  <c r="P44" i="110"/>
  <c r="K42" i="124"/>
  <c r="K43" i="124"/>
  <c r="K44" i="124"/>
  <c r="L42" i="124"/>
  <c r="L43" i="124"/>
  <c r="L44" i="124"/>
  <c r="M42" i="124"/>
  <c r="M43" i="124"/>
  <c r="M44" i="124"/>
  <c r="F42" i="124"/>
  <c r="N42" i="115"/>
  <c r="F43" i="124"/>
  <c r="N43" i="115"/>
  <c r="N44" i="115"/>
  <c r="F44" i="124"/>
  <c r="O42" i="115"/>
  <c r="G42" i="124"/>
  <c r="O43" i="115"/>
  <c r="G43" i="124"/>
  <c r="G44" i="124"/>
  <c r="O44" i="115"/>
  <c r="P42" i="115"/>
  <c r="H42" i="124"/>
  <c r="H43" i="124"/>
  <c r="P43" i="115"/>
  <c r="H44" i="124"/>
  <c r="P44" i="115"/>
  <c r="A42" i="124"/>
  <c r="N42" i="116"/>
  <c r="N43" i="116"/>
  <c r="A43" i="124"/>
  <c r="N44" i="116"/>
  <c r="A44" i="124"/>
  <c r="O42" i="116"/>
  <c r="B42" i="124"/>
  <c r="B43" i="124"/>
  <c r="O43" i="116"/>
  <c r="O44" i="116"/>
  <c r="B44" i="124"/>
  <c r="P42" i="116"/>
  <c r="C42" i="124"/>
  <c r="C43" i="124"/>
  <c r="P43" i="116"/>
  <c r="C44" i="124"/>
  <c r="P44" i="116"/>
  <c r="R191" i="124"/>
  <c r="T328" i="124" s="1"/>
  <c r="U47" i="124"/>
  <c r="U48" i="124"/>
  <c r="U49" i="124"/>
  <c r="V47" i="124"/>
  <c r="V48" i="124"/>
  <c r="V49" i="124"/>
  <c r="W47" i="124"/>
  <c r="W48" i="124"/>
  <c r="W49" i="124"/>
  <c r="K47" i="124"/>
  <c r="K48" i="124"/>
  <c r="K49" i="124"/>
  <c r="L47" i="124"/>
  <c r="L48" i="124"/>
  <c r="L49" i="124"/>
  <c r="M47" i="124"/>
  <c r="M48" i="124"/>
  <c r="M49" i="124"/>
  <c r="F47" i="124"/>
  <c r="F48" i="124"/>
  <c r="F49" i="124"/>
  <c r="G47" i="124"/>
  <c r="G48" i="124"/>
  <c r="G49" i="124"/>
  <c r="H47" i="124"/>
  <c r="H48" i="124"/>
  <c r="H49" i="124"/>
  <c r="K50" i="8"/>
  <c r="N47" i="116"/>
  <c r="N48" i="116"/>
  <c r="N49" i="116"/>
  <c r="O47" i="116"/>
  <c r="O48" i="116"/>
  <c r="O49" i="116"/>
  <c r="P47" i="116"/>
  <c r="P48" i="116"/>
  <c r="P49" i="116"/>
  <c r="Q45" i="8"/>
  <c r="Q44" i="8"/>
  <c r="Q43" i="8"/>
  <c r="Q42" i="8"/>
  <c r="I17" i="58"/>
  <c r="G17" i="58"/>
  <c r="H16" i="58"/>
  <c r="H17" i="58"/>
  <c r="I16" i="58"/>
  <c r="G16" i="58"/>
  <c r="N51" i="8"/>
  <c r="O51" i="8"/>
  <c r="P51" i="8"/>
  <c r="N50" i="8"/>
  <c r="P50" i="8"/>
  <c r="O50" i="8"/>
  <c r="N49" i="8"/>
  <c r="P49" i="8"/>
  <c r="O49" i="8"/>
  <c r="N48" i="8"/>
  <c r="P48" i="8"/>
  <c r="O48" i="8"/>
  <c r="N47" i="8"/>
  <c r="P47" i="8"/>
  <c r="O47" i="8"/>
  <c r="Q51" i="8"/>
  <c r="M51" i="8"/>
  <c r="K51" i="8"/>
  <c r="L51" i="8"/>
  <c r="Q50" i="8"/>
  <c r="M50" i="8"/>
  <c r="L50" i="8"/>
  <c r="Q49" i="8"/>
  <c r="M49" i="8"/>
  <c r="K49" i="8"/>
  <c r="L49" i="8"/>
  <c r="Q48" i="8"/>
  <c r="L48" i="8"/>
  <c r="M48" i="8"/>
  <c r="K48" i="8"/>
  <c r="Q47" i="8"/>
  <c r="M47" i="8"/>
  <c r="K47" i="8"/>
  <c r="L47" i="8"/>
  <c r="M83" i="58"/>
  <c r="F83" i="58"/>
  <c r="B2" i="9" s="1"/>
  <c r="B18" i="54" s="1"/>
  <c r="C25" i="9"/>
  <c r="L83" i="58"/>
  <c r="H83" i="58"/>
  <c r="B25" i="9"/>
  <c r="I25" i="9"/>
  <c r="F100" i="9"/>
  <c r="I83" i="58"/>
  <c r="G83" i="58"/>
  <c r="H125" i="9"/>
  <c r="H75" i="9"/>
  <c r="H25" i="9"/>
  <c r="D75" i="9"/>
  <c r="C125" i="9"/>
  <c r="D2" i="9"/>
  <c r="D4" i="54" s="1"/>
  <c r="D25" i="9"/>
  <c r="E25" i="9"/>
  <c r="D50" i="9"/>
  <c r="E125" i="9"/>
  <c r="G75" i="9"/>
  <c r="J83" i="58"/>
  <c r="E2" i="9"/>
  <c r="E18" i="54" s="1"/>
  <c r="I50" i="9"/>
  <c r="K83" i="58"/>
  <c r="G125" i="9"/>
  <c r="B50" i="9"/>
  <c r="F75" i="9"/>
  <c r="B100" i="9"/>
  <c r="F25" i="9"/>
  <c r="F125" i="9"/>
  <c r="I125" i="9"/>
  <c r="I75" i="9"/>
  <c r="D100" i="9"/>
  <c r="C50" i="9"/>
  <c r="E75" i="9"/>
  <c r="B75" i="9"/>
  <c r="C100" i="9"/>
  <c r="D125" i="9"/>
  <c r="C75" i="9"/>
  <c r="F50" i="9"/>
  <c r="G100" i="9"/>
  <c r="H50" i="9"/>
  <c r="B125" i="9"/>
  <c r="H100" i="9"/>
  <c r="G50" i="9"/>
  <c r="E100" i="9"/>
  <c r="E50" i="9"/>
  <c r="G25" i="9"/>
  <c r="I100" i="9"/>
  <c r="C2" i="9"/>
  <c r="C18" i="54" s="1"/>
  <c r="AE55" i="9"/>
  <c r="E74" i="8" s="1"/>
  <c r="G34" i="116"/>
  <c r="G35" i="116"/>
  <c r="G33" i="116"/>
  <c r="H29" i="116" s="1"/>
  <c r="Q33" i="8"/>
  <c r="H40" i="116"/>
  <c r="F2" i="9"/>
  <c r="F18" i="54" s="1"/>
  <c r="F12" i="9"/>
  <c r="F19" i="54" s="1"/>
  <c r="B145" i="9"/>
  <c r="D145" i="9"/>
  <c r="F145" i="9"/>
  <c r="H145" i="9"/>
  <c r="C145" i="9"/>
  <c r="E145" i="9"/>
  <c r="G145" i="9"/>
  <c r="I145" i="9"/>
  <c r="C120" i="9"/>
  <c r="E120" i="9"/>
  <c r="G120" i="9"/>
  <c r="I120" i="9"/>
  <c r="B120" i="9"/>
  <c r="D120" i="9"/>
  <c r="F120" i="9"/>
  <c r="H120" i="9"/>
  <c r="N49" i="110"/>
  <c r="P48" i="110"/>
  <c r="P49" i="110"/>
  <c r="C95" i="9"/>
  <c r="D45" i="9"/>
  <c r="E95" i="9"/>
  <c r="G95" i="9"/>
  <c r="I95" i="9"/>
  <c r="B95" i="9"/>
  <c r="F95" i="9"/>
  <c r="H95" i="9"/>
  <c r="N49" i="113"/>
  <c r="P48" i="113"/>
  <c r="P49" i="113"/>
  <c r="C70" i="9"/>
  <c r="E70" i="9"/>
  <c r="G70" i="9"/>
  <c r="I70" i="9"/>
  <c r="B70" i="9"/>
  <c r="D70" i="9"/>
  <c r="F70" i="9"/>
  <c r="H70" i="9"/>
  <c r="N49" i="114"/>
  <c r="P48" i="114"/>
  <c r="P49" i="114"/>
  <c r="B45" i="9"/>
  <c r="F45" i="9"/>
  <c r="C45" i="9"/>
  <c r="E45" i="9"/>
  <c r="G45" i="9"/>
  <c r="I45" i="9"/>
  <c r="H45" i="9"/>
  <c r="N49" i="115"/>
  <c r="P48" i="115"/>
  <c r="P49" i="115"/>
  <c r="Q46" i="8"/>
  <c r="K46" i="8"/>
  <c r="D7" i="9"/>
  <c r="O336" i="124" l="1"/>
  <c r="O337" i="124"/>
  <c r="Y337" i="124"/>
  <c r="Y328" i="124"/>
  <c r="E336" i="124"/>
  <c r="J45" i="116"/>
  <c r="E328" i="124"/>
  <c r="A247" i="124"/>
  <c r="J337" i="124"/>
  <c r="J328" i="124"/>
  <c r="N245" i="124"/>
  <c r="L247" i="124"/>
  <c r="G247" i="124"/>
  <c r="S245" i="124"/>
  <c r="D246" i="124"/>
  <c r="C247" i="124"/>
  <c r="AF153" i="124"/>
  <c r="C190" i="124"/>
  <c r="D110" i="124" s="1"/>
  <c r="AH154" i="124" s="1"/>
  <c r="D245" i="124"/>
  <c r="R247" i="124"/>
  <c r="W247" i="124"/>
  <c r="X246" i="124"/>
  <c r="V247" i="124"/>
  <c r="Q247" i="124"/>
  <c r="S246" i="124"/>
  <c r="H247" i="124"/>
  <c r="I245" i="124"/>
  <c r="K45" i="116"/>
  <c r="B247" i="124"/>
  <c r="M42" i="116"/>
  <c r="M44" i="116"/>
  <c r="M43" i="116"/>
  <c r="L45" i="116"/>
  <c r="D244" i="124"/>
  <c r="M247" i="124"/>
  <c r="X245" i="124"/>
  <c r="X244" i="124"/>
  <c r="U247" i="124"/>
  <c r="P247" i="124"/>
  <c r="S244" i="124"/>
  <c r="N246" i="124"/>
  <c r="K247" i="124"/>
  <c r="N244" i="124"/>
  <c r="I246" i="124"/>
  <c r="I244" i="124"/>
  <c r="F247" i="124"/>
  <c r="T337" i="124"/>
  <c r="T336" i="124"/>
  <c r="B45" i="124"/>
  <c r="D44" i="124"/>
  <c r="L46" i="8"/>
  <c r="M45" i="8"/>
  <c r="L45" i="8"/>
  <c r="K45" i="8"/>
  <c r="K44" i="8"/>
  <c r="M44" i="8"/>
  <c r="L44" i="8"/>
  <c r="K43" i="8"/>
  <c r="L42" i="8"/>
  <c r="K42" i="8"/>
  <c r="M42" i="8"/>
  <c r="R190" i="124"/>
  <c r="G184" i="124"/>
  <c r="V186" i="124"/>
  <c r="W180" i="124" s="1"/>
  <c r="M190" i="124"/>
  <c r="L185" i="124"/>
  <c r="V184" i="124"/>
  <c r="H190" i="124"/>
  <c r="L186" i="124"/>
  <c r="M180" i="124" s="1"/>
  <c r="L184" i="124"/>
  <c r="Q185" i="124"/>
  <c r="Q186" i="124"/>
  <c r="R180" i="124" s="1"/>
  <c r="W190" i="124"/>
  <c r="G185" i="124"/>
  <c r="H180" i="124" s="1"/>
  <c r="Q184" i="124"/>
  <c r="G186" i="124"/>
  <c r="V185" i="124"/>
  <c r="U45" i="124"/>
  <c r="X42" i="124"/>
  <c r="V45" i="124"/>
  <c r="X43" i="124"/>
  <c r="W45" i="124"/>
  <c r="X44" i="124"/>
  <c r="S43" i="124"/>
  <c r="M45" i="124"/>
  <c r="S44" i="124"/>
  <c r="S42" i="124"/>
  <c r="K45" i="124"/>
  <c r="N42" i="124"/>
  <c r="L45" i="124"/>
  <c r="N43" i="124"/>
  <c r="I44" i="124"/>
  <c r="N44" i="124"/>
  <c r="C45" i="124"/>
  <c r="F45" i="124"/>
  <c r="I42" i="124"/>
  <c r="I43" i="124"/>
  <c r="G45" i="124"/>
  <c r="D43" i="124"/>
  <c r="H45" i="124"/>
  <c r="D42" i="124"/>
  <c r="A45" i="124"/>
  <c r="G35" i="115"/>
  <c r="G34" i="110"/>
  <c r="M46" i="8"/>
  <c r="M43" i="8"/>
  <c r="G33" i="114"/>
  <c r="G35" i="113"/>
  <c r="H29" i="113" s="1"/>
  <c r="H39" i="110"/>
  <c r="G34" i="115"/>
  <c r="H29" i="115" s="1"/>
  <c r="G33" i="115"/>
  <c r="G35" i="110"/>
  <c r="H29" i="110" s="1"/>
  <c r="H39" i="114"/>
  <c r="H39" i="115"/>
  <c r="G35" i="114"/>
  <c r="H29" i="114" s="1"/>
  <c r="G33" i="110"/>
  <c r="G34" i="113"/>
  <c r="G34" i="114"/>
  <c r="G33" i="113"/>
  <c r="H39" i="113"/>
  <c r="G85" i="8"/>
  <c r="F4" i="54"/>
  <c r="D23" i="54"/>
  <c r="D2" i="54"/>
  <c r="L43" i="8"/>
  <c r="Q34" i="8"/>
  <c r="H25" i="54" s="1"/>
  <c r="G25" i="54"/>
  <c r="D20" i="9"/>
  <c r="D14" i="54" s="1"/>
  <c r="D18" i="54"/>
  <c r="F7" i="9"/>
  <c r="H39" i="116"/>
  <c r="N86" i="110"/>
  <c r="N84" i="110"/>
  <c r="I82" i="110"/>
  <c r="D81" i="110"/>
  <c r="D80" i="110"/>
  <c r="S79" i="110"/>
  <c r="I80" i="110"/>
  <c r="S77" i="110"/>
  <c r="S76" i="110"/>
  <c r="I77" i="110"/>
  <c r="D76" i="110"/>
  <c r="I76" i="110"/>
  <c r="D75" i="110"/>
  <c r="S73" i="110"/>
  <c r="I74" i="110"/>
  <c r="S72" i="110"/>
  <c r="N74" i="110"/>
  <c r="I73" i="110"/>
  <c r="S71" i="110"/>
  <c r="N73" i="110"/>
  <c r="D71" i="110"/>
  <c r="S70" i="110"/>
  <c r="I71" i="110"/>
  <c r="D70" i="110"/>
  <c r="S69" i="110"/>
  <c r="I70" i="110"/>
  <c r="D69" i="110"/>
  <c r="I69" i="110"/>
  <c r="D68" i="110"/>
  <c r="I68" i="110"/>
  <c r="D67" i="110"/>
  <c r="I67" i="110"/>
  <c r="D66" i="110"/>
  <c r="S65" i="110"/>
  <c r="N65" i="110"/>
  <c r="I66" i="110"/>
  <c r="D65" i="110"/>
  <c r="S64" i="110"/>
  <c r="N64" i="110"/>
  <c r="I65" i="110"/>
  <c r="D64" i="110"/>
  <c r="S63" i="110"/>
  <c r="N63" i="110"/>
  <c r="I64" i="110"/>
  <c r="D63" i="110"/>
  <c r="N62" i="110"/>
  <c r="I63" i="110"/>
  <c r="D62" i="110"/>
  <c r="I62" i="110"/>
  <c r="D61" i="110"/>
  <c r="I61" i="110"/>
  <c r="D60" i="110"/>
  <c r="S59" i="110"/>
  <c r="I60" i="110"/>
  <c r="D59" i="110"/>
  <c r="S58" i="110"/>
  <c r="N58" i="110"/>
  <c r="I59" i="110"/>
  <c r="D58" i="110"/>
  <c r="S57" i="110"/>
  <c r="N57" i="110"/>
  <c r="I58" i="110"/>
  <c r="D57" i="110"/>
  <c r="S56" i="110"/>
  <c r="N56" i="110"/>
  <c r="D56" i="110"/>
  <c r="I56" i="110"/>
  <c r="D55" i="110"/>
  <c r="U31" i="8"/>
  <c r="U21" i="8"/>
  <c r="U11" i="8"/>
  <c r="G51" i="8"/>
  <c r="D51" i="8"/>
  <c r="A51" i="8"/>
  <c r="F25" i="8"/>
  <c r="O38" i="8"/>
  <c r="P25" i="8"/>
  <c r="O25" i="8"/>
  <c r="N25" i="8"/>
  <c r="N77" i="8"/>
  <c r="Q25" i="8"/>
  <c r="L38" i="8"/>
  <c r="K38" i="8"/>
  <c r="J38" i="8"/>
  <c r="H38" i="8"/>
  <c r="G38" i="8"/>
  <c r="F38" i="8"/>
  <c r="D38" i="8"/>
  <c r="C38" i="8"/>
  <c r="B38" i="8"/>
  <c r="N86" i="113"/>
  <c r="R82" i="110"/>
  <c r="N84" i="113"/>
  <c r="I82" i="113"/>
  <c r="D81" i="113"/>
  <c r="O76" i="8"/>
  <c r="D80" i="113"/>
  <c r="S79" i="113"/>
  <c r="I80" i="113"/>
  <c r="S77" i="113"/>
  <c r="S76" i="113"/>
  <c r="I77" i="113"/>
  <c r="D76" i="113"/>
  <c r="I76" i="113"/>
  <c r="D75" i="113"/>
  <c r="S73" i="113"/>
  <c r="I74" i="113"/>
  <c r="S72" i="113"/>
  <c r="N74" i="113"/>
  <c r="I73" i="113"/>
  <c r="S71" i="113"/>
  <c r="N73" i="113"/>
  <c r="D71" i="113"/>
  <c r="S70" i="113"/>
  <c r="I71" i="113"/>
  <c r="D70" i="113"/>
  <c r="S69" i="113"/>
  <c r="I70" i="113"/>
  <c r="D69" i="113"/>
  <c r="I69" i="113"/>
  <c r="D68" i="113"/>
  <c r="I68" i="113"/>
  <c r="D67" i="113"/>
  <c r="I67" i="113"/>
  <c r="D66" i="113"/>
  <c r="S65" i="113"/>
  <c r="N65" i="113"/>
  <c r="D65" i="113"/>
  <c r="S64" i="113"/>
  <c r="N64" i="113"/>
  <c r="I65" i="113"/>
  <c r="D64" i="113"/>
  <c r="S63" i="113"/>
  <c r="N63" i="113"/>
  <c r="I64" i="113"/>
  <c r="D63" i="113"/>
  <c r="N62" i="113"/>
  <c r="I63" i="113"/>
  <c r="D62" i="113"/>
  <c r="I62" i="113"/>
  <c r="D61" i="113"/>
  <c r="I61" i="113"/>
  <c r="D60" i="113"/>
  <c r="S59" i="113"/>
  <c r="I60" i="113"/>
  <c r="D59" i="113"/>
  <c r="S58" i="113"/>
  <c r="I59" i="113"/>
  <c r="D58" i="113"/>
  <c r="S57" i="113"/>
  <c r="I58" i="113"/>
  <c r="D57" i="113"/>
  <c r="S56" i="113"/>
  <c r="N56" i="113"/>
  <c r="D56" i="113"/>
  <c r="I56" i="113"/>
  <c r="D55" i="113"/>
  <c r="D7" i="110"/>
  <c r="E29" i="110"/>
  <c r="G50" i="8"/>
  <c r="F24" i="8"/>
  <c r="C13" i="110"/>
  <c r="O37" i="8"/>
  <c r="P24" i="8"/>
  <c r="N76" i="8"/>
  <c r="Q24" i="8"/>
  <c r="L37" i="8"/>
  <c r="K37" i="8"/>
  <c r="J37" i="8"/>
  <c r="H37" i="8"/>
  <c r="G37" i="8"/>
  <c r="F37" i="8"/>
  <c r="D37" i="8"/>
  <c r="C37" i="8"/>
  <c r="B37" i="8"/>
  <c r="N86" i="114"/>
  <c r="R82" i="113"/>
  <c r="N84" i="114"/>
  <c r="I82" i="114"/>
  <c r="D81" i="114"/>
  <c r="D80" i="114"/>
  <c r="S79" i="114"/>
  <c r="I80" i="114"/>
  <c r="S77" i="114"/>
  <c r="S76" i="114"/>
  <c r="I77" i="114"/>
  <c r="D76" i="114"/>
  <c r="I76" i="114"/>
  <c r="D75" i="114"/>
  <c r="S73" i="114"/>
  <c r="I74" i="114"/>
  <c r="S72" i="114"/>
  <c r="N74" i="114"/>
  <c r="I73" i="114"/>
  <c r="S71" i="114"/>
  <c r="N73" i="114"/>
  <c r="D71" i="114"/>
  <c r="S70" i="114"/>
  <c r="I71" i="114"/>
  <c r="D70" i="114"/>
  <c r="S69" i="114"/>
  <c r="I70" i="114"/>
  <c r="D69" i="114"/>
  <c r="I69" i="114"/>
  <c r="D68" i="114"/>
  <c r="I68" i="114"/>
  <c r="D67" i="114"/>
  <c r="I67" i="114"/>
  <c r="D66" i="114"/>
  <c r="S65" i="114"/>
  <c r="N65" i="114"/>
  <c r="D65" i="114"/>
  <c r="S64" i="114"/>
  <c r="N64" i="114"/>
  <c r="I65" i="114"/>
  <c r="D64" i="114"/>
  <c r="S63" i="114"/>
  <c r="N63" i="114"/>
  <c r="I64" i="114"/>
  <c r="D63" i="114"/>
  <c r="N62" i="114"/>
  <c r="I63" i="114"/>
  <c r="D62" i="114"/>
  <c r="I62" i="114"/>
  <c r="D61" i="114"/>
  <c r="I61" i="114"/>
  <c r="D60" i="114"/>
  <c r="S59" i="114"/>
  <c r="I60" i="114"/>
  <c r="D59" i="114"/>
  <c r="S58" i="114"/>
  <c r="I59" i="114"/>
  <c r="D58" i="114"/>
  <c r="S57" i="114"/>
  <c r="I58" i="114"/>
  <c r="D57" i="114"/>
  <c r="S56" i="114"/>
  <c r="N56" i="114"/>
  <c r="D56" i="114"/>
  <c r="I56" i="114"/>
  <c r="D55" i="114"/>
  <c r="E29" i="113"/>
  <c r="G49" i="8"/>
  <c r="F23" i="8"/>
  <c r="C13" i="113"/>
  <c r="O36" i="8"/>
  <c r="P23" i="8"/>
  <c r="N75" i="8"/>
  <c r="Q23" i="8"/>
  <c r="L36" i="8"/>
  <c r="K36" i="8"/>
  <c r="J36" i="8"/>
  <c r="H36" i="8"/>
  <c r="G36" i="8"/>
  <c r="F36" i="8"/>
  <c r="D36" i="8"/>
  <c r="C36" i="8"/>
  <c r="B36" i="8"/>
  <c r="R82" i="114"/>
  <c r="N84" i="115"/>
  <c r="I82" i="115"/>
  <c r="D81" i="115"/>
  <c r="D80" i="115"/>
  <c r="S79" i="115"/>
  <c r="I80" i="115"/>
  <c r="S77" i="115"/>
  <c r="S76" i="115"/>
  <c r="I77" i="115"/>
  <c r="D76" i="115"/>
  <c r="I76" i="115"/>
  <c r="D75" i="115"/>
  <c r="S73" i="115"/>
  <c r="I74" i="115"/>
  <c r="S72" i="115"/>
  <c r="N74" i="115"/>
  <c r="I73" i="115"/>
  <c r="S71" i="115"/>
  <c r="D71" i="115"/>
  <c r="S70" i="115"/>
  <c r="I71" i="115"/>
  <c r="D70" i="115"/>
  <c r="S69" i="115"/>
  <c r="I70" i="115"/>
  <c r="D69" i="115"/>
  <c r="I69" i="115"/>
  <c r="D68" i="115"/>
  <c r="D67" i="115"/>
  <c r="I67" i="115"/>
  <c r="D66" i="115"/>
  <c r="S65" i="115"/>
  <c r="N65" i="115"/>
  <c r="D65" i="115"/>
  <c r="S64" i="115"/>
  <c r="N64" i="115"/>
  <c r="I65" i="115"/>
  <c r="D64" i="115"/>
  <c r="S63" i="115"/>
  <c r="N63" i="115"/>
  <c r="I64" i="115"/>
  <c r="D63" i="115"/>
  <c r="N62" i="115"/>
  <c r="I63" i="115"/>
  <c r="D62" i="115"/>
  <c r="I62" i="115"/>
  <c r="D61" i="115"/>
  <c r="I61" i="115"/>
  <c r="D60" i="115"/>
  <c r="I60" i="115"/>
  <c r="D59" i="115"/>
  <c r="S58" i="115"/>
  <c r="I59" i="115"/>
  <c r="S57" i="115"/>
  <c r="I58" i="115"/>
  <c r="D57" i="115"/>
  <c r="S56" i="115"/>
  <c r="N56" i="115"/>
  <c r="D56" i="115"/>
  <c r="I56" i="115"/>
  <c r="D55" i="115"/>
  <c r="E29" i="114"/>
  <c r="G48" i="8"/>
  <c r="H7" i="54"/>
  <c r="C13" i="114"/>
  <c r="O35" i="8"/>
  <c r="P22" i="8"/>
  <c r="N74" i="8"/>
  <c r="Q22" i="8"/>
  <c r="L35" i="8"/>
  <c r="K35" i="8"/>
  <c r="J35" i="8"/>
  <c r="H35" i="8"/>
  <c r="G35" i="8"/>
  <c r="F35" i="8"/>
  <c r="D35" i="8"/>
  <c r="C35" i="8"/>
  <c r="B35" i="8"/>
  <c r="F15" i="9"/>
  <c r="G46" i="8"/>
  <c r="D46" i="8"/>
  <c r="A46" i="8"/>
  <c r="F21" i="9"/>
  <c r="O33" i="8"/>
  <c r="P20" i="8"/>
  <c r="O20" i="8"/>
  <c r="F22" i="9"/>
  <c r="G20" i="8"/>
  <c r="N72" i="8"/>
  <c r="P33" i="8"/>
  <c r="Q20" i="8"/>
  <c r="F23" i="9"/>
  <c r="L33" i="8"/>
  <c r="K33" i="8"/>
  <c r="J33" i="8"/>
  <c r="I33" i="8"/>
  <c r="H33" i="8"/>
  <c r="G33" i="8"/>
  <c r="F33" i="8"/>
  <c r="E33" i="8"/>
  <c r="D33" i="8"/>
  <c r="C33" i="8"/>
  <c r="B33" i="8"/>
  <c r="A33" i="8"/>
  <c r="O71" i="8"/>
  <c r="M71" i="8"/>
  <c r="U25" i="8"/>
  <c r="U15" i="8"/>
  <c r="D45" i="8"/>
  <c r="F19" i="8"/>
  <c r="O32" i="8"/>
  <c r="P19" i="8"/>
  <c r="O19" i="8"/>
  <c r="N19" i="8"/>
  <c r="E22" i="9"/>
  <c r="G19" i="8"/>
  <c r="N71" i="8"/>
  <c r="P32" i="8"/>
  <c r="Q19" i="8"/>
  <c r="E23" i="9"/>
  <c r="L32" i="8"/>
  <c r="K32" i="8"/>
  <c r="J32" i="8"/>
  <c r="I32" i="8"/>
  <c r="H32" i="8"/>
  <c r="G32" i="8"/>
  <c r="F32" i="8"/>
  <c r="E32" i="8"/>
  <c r="D32" i="8"/>
  <c r="C32" i="8"/>
  <c r="B32" i="8"/>
  <c r="A32" i="8"/>
  <c r="E1" i="9"/>
  <c r="E8" i="9" s="1"/>
  <c r="O70" i="8"/>
  <c r="M70" i="8"/>
  <c r="D15" i="9"/>
  <c r="U24" i="8"/>
  <c r="U14" i="8"/>
  <c r="G44" i="8"/>
  <c r="D44" i="8"/>
  <c r="A44" i="8"/>
  <c r="F18" i="8"/>
  <c r="O31" i="8"/>
  <c r="P18" i="8"/>
  <c r="O18" i="8"/>
  <c r="N18" i="8"/>
  <c r="D22" i="9"/>
  <c r="N70" i="8"/>
  <c r="P31" i="8"/>
  <c r="Q18" i="8"/>
  <c r="D23" i="9"/>
  <c r="L31" i="8"/>
  <c r="R34" i="124" s="1"/>
  <c r="K31" i="8"/>
  <c r="Q34" i="124" s="1"/>
  <c r="J31" i="8"/>
  <c r="P34" i="124" s="1"/>
  <c r="I31" i="8"/>
  <c r="H31" i="8"/>
  <c r="R33" i="124" s="1"/>
  <c r="G31" i="8"/>
  <c r="Q33" i="124" s="1"/>
  <c r="F31" i="8"/>
  <c r="P33" i="124" s="1"/>
  <c r="E31" i="8"/>
  <c r="D31" i="8"/>
  <c r="R32" i="124" s="1"/>
  <c r="C31" i="8"/>
  <c r="Q32" i="124" s="1"/>
  <c r="B31" i="8"/>
  <c r="P32" i="124" s="1"/>
  <c r="A31" i="8"/>
  <c r="D1" i="9"/>
  <c r="D8" i="9" s="1"/>
  <c r="O69" i="8"/>
  <c r="M69" i="8"/>
  <c r="U23" i="8"/>
  <c r="U13" i="8"/>
  <c r="G43" i="8"/>
  <c r="D43" i="8"/>
  <c r="A43" i="8"/>
  <c r="F17" i="8"/>
  <c r="O30" i="8"/>
  <c r="P17" i="8"/>
  <c r="O17" i="8"/>
  <c r="N17" i="8"/>
  <c r="C22" i="9"/>
  <c r="N69" i="8"/>
  <c r="P30" i="8"/>
  <c r="Q17" i="8"/>
  <c r="C23" i="9"/>
  <c r="L30" i="8"/>
  <c r="K30" i="8"/>
  <c r="J30" i="8"/>
  <c r="I30" i="8"/>
  <c r="H30" i="8"/>
  <c r="G30" i="8"/>
  <c r="F30" i="8"/>
  <c r="E30" i="8"/>
  <c r="D30" i="8"/>
  <c r="C30" i="8"/>
  <c r="B30" i="8"/>
  <c r="C1" i="9"/>
  <c r="C8" i="9" s="1"/>
  <c r="R36" i="57"/>
  <c r="X35" i="57"/>
  <c r="X34" i="57"/>
  <c r="R34" i="57"/>
  <c r="L34" i="57"/>
  <c r="F34" i="57"/>
  <c r="R33" i="57"/>
  <c r="O68" i="8" s="1"/>
  <c r="F33" i="57"/>
  <c r="X32" i="57"/>
  <c r="L32" i="57"/>
  <c r="X30" i="57"/>
  <c r="X29" i="57"/>
  <c r="L29" i="57"/>
  <c r="F29" i="57"/>
  <c r="R28" i="57"/>
  <c r="L28" i="57"/>
  <c r="F28" i="57"/>
  <c r="X26" i="57"/>
  <c r="R26" i="57"/>
  <c r="L26" i="57"/>
  <c r="X25" i="57"/>
  <c r="R25" i="57"/>
  <c r="L25" i="57"/>
  <c r="X24" i="57"/>
  <c r="R24" i="57"/>
  <c r="F24" i="57"/>
  <c r="X23" i="57"/>
  <c r="L23" i="57"/>
  <c r="F23" i="57"/>
  <c r="X22" i="57"/>
  <c r="L22" i="57"/>
  <c r="F22" i="57"/>
  <c r="L21" i="57"/>
  <c r="F21" i="57"/>
  <c r="L20" i="57"/>
  <c r="F20" i="57"/>
  <c r="R19" i="57"/>
  <c r="L19" i="57"/>
  <c r="F19" i="57"/>
  <c r="X18" i="57"/>
  <c r="R18" i="57"/>
  <c r="L18" i="57"/>
  <c r="F18" i="57"/>
  <c r="X17" i="57"/>
  <c r="R17" i="57"/>
  <c r="L17" i="57"/>
  <c r="F17" i="57"/>
  <c r="X16" i="57"/>
  <c r="R16" i="57"/>
  <c r="L16" i="57"/>
  <c r="F16" i="57"/>
  <c r="R15" i="57"/>
  <c r="L15" i="57"/>
  <c r="F15" i="57"/>
  <c r="L14" i="57"/>
  <c r="F14" i="57"/>
  <c r="L13" i="57"/>
  <c r="F13" i="57"/>
  <c r="X12" i="57"/>
  <c r="L12" i="57"/>
  <c r="F12" i="57"/>
  <c r="X11" i="57"/>
  <c r="R11" i="57"/>
  <c r="L11" i="57"/>
  <c r="F11" i="57"/>
  <c r="X10" i="57"/>
  <c r="R10" i="57"/>
  <c r="L10" i="57"/>
  <c r="F10" i="57"/>
  <c r="X9" i="57"/>
  <c r="R9" i="57"/>
  <c r="F9" i="57"/>
  <c r="L8" i="57"/>
  <c r="F8" i="57"/>
  <c r="X1" i="57"/>
  <c r="V1" i="57"/>
  <c r="I1" i="57"/>
  <c r="E1" i="57"/>
  <c r="Y45" i="56"/>
  <c r="W45" i="56"/>
  <c r="U45" i="56"/>
  <c r="G45" i="56"/>
  <c r="Y44" i="56"/>
  <c r="W44" i="56"/>
  <c r="U44" i="56"/>
  <c r="G44" i="56"/>
  <c r="Y43" i="56"/>
  <c r="W43" i="56"/>
  <c r="U43" i="56"/>
  <c r="G43" i="56"/>
  <c r="Y42" i="56"/>
  <c r="W42" i="56"/>
  <c r="U42" i="56"/>
  <c r="G42" i="56"/>
  <c r="Y39" i="56"/>
  <c r="U22" i="8" s="1"/>
  <c r="W39" i="56"/>
  <c r="U12" i="8" s="1"/>
  <c r="U39" i="56"/>
  <c r="G39" i="56"/>
  <c r="G38" i="56"/>
  <c r="O37" i="56"/>
  <c r="N37" i="56"/>
  <c r="M37" i="56"/>
  <c r="G37" i="56"/>
  <c r="Z36" i="56"/>
  <c r="Y36" i="56"/>
  <c r="X36" i="56"/>
  <c r="W36" i="56"/>
  <c r="V36" i="56"/>
  <c r="U36" i="56"/>
  <c r="O36" i="56"/>
  <c r="N36" i="56"/>
  <c r="M36" i="56"/>
  <c r="G35" i="56"/>
  <c r="G34" i="56"/>
  <c r="Y33" i="56"/>
  <c r="W33" i="56"/>
  <c r="U33" i="56"/>
  <c r="H33" i="56"/>
  <c r="G33" i="56"/>
  <c r="Y32" i="56"/>
  <c r="W32" i="56"/>
  <c r="U32" i="56"/>
  <c r="G32" i="56"/>
  <c r="Y31" i="56"/>
  <c r="W31" i="56"/>
  <c r="U31" i="56"/>
  <c r="G31" i="56"/>
  <c r="O30" i="56"/>
  <c r="N30" i="56"/>
  <c r="M30" i="56"/>
  <c r="G30" i="56"/>
  <c r="Y28" i="56"/>
  <c r="W28" i="56"/>
  <c r="U28" i="56"/>
  <c r="Y27" i="56"/>
  <c r="W27" i="56"/>
  <c r="U27" i="56"/>
  <c r="N27" i="56"/>
  <c r="M27" i="56"/>
  <c r="G27" i="56"/>
  <c r="O26" i="56"/>
  <c r="G42" i="8" s="1"/>
  <c r="N26" i="56"/>
  <c r="D42" i="8" s="1"/>
  <c r="M26" i="56"/>
  <c r="A42" i="8" s="1"/>
  <c r="G25" i="56"/>
  <c r="Y24" i="56"/>
  <c r="W24" i="56"/>
  <c r="U24" i="56"/>
  <c r="H24" i="56"/>
  <c r="G24" i="56"/>
  <c r="Y23" i="56"/>
  <c r="W23" i="56"/>
  <c r="U23" i="56"/>
  <c r="G23" i="56"/>
  <c r="Y22" i="56"/>
  <c r="W22" i="56"/>
  <c r="U22" i="56"/>
  <c r="G21" i="56"/>
  <c r="O20" i="56"/>
  <c r="F16" i="8" s="1"/>
  <c r="G20" i="56"/>
  <c r="Y19" i="56"/>
  <c r="W19" i="56"/>
  <c r="U19" i="56"/>
  <c r="G19" i="56"/>
  <c r="Y18" i="56"/>
  <c r="W18" i="56"/>
  <c r="U18" i="56"/>
  <c r="O18" i="56"/>
  <c r="G18" i="56"/>
  <c r="Y17" i="56"/>
  <c r="W17" i="56"/>
  <c r="U17" i="56"/>
  <c r="P17" i="56"/>
  <c r="O17" i="56"/>
  <c r="O16" i="56"/>
  <c r="Y14" i="56"/>
  <c r="W14" i="56"/>
  <c r="U14" i="56"/>
  <c r="G14" i="56"/>
  <c r="Y13" i="56"/>
  <c r="W13" i="56"/>
  <c r="U13" i="56"/>
  <c r="G13" i="56"/>
  <c r="Y12" i="56"/>
  <c r="W12" i="56"/>
  <c r="U12" i="56"/>
  <c r="O12" i="56"/>
  <c r="N12" i="56"/>
  <c r="G12" i="56"/>
  <c r="O10" i="56"/>
  <c r="N10" i="56"/>
  <c r="G10" i="56"/>
  <c r="Z9" i="56"/>
  <c r="Y9" i="56"/>
  <c r="X9" i="56"/>
  <c r="W9" i="56"/>
  <c r="V9" i="56"/>
  <c r="U9" i="56"/>
  <c r="N9" i="56"/>
  <c r="Y8" i="56"/>
  <c r="W8" i="56"/>
  <c r="U8" i="56"/>
  <c r="O8" i="56"/>
  <c r="N8" i="56"/>
  <c r="Y7" i="56"/>
  <c r="W7" i="56"/>
  <c r="U7" i="56"/>
  <c r="O7" i="56"/>
  <c r="N7" i="56"/>
  <c r="G7" i="56"/>
  <c r="Y6" i="56"/>
  <c r="W6" i="56"/>
  <c r="U6" i="56"/>
  <c r="X1" i="56"/>
  <c r="U1" i="56"/>
  <c r="H1" i="56"/>
  <c r="E1" i="56"/>
  <c r="W35" i="55"/>
  <c r="P35" i="55"/>
  <c r="K35" i="55"/>
  <c r="J35" i="55"/>
  <c r="I35" i="55"/>
  <c r="H35" i="55"/>
  <c r="G35" i="55"/>
  <c r="F35" i="55"/>
  <c r="W32" i="55"/>
  <c r="O29" i="8" s="1"/>
  <c r="Q32" i="55"/>
  <c r="P32" i="55"/>
  <c r="K32" i="55"/>
  <c r="J32" i="55"/>
  <c r="P16" i="8" s="1"/>
  <c r="I32" i="55"/>
  <c r="H32" i="55"/>
  <c r="O16" i="8" s="1"/>
  <c r="G32" i="55"/>
  <c r="F32" i="55"/>
  <c r="N16" i="8" s="1"/>
  <c r="X31" i="55"/>
  <c r="W31" i="55"/>
  <c r="Q31" i="55"/>
  <c r="P31" i="55"/>
  <c r="B22" i="9" s="1"/>
  <c r="J31" i="55"/>
  <c r="H31" i="55"/>
  <c r="F31" i="55"/>
  <c r="X30" i="55"/>
  <c r="W30" i="55"/>
  <c r="Q30" i="55"/>
  <c r="P30" i="55"/>
  <c r="J30" i="55"/>
  <c r="H30" i="55"/>
  <c r="F30" i="55"/>
  <c r="X29" i="55"/>
  <c r="W29" i="55"/>
  <c r="Q29" i="55"/>
  <c r="P29" i="55"/>
  <c r="N68" i="8" s="1"/>
  <c r="J29" i="55"/>
  <c r="H29" i="55"/>
  <c r="F29" i="55"/>
  <c r="X26" i="55"/>
  <c r="W26" i="55"/>
  <c r="P29" i="8" s="1"/>
  <c r="Q26" i="55"/>
  <c r="P26" i="55"/>
  <c r="Q16" i="8" s="1"/>
  <c r="K26" i="55"/>
  <c r="J26" i="55"/>
  <c r="I26" i="55"/>
  <c r="H26" i="55"/>
  <c r="G26" i="55"/>
  <c r="F26" i="55"/>
  <c r="Q25" i="55"/>
  <c r="P25" i="55"/>
  <c r="K25" i="55"/>
  <c r="J25" i="55"/>
  <c r="I25" i="55"/>
  <c r="H25" i="55"/>
  <c r="G25" i="55"/>
  <c r="F25" i="55"/>
  <c r="X24" i="55"/>
  <c r="W24" i="55"/>
  <c r="Q24" i="55"/>
  <c r="P24" i="55"/>
  <c r="K24" i="55"/>
  <c r="J24" i="55"/>
  <c r="I24" i="55"/>
  <c r="H24" i="55"/>
  <c r="G24" i="55"/>
  <c r="F24" i="55"/>
  <c r="W21" i="55"/>
  <c r="P21" i="55"/>
  <c r="K21" i="55"/>
  <c r="J21" i="55"/>
  <c r="I21" i="55"/>
  <c r="H21" i="55"/>
  <c r="G21" i="55"/>
  <c r="F21" i="55"/>
  <c r="W20" i="55"/>
  <c r="B23" i="9" s="1"/>
  <c r="P20" i="55"/>
  <c r="K20" i="55"/>
  <c r="J20" i="55"/>
  <c r="I20" i="55"/>
  <c r="H20" i="55"/>
  <c r="G20" i="55"/>
  <c r="F20" i="55"/>
  <c r="W19" i="55"/>
  <c r="T19" i="55"/>
  <c r="P19" i="55"/>
  <c r="K19" i="55"/>
  <c r="J19" i="55"/>
  <c r="I19" i="55"/>
  <c r="H19" i="55"/>
  <c r="G19" i="55"/>
  <c r="F19" i="55"/>
  <c r="W16" i="55"/>
  <c r="U16" i="55"/>
  <c r="T16" i="55"/>
  <c r="J16" i="55"/>
  <c r="L29" i="8" s="1"/>
  <c r="H16" i="55"/>
  <c r="K29" i="8" s="1"/>
  <c r="F16" i="55"/>
  <c r="J29" i="8" s="1"/>
  <c r="E16" i="55"/>
  <c r="I29" i="8" s="1"/>
  <c r="W15" i="55"/>
  <c r="U15" i="55"/>
  <c r="T15" i="55"/>
  <c r="Q15" i="55"/>
  <c r="P15" i="55"/>
  <c r="J15" i="55"/>
  <c r="H29" i="8" s="1"/>
  <c r="H15" i="55"/>
  <c r="G29" i="8" s="1"/>
  <c r="F15" i="55"/>
  <c r="F29" i="8" s="1"/>
  <c r="E15" i="55"/>
  <c r="E29" i="8" s="1"/>
  <c r="W14" i="55"/>
  <c r="U14" i="55"/>
  <c r="T14" i="55"/>
  <c r="Q14" i="55"/>
  <c r="P14" i="55"/>
  <c r="J14" i="55"/>
  <c r="D29" i="8" s="1"/>
  <c r="H14" i="55"/>
  <c r="C29" i="8" s="1"/>
  <c r="F14" i="55"/>
  <c r="B29" i="8" s="1"/>
  <c r="E14" i="55"/>
  <c r="A29" i="8" s="1"/>
  <c r="S9" i="55"/>
  <c r="P9" i="55"/>
  <c r="B6" i="55"/>
  <c r="O5" i="55"/>
  <c r="L5" i="55"/>
  <c r="B5" i="55"/>
  <c r="B4" i="55"/>
  <c r="W3" i="55"/>
  <c r="B3" i="55"/>
  <c r="W1" i="55"/>
  <c r="V1" i="55"/>
  <c r="N86" i="116"/>
  <c r="R82" i="115"/>
  <c r="N84" i="116"/>
  <c r="I82" i="116"/>
  <c r="D81" i="116"/>
  <c r="O73" i="8"/>
  <c r="D80" i="116"/>
  <c r="S79" i="116"/>
  <c r="I80" i="116"/>
  <c r="S77" i="116"/>
  <c r="S76" i="116"/>
  <c r="D76" i="116"/>
  <c r="I76" i="116"/>
  <c r="D75" i="116"/>
  <c r="S73" i="116"/>
  <c r="I74" i="116"/>
  <c r="S72" i="116"/>
  <c r="N74" i="116"/>
  <c r="I73" i="116"/>
  <c r="S71" i="116"/>
  <c r="N73" i="116"/>
  <c r="D71" i="116"/>
  <c r="I71" i="116"/>
  <c r="D70" i="116"/>
  <c r="S69" i="116"/>
  <c r="I70" i="116"/>
  <c r="D69" i="116"/>
  <c r="I69" i="116"/>
  <c r="D68" i="116"/>
  <c r="I68" i="116"/>
  <c r="D67" i="116"/>
  <c r="I67" i="116"/>
  <c r="D66" i="116"/>
  <c r="S65" i="116"/>
  <c r="N65" i="116"/>
  <c r="D65" i="116"/>
  <c r="S64" i="116"/>
  <c r="N64" i="116"/>
  <c r="I65" i="116"/>
  <c r="D64" i="116"/>
  <c r="S63" i="116"/>
  <c r="I64" i="116"/>
  <c r="D63" i="116"/>
  <c r="N62" i="116"/>
  <c r="I63" i="116"/>
  <c r="D62" i="116"/>
  <c r="I62" i="116"/>
  <c r="D61" i="116"/>
  <c r="I61" i="116"/>
  <c r="D60" i="116"/>
  <c r="S59" i="116"/>
  <c r="I60" i="116"/>
  <c r="D59" i="116"/>
  <c r="S58" i="116"/>
  <c r="I59" i="116"/>
  <c r="D58" i="116"/>
  <c r="S57" i="116"/>
  <c r="I58" i="116"/>
  <c r="D57" i="116"/>
  <c r="S56" i="116"/>
  <c r="D56" i="116"/>
  <c r="I56" i="116"/>
  <c r="D55" i="116"/>
  <c r="C7" i="115"/>
  <c r="B17" i="115"/>
  <c r="E20" i="115" s="1"/>
  <c r="I34" i="115"/>
  <c r="E29" i="115"/>
  <c r="G47" i="8"/>
  <c r="F21" i="8"/>
  <c r="C13" i="115"/>
  <c r="O34" i="8"/>
  <c r="C199" i="124" s="1"/>
  <c r="P21" i="8"/>
  <c r="N73" i="8"/>
  <c r="P34" i="8"/>
  <c r="Q21" i="8"/>
  <c r="L34" i="8"/>
  <c r="K34" i="8"/>
  <c r="J34" i="8"/>
  <c r="I34" i="8"/>
  <c r="H34" i="8"/>
  <c r="G34" i="8"/>
  <c r="F34" i="8"/>
  <c r="E34" i="8"/>
  <c r="D34" i="8"/>
  <c r="C34" i="8"/>
  <c r="B34" i="8"/>
  <c r="A34" i="8"/>
  <c r="F72" i="124" l="1"/>
  <c r="H41" i="110"/>
  <c r="O33" i="113"/>
  <c r="R77" i="124"/>
  <c r="P79" i="124"/>
  <c r="R79" i="124"/>
  <c r="P78" i="124"/>
  <c r="Q79" i="124"/>
  <c r="Q78" i="124"/>
  <c r="Q77" i="124"/>
  <c r="R78" i="124"/>
  <c r="P77" i="124"/>
  <c r="N32" i="113"/>
  <c r="O32" i="113"/>
  <c r="N34" i="113"/>
  <c r="N33" i="113"/>
  <c r="O34" i="113"/>
  <c r="AB47" i="124"/>
  <c r="AA49" i="124"/>
  <c r="P38" i="8"/>
  <c r="AB49" i="124"/>
  <c r="Z48" i="124"/>
  <c r="AA48" i="124"/>
  <c r="AB48" i="124"/>
  <c r="Z47" i="124"/>
  <c r="AA47" i="124"/>
  <c r="Z49" i="124"/>
  <c r="P37" i="8"/>
  <c r="U405" i="124"/>
  <c r="J7" i="54"/>
  <c r="A37" i="8"/>
  <c r="AB43" i="124"/>
  <c r="E37" i="8"/>
  <c r="M57" i="110"/>
  <c r="AB42" i="124"/>
  <c r="I37" i="8"/>
  <c r="X377" i="124"/>
  <c r="P36" i="8"/>
  <c r="A36" i="8"/>
  <c r="E36" i="8"/>
  <c r="I36" i="8"/>
  <c r="I128" i="124"/>
  <c r="I130" i="124"/>
  <c r="AB33" i="124"/>
  <c r="I129" i="124"/>
  <c r="N377" i="124"/>
  <c r="M189" i="124"/>
  <c r="AB32" i="124"/>
  <c r="G120" i="124"/>
  <c r="G124" i="124" s="1"/>
  <c r="AB34" i="124"/>
  <c r="H120" i="124"/>
  <c r="H130" i="124"/>
  <c r="F401" i="124" s="1"/>
  <c r="I120" i="124"/>
  <c r="N120" i="124" s="1"/>
  <c r="K405" i="124"/>
  <c r="H189" i="124"/>
  <c r="F405" i="124"/>
  <c r="I377" i="124"/>
  <c r="C110" i="124"/>
  <c r="AG154" i="124" s="1"/>
  <c r="B110" i="124"/>
  <c r="AF154" i="124" s="1"/>
  <c r="C249" i="124"/>
  <c r="C37" i="124" s="1"/>
  <c r="Z23" i="124"/>
  <c r="A210" i="124"/>
  <c r="A405" i="124"/>
  <c r="A393" i="124" s="1"/>
  <c r="C250" i="124"/>
  <c r="C38" i="124" s="1"/>
  <c r="C251" i="124"/>
  <c r="C39" i="124" s="1"/>
  <c r="AA23" i="124"/>
  <c r="B210" i="124"/>
  <c r="D253" i="124"/>
  <c r="C276" i="124" s="1"/>
  <c r="AB23" i="124"/>
  <c r="C210" i="124"/>
  <c r="C171" i="124"/>
  <c r="D171" i="124" s="1"/>
  <c r="Z22" i="124"/>
  <c r="C376" i="124"/>
  <c r="A249" i="124"/>
  <c r="A37" i="124" s="1"/>
  <c r="AA22" i="124"/>
  <c r="Z24" i="124"/>
  <c r="D185" i="124"/>
  <c r="D201" i="124"/>
  <c r="D200" i="124" s="1"/>
  <c r="C288" i="124"/>
  <c r="C377" i="124"/>
  <c r="A250" i="124"/>
  <c r="A38" i="124" s="1"/>
  <c r="A251" i="124"/>
  <c r="A39" i="124" s="1"/>
  <c r="AB22" i="124"/>
  <c r="AA24" i="124"/>
  <c r="A209" i="124"/>
  <c r="E129" i="124"/>
  <c r="B117" i="124"/>
  <c r="AC153" i="124"/>
  <c r="C328" i="124"/>
  <c r="C189" i="124"/>
  <c r="B249" i="124"/>
  <c r="B37" i="124" s="1"/>
  <c r="AB24" i="124"/>
  <c r="B209" i="124"/>
  <c r="E130" i="124"/>
  <c r="J130" i="124" s="1"/>
  <c r="O130" i="124" s="1"/>
  <c r="T130" i="124" s="1"/>
  <c r="Y130" i="124" s="1"/>
  <c r="C117" i="124"/>
  <c r="AD153" i="124"/>
  <c r="B250" i="124"/>
  <c r="B38" i="124" s="1"/>
  <c r="B251" i="124"/>
  <c r="B39" i="124" s="1"/>
  <c r="C13" i="116"/>
  <c r="C209" i="124"/>
  <c r="D117" i="124"/>
  <c r="AE153" i="124"/>
  <c r="C317" i="124"/>
  <c r="H317" i="124" s="1"/>
  <c r="M317" i="124" s="1"/>
  <c r="R317" i="124" s="1"/>
  <c r="W317" i="124" s="1"/>
  <c r="C339" i="124"/>
  <c r="AB18" i="124"/>
  <c r="Z17" i="124"/>
  <c r="AA17" i="124"/>
  <c r="Z19" i="124"/>
  <c r="AB17" i="124"/>
  <c r="AA19" i="124"/>
  <c r="AC152" i="124"/>
  <c r="Z152" i="124"/>
  <c r="AB19" i="124"/>
  <c r="AD152" i="124"/>
  <c r="AA152" i="124"/>
  <c r="AE152" i="124"/>
  <c r="AB152" i="124"/>
  <c r="Z18" i="124"/>
  <c r="AA18" i="124"/>
  <c r="AA13" i="124"/>
  <c r="AB13" i="124"/>
  <c r="Z12" i="124"/>
  <c r="AA12" i="124"/>
  <c r="Z14" i="124"/>
  <c r="AB12" i="124"/>
  <c r="AA14" i="124"/>
  <c r="AC151" i="124"/>
  <c r="Z151" i="124"/>
  <c r="AB14" i="124"/>
  <c r="AD151" i="124"/>
  <c r="AA151" i="124"/>
  <c r="AE151" i="124"/>
  <c r="AB151" i="124"/>
  <c r="Z13" i="124"/>
  <c r="Z8" i="124"/>
  <c r="AA8" i="124"/>
  <c r="AB8" i="124"/>
  <c r="A32" i="124"/>
  <c r="Z7" i="124"/>
  <c r="AA7" i="124"/>
  <c r="Z9" i="124"/>
  <c r="C32" i="124"/>
  <c r="B33" i="124"/>
  <c r="A34" i="124"/>
  <c r="AB7" i="124"/>
  <c r="AA9" i="124"/>
  <c r="AC150" i="124"/>
  <c r="Z150" i="124"/>
  <c r="AB9" i="124"/>
  <c r="AD150" i="124"/>
  <c r="AA150" i="124"/>
  <c r="AE150" i="124"/>
  <c r="AB150" i="124"/>
  <c r="AA2" i="124"/>
  <c r="Z4" i="124"/>
  <c r="AB2" i="124"/>
  <c r="AA4" i="124"/>
  <c r="AC149" i="124"/>
  <c r="Z149" i="124"/>
  <c r="AB4" i="124"/>
  <c r="AD149" i="124"/>
  <c r="AA149" i="124"/>
  <c r="AE149" i="124"/>
  <c r="AB149" i="124"/>
  <c r="Z3" i="124"/>
  <c r="AB1" i="124"/>
  <c r="Z1" i="124" s="1"/>
  <c r="AA3" i="124"/>
  <c r="AB3" i="124"/>
  <c r="Z2" i="124"/>
  <c r="I7" i="54"/>
  <c r="K7" i="54"/>
  <c r="C34" i="124"/>
  <c r="E23" i="115"/>
  <c r="K6" i="54"/>
  <c r="W189" i="124"/>
  <c r="H38" i="110"/>
  <c r="J6" i="54"/>
  <c r="H20" i="113"/>
  <c r="I6" i="54"/>
  <c r="H6" i="54"/>
  <c r="G7" i="54"/>
  <c r="G6" i="54"/>
  <c r="A38" i="8"/>
  <c r="U138" i="124"/>
  <c r="E38" i="8"/>
  <c r="U139" i="124"/>
  <c r="I38" i="8"/>
  <c r="U140" i="124"/>
  <c r="C205" i="124"/>
  <c r="B205" i="124"/>
  <c r="B32" i="124"/>
  <c r="A33" i="124"/>
  <c r="A204" i="124"/>
  <c r="B204" i="124"/>
  <c r="A206" i="124"/>
  <c r="C204" i="124"/>
  <c r="B206" i="124"/>
  <c r="C206" i="124"/>
  <c r="E128" i="124"/>
  <c r="F7" i="54"/>
  <c r="F6" i="54"/>
  <c r="A205" i="124"/>
  <c r="E7" i="54"/>
  <c r="E6" i="54"/>
  <c r="D7" i="54"/>
  <c r="D6" i="54"/>
  <c r="AH151" i="124"/>
  <c r="C7" i="54"/>
  <c r="C6" i="54"/>
  <c r="AG150" i="124"/>
  <c r="B7" i="54"/>
  <c r="B6" i="54"/>
  <c r="AF149" i="124"/>
  <c r="E28" i="110"/>
  <c r="E28" i="113"/>
  <c r="E35" i="8"/>
  <c r="P28" i="114" s="1"/>
  <c r="F139" i="124"/>
  <c r="L28" i="124" s="1"/>
  <c r="I35" i="8"/>
  <c r="N29" i="114" s="1"/>
  <c r="F140" i="124"/>
  <c r="M29" i="124" s="1"/>
  <c r="A35" i="8"/>
  <c r="F138" i="124"/>
  <c r="L27" i="124" s="1"/>
  <c r="P35" i="8"/>
  <c r="T23" i="114" s="1"/>
  <c r="E28" i="114"/>
  <c r="E28" i="115"/>
  <c r="M170" i="124"/>
  <c r="H170" i="124"/>
  <c r="W170" i="124"/>
  <c r="C170" i="124"/>
  <c r="R170" i="124"/>
  <c r="AH153" i="124"/>
  <c r="C69" i="124"/>
  <c r="C67" i="124"/>
  <c r="C68" i="124"/>
  <c r="C158" i="124"/>
  <c r="C319" i="124"/>
  <c r="C301" i="124" s="1"/>
  <c r="A482" i="124" s="1"/>
  <c r="D184" i="124"/>
  <c r="Z153" i="124"/>
  <c r="B107" i="124"/>
  <c r="AA153" i="124"/>
  <c r="C107" i="124"/>
  <c r="AG153" i="124"/>
  <c r="D162" i="124"/>
  <c r="D161" i="124" s="1"/>
  <c r="C161" i="124" s="1"/>
  <c r="Z84" i="124"/>
  <c r="B69" i="124"/>
  <c r="B67" i="124"/>
  <c r="B68" i="124"/>
  <c r="C168" i="124"/>
  <c r="AB153" i="124"/>
  <c r="D107" i="124"/>
  <c r="C359" i="124"/>
  <c r="O72" i="8"/>
  <c r="H41" i="113" s="1"/>
  <c r="C310" i="124"/>
  <c r="AG152" i="124"/>
  <c r="L79" i="124"/>
  <c r="M78" i="124"/>
  <c r="K79" i="124"/>
  <c r="L78" i="124"/>
  <c r="M77" i="124"/>
  <c r="K78" i="124"/>
  <c r="L77" i="124"/>
  <c r="M79" i="124"/>
  <c r="K77" i="124"/>
  <c r="AF152" i="124"/>
  <c r="AH152" i="124"/>
  <c r="A18" i="124"/>
  <c r="A19" i="124"/>
  <c r="A17" i="124"/>
  <c r="G34" i="124"/>
  <c r="L34" i="124"/>
  <c r="C33" i="124"/>
  <c r="B34" i="124"/>
  <c r="K32" i="124"/>
  <c r="F32" i="124"/>
  <c r="H34" i="124"/>
  <c r="M34" i="124"/>
  <c r="H33" i="124"/>
  <c r="M33" i="124"/>
  <c r="G32" i="124"/>
  <c r="L32" i="124"/>
  <c r="K33" i="124"/>
  <c r="F33" i="124"/>
  <c r="G79" i="124"/>
  <c r="G78" i="124"/>
  <c r="G77" i="124"/>
  <c r="F79" i="124"/>
  <c r="F78" i="124"/>
  <c r="F77" i="124"/>
  <c r="H79" i="124"/>
  <c r="H78" i="124"/>
  <c r="H77" i="124"/>
  <c r="AG151" i="124"/>
  <c r="AF151" i="124"/>
  <c r="H32" i="124"/>
  <c r="M32" i="124"/>
  <c r="G33" i="124"/>
  <c r="L33" i="124"/>
  <c r="K34" i="124"/>
  <c r="F34" i="124"/>
  <c r="C73" i="124"/>
  <c r="B72" i="124"/>
  <c r="C74" i="124"/>
  <c r="B73" i="124"/>
  <c r="A72" i="124"/>
  <c r="A74" i="124"/>
  <c r="C72" i="124"/>
  <c r="B74" i="124"/>
  <c r="A73" i="124"/>
  <c r="AF150" i="124"/>
  <c r="F28" i="124"/>
  <c r="H28" i="124"/>
  <c r="G28" i="124"/>
  <c r="F29" i="124"/>
  <c r="H29" i="124"/>
  <c r="G29" i="124"/>
  <c r="C79" i="124"/>
  <c r="B78" i="124"/>
  <c r="A77" i="124"/>
  <c r="B79" i="124"/>
  <c r="A78" i="124"/>
  <c r="A79" i="124"/>
  <c r="C77" i="124"/>
  <c r="C78" i="124"/>
  <c r="B77" i="124"/>
  <c r="AH150" i="124"/>
  <c r="A28" i="124"/>
  <c r="C28" i="124"/>
  <c r="B28" i="124"/>
  <c r="B29" i="124"/>
  <c r="A29" i="124"/>
  <c r="C29" i="124"/>
  <c r="AH149" i="124"/>
  <c r="AG149" i="124"/>
  <c r="R189" i="124"/>
  <c r="AB37" i="124"/>
  <c r="AB39" i="124"/>
  <c r="P405" i="124"/>
  <c r="S377" i="124"/>
  <c r="I110" i="124"/>
  <c r="AH155" i="124" s="1"/>
  <c r="V110" i="124"/>
  <c r="Q110" i="124"/>
  <c r="N110" i="124"/>
  <c r="X110" i="124"/>
  <c r="G110" i="124"/>
  <c r="H110" i="124"/>
  <c r="W110" i="124"/>
  <c r="S110" i="124"/>
  <c r="L110" i="124"/>
  <c r="M110" i="124"/>
  <c r="R110" i="124"/>
  <c r="I20" i="115"/>
  <c r="AA43" i="124"/>
  <c r="AA44" i="124"/>
  <c r="Z44" i="124"/>
  <c r="AB44" i="124"/>
  <c r="AA42" i="124"/>
  <c r="Z43" i="124"/>
  <c r="Z42" i="124"/>
  <c r="AA38" i="124"/>
  <c r="AA39" i="124"/>
  <c r="AB38" i="124"/>
  <c r="Z37" i="124"/>
  <c r="AA37" i="124"/>
  <c r="Z38" i="124"/>
  <c r="Z39" i="124"/>
  <c r="Z32" i="124"/>
  <c r="AA33" i="124"/>
  <c r="AA34" i="124"/>
  <c r="AA32" i="124"/>
  <c r="Z33" i="124"/>
  <c r="Z34" i="124"/>
  <c r="Z27" i="124"/>
  <c r="AA27" i="124"/>
  <c r="Z28" i="124"/>
  <c r="Z29" i="124"/>
  <c r="AB27" i="124"/>
  <c r="AA28" i="124"/>
  <c r="AA29" i="124"/>
  <c r="AB28" i="124"/>
  <c r="AB29" i="124"/>
  <c r="I11" i="110"/>
  <c r="I10" i="110" s="1"/>
  <c r="H10" i="110" s="1"/>
  <c r="I11" i="113"/>
  <c r="I10" i="113" s="1"/>
  <c r="H10" i="113" s="1"/>
  <c r="I11" i="114"/>
  <c r="I10" i="114" s="1"/>
  <c r="H10" i="114" s="1"/>
  <c r="R64" i="116"/>
  <c r="M58" i="116"/>
  <c r="I11" i="115"/>
  <c r="I10" i="115" s="1"/>
  <c r="H10" i="115" s="1"/>
  <c r="H7" i="110"/>
  <c r="M58" i="110"/>
  <c r="R64" i="110"/>
  <c r="H7" i="113"/>
  <c r="M58" i="113"/>
  <c r="R64" i="113"/>
  <c r="R64" i="114"/>
  <c r="M58" i="114"/>
  <c r="H7" i="115"/>
  <c r="R64" i="115"/>
  <c r="M58" i="115"/>
  <c r="N83" i="110"/>
  <c r="O77" i="8"/>
  <c r="T18" i="116"/>
  <c r="T19" i="116"/>
  <c r="T17" i="116"/>
  <c r="S18" i="116"/>
  <c r="S19" i="116"/>
  <c r="S17" i="116"/>
  <c r="N18" i="116"/>
  <c r="N17" i="116"/>
  <c r="N19" i="116"/>
  <c r="N32" i="116"/>
  <c r="O32" i="116"/>
  <c r="N33" i="116"/>
  <c r="T29" i="116"/>
  <c r="R27" i="116"/>
  <c r="S29" i="116"/>
  <c r="R29" i="116"/>
  <c r="T28" i="116"/>
  <c r="S28" i="116"/>
  <c r="R28" i="116"/>
  <c r="T27" i="116"/>
  <c r="S27" i="116"/>
  <c r="P32" i="116"/>
  <c r="O33" i="116"/>
  <c r="N34" i="116"/>
  <c r="P33" i="116"/>
  <c r="O34" i="116"/>
  <c r="P34" i="116"/>
  <c r="O28" i="116"/>
  <c r="P28" i="116"/>
  <c r="N28" i="116"/>
  <c r="O29" i="116"/>
  <c r="P29" i="116"/>
  <c r="N29" i="116"/>
  <c r="N32" i="110"/>
  <c r="N32" i="114"/>
  <c r="N32" i="115"/>
  <c r="N28" i="115"/>
  <c r="P28" i="115"/>
  <c r="O28" i="115"/>
  <c r="O32" i="110"/>
  <c r="O32" i="114"/>
  <c r="O32" i="115"/>
  <c r="N33" i="114"/>
  <c r="N33" i="115"/>
  <c r="N33" i="110"/>
  <c r="P29" i="115"/>
  <c r="O29" i="115"/>
  <c r="N29" i="115"/>
  <c r="T28" i="110"/>
  <c r="R29" i="113"/>
  <c r="S29" i="114"/>
  <c r="T29" i="115"/>
  <c r="R27" i="115"/>
  <c r="S28" i="110"/>
  <c r="T28" i="113"/>
  <c r="R29" i="114"/>
  <c r="S29" i="115"/>
  <c r="R28" i="110"/>
  <c r="S28" i="113"/>
  <c r="T28" i="114"/>
  <c r="R29" i="115"/>
  <c r="T27" i="110"/>
  <c r="R28" i="113"/>
  <c r="S28" i="114"/>
  <c r="T28" i="115"/>
  <c r="S27" i="110"/>
  <c r="T27" i="113"/>
  <c r="R28" i="114"/>
  <c r="S28" i="115"/>
  <c r="T29" i="110"/>
  <c r="R27" i="110"/>
  <c r="S27" i="113"/>
  <c r="T27" i="114"/>
  <c r="R28" i="115"/>
  <c r="S29" i="110"/>
  <c r="T29" i="113"/>
  <c r="R27" i="113"/>
  <c r="S27" i="114"/>
  <c r="T27" i="115"/>
  <c r="R29" i="110"/>
  <c r="S29" i="113"/>
  <c r="T29" i="114"/>
  <c r="R27" i="114"/>
  <c r="S27" i="115"/>
  <c r="N34" i="110"/>
  <c r="N34" i="114"/>
  <c r="N34" i="115"/>
  <c r="O33" i="114"/>
  <c r="O33" i="115"/>
  <c r="O33" i="110"/>
  <c r="P33" i="115"/>
  <c r="P33" i="110"/>
  <c r="P33" i="113"/>
  <c r="P33" i="114"/>
  <c r="O34" i="110"/>
  <c r="O34" i="114"/>
  <c r="O34" i="115"/>
  <c r="P32" i="110"/>
  <c r="P32" i="113"/>
  <c r="P32" i="114"/>
  <c r="P32" i="115"/>
  <c r="P34" i="110"/>
  <c r="P34" i="113"/>
  <c r="P34" i="114"/>
  <c r="P34" i="115"/>
  <c r="R23" i="116"/>
  <c r="T22" i="116"/>
  <c r="S22" i="116"/>
  <c r="T24" i="116"/>
  <c r="R22" i="116"/>
  <c r="S24" i="116"/>
  <c r="R24" i="116"/>
  <c r="T23" i="116"/>
  <c r="S23" i="116"/>
  <c r="T22" i="115"/>
  <c r="S22" i="115"/>
  <c r="T24" i="115"/>
  <c r="R22" i="115"/>
  <c r="S24" i="115"/>
  <c r="R24" i="115"/>
  <c r="T23" i="115"/>
  <c r="S23" i="115"/>
  <c r="R23" i="115"/>
  <c r="B10" i="114"/>
  <c r="B10" i="115"/>
  <c r="C10" i="115"/>
  <c r="D10" i="110"/>
  <c r="D10" i="115"/>
  <c r="C10" i="110"/>
  <c r="B10" i="110"/>
  <c r="C10" i="114"/>
  <c r="D10" i="114"/>
  <c r="F22" i="8"/>
  <c r="H19" i="114"/>
  <c r="B10" i="113"/>
  <c r="C10" i="113"/>
  <c r="D10" i="113"/>
  <c r="Q35" i="8"/>
  <c r="I25" i="54" s="1"/>
  <c r="AH126" i="9"/>
  <c r="AI126" i="9" s="1"/>
  <c r="D85" i="8"/>
  <c r="F85" i="8"/>
  <c r="A85" i="8"/>
  <c r="C85" i="8"/>
  <c r="F23" i="54"/>
  <c r="F2" i="54"/>
  <c r="E85" i="8"/>
  <c r="B85" i="8"/>
  <c r="H85" i="8"/>
  <c r="I85" i="8"/>
  <c r="E84" i="8"/>
  <c r="B84" i="8"/>
  <c r="H84" i="8"/>
  <c r="D84" i="8"/>
  <c r="F84" i="8"/>
  <c r="A84" i="8"/>
  <c r="C84" i="8"/>
  <c r="I84" i="8"/>
  <c r="G84" i="8"/>
  <c r="D83" i="8"/>
  <c r="F83" i="8"/>
  <c r="A83" i="8"/>
  <c r="C83" i="8"/>
  <c r="G83" i="8"/>
  <c r="H83" i="8"/>
  <c r="I83" i="8"/>
  <c r="E83" i="8"/>
  <c r="B83" i="8"/>
  <c r="E82" i="8"/>
  <c r="B82" i="8"/>
  <c r="G82" i="8"/>
  <c r="I82" i="8"/>
  <c r="H82" i="8"/>
  <c r="D82" i="8"/>
  <c r="F82" i="8"/>
  <c r="A82" i="8"/>
  <c r="C82" i="8"/>
  <c r="E81" i="8"/>
  <c r="B81" i="8"/>
  <c r="G81" i="8"/>
  <c r="H81" i="8"/>
  <c r="I81" i="8"/>
  <c r="D81" i="8"/>
  <c r="F81" i="8"/>
  <c r="A81" i="8"/>
  <c r="C81" i="8"/>
  <c r="D17" i="54"/>
  <c r="N66" i="110"/>
  <c r="N66" i="113"/>
  <c r="N66" i="114"/>
  <c r="N66" i="115"/>
  <c r="B7" i="110"/>
  <c r="C7" i="110"/>
  <c r="C7" i="113"/>
  <c r="B7" i="113"/>
  <c r="D7" i="113"/>
  <c r="B7" i="114"/>
  <c r="D7" i="114"/>
  <c r="C7" i="114"/>
  <c r="D7" i="115"/>
  <c r="J16" i="54"/>
  <c r="K16" i="54"/>
  <c r="I16" i="54"/>
  <c r="G16" i="54"/>
  <c r="H16" i="54"/>
  <c r="N75" i="116"/>
  <c r="L73" i="8"/>
  <c r="K73" i="8"/>
  <c r="N78" i="116"/>
  <c r="M73" i="8"/>
  <c r="L70" i="8"/>
  <c r="K70" i="8"/>
  <c r="H38" i="116"/>
  <c r="J47" i="116"/>
  <c r="N37" i="116" s="1"/>
  <c r="K47" i="116"/>
  <c r="O37" i="116" s="1"/>
  <c r="L47" i="116"/>
  <c r="P37" i="116" s="1"/>
  <c r="H19" i="116"/>
  <c r="K7" i="116"/>
  <c r="J8" i="116"/>
  <c r="L8" i="116"/>
  <c r="E30" i="116"/>
  <c r="I34" i="116"/>
  <c r="AJ24" i="116"/>
  <c r="I50" i="116"/>
  <c r="C7" i="116"/>
  <c r="H58" i="116"/>
  <c r="R82" i="116"/>
  <c r="M57" i="114"/>
  <c r="N75" i="115"/>
  <c r="L74" i="8"/>
  <c r="K74" i="8"/>
  <c r="N78" i="115"/>
  <c r="M74" i="8"/>
  <c r="N75" i="113"/>
  <c r="L76" i="8"/>
  <c r="K76" i="8"/>
  <c r="N78" i="113"/>
  <c r="M76" i="8"/>
  <c r="L69" i="8"/>
  <c r="K69" i="8"/>
  <c r="L71" i="8"/>
  <c r="K71" i="8"/>
  <c r="J48" i="116"/>
  <c r="N38" i="116" s="1"/>
  <c r="K48" i="116"/>
  <c r="O38" i="116" s="1"/>
  <c r="L48" i="116"/>
  <c r="P38" i="116" s="1"/>
  <c r="J49" i="116"/>
  <c r="N39" i="116" s="1"/>
  <c r="K49" i="116"/>
  <c r="O39" i="116" s="1"/>
  <c r="L49" i="116"/>
  <c r="P39" i="116" s="1"/>
  <c r="H20" i="116"/>
  <c r="I20" i="116" s="1"/>
  <c r="J7" i="116"/>
  <c r="L7" i="116"/>
  <c r="K8" i="116"/>
  <c r="B7" i="116"/>
  <c r="D7" i="116"/>
  <c r="M57" i="116"/>
  <c r="L72" i="8"/>
  <c r="K72" i="8"/>
  <c r="M78" i="116"/>
  <c r="M72" i="8"/>
  <c r="R81" i="116"/>
  <c r="M57" i="113"/>
  <c r="N75" i="114"/>
  <c r="L75" i="8"/>
  <c r="K75" i="8"/>
  <c r="N78" i="114"/>
  <c r="M75" i="8"/>
  <c r="N75" i="110"/>
  <c r="L77" i="8"/>
  <c r="K77" i="8"/>
  <c r="N78" i="110"/>
  <c r="M77" i="8"/>
  <c r="M57" i="115"/>
  <c r="E28" i="116"/>
  <c r="AJ26" i="116" s="1"/>
  <c r="E29" i="116"/>
  <c r="S13" i="116" s="1"/>
  <c r="L33" i="57"/>
  <c r="L35" i="57" s="1"/>
  <c r="O11" i="56"/>
  <c r="X31" i="57"/>
  <c r="N44" i="56"/>
  <c r="I33" i="113"/>
  <c r="R20" i="57"/>
  <c r="X27" i="57"/>
  <c r="I33" i="115"/>
  <c r="R27" i="57"/>
  <c r="S66" i="110"/>
  <c r="I11" i="116"/>
  <c r="I10" i="116" s="1"/>
  <c r="H10" i="116" s="1"/>
  <c r="I33" i="114"/>
  <c r="O29" i="56"/>
  <c r="X19" i="57"/>
  <c r="X24" i="116"/>
  <c r="X24" i="110"/>
  <c r="X24" i="113"/>
  <c r="X24" i="115"/>
  <c r="X24" i="114"/>
  <c r="U16" i="8"/>
  <c r="C17" i="116"/>
  <c r="M56" i="116"/>
  <c r="H80" i="116"/>
  <c r="X13" i="57"/>
  <c r="L24" i="57"/>
  <c r="L27" i="57" s="1"/>
  <c r="F27" i="57" s="1"/>
  <c r="V23" i="116"/>
  <c r="V23" i="110"/>
  <c r="V23" i="113"/>
  <c r="V23" i="115"/>
  <c r="V23" i="114"/>
  <c r="W23" i="110"/>
  <c r="W23" i="113"/>
  <c r="W23" i="115"/>
  <c r="W23" i="116"/>
  <c r="W23" i="114"/>
  <c r="H7" i="116"/>
  <c r="F1" i="9"/>
  <c r="F8" i="9" s="1"/>
  <c r="D52" i="116"/>
  <c r="X23" i="113"/>
  <c r="X23" i="115"/>
  <c r="X23" i="116"/>
  <c r="X23" i="114"/>
  <c r="X23" i="110"/>
  <c r="I33" i="110"/>
  <c r="V22" i="116"/>
  <c r="V22" i="114"/>
  <c r="V22" i="110"/>
  <c r="V22" i="113"/>
  <c r="V22" i="115"/>
  <c r="B10" i="116"/>
  <c r="D10" i="116"/>
  <c r="C10" i="116"/>
  <c r="R12" i="57"/>
  <c r="W22" i="116"/>
  <c r="W22" i="114"/>
  <c r="W22" i="110"/>
  <c r="W22" i="113"/>
  <c r="W22" i="115"/>
  <c r="V24" i="114"/>
  <c r="V24" i="116"/>
  <c r="V24" i="110"/>
  <c r="V24" i="113"/>
  <c r="V24" i="115"/>
  <c r="U26" i="8"/>
  <c r="D17" i="116"/>
  <c r="X22" i="114"/>
  <c r="X22" i="110"/>
  <c r="X22" i="113"/>
  <c r="X22" i="115"/>
  <c r="X22" i="116"/>
  <c r="W24" i="114"/>
  <c r="W24" i="116"/>
  <c r="W24" i="110"/>
  <c r="W24" i="113"/>
  <c r="W24" i="115"/>
  <c r="I33" i="116"/>
  <c r="B17" i="116"/>
  <c r="AH134" i="9"/>
  <c r="AH132" i="9"/>
  <c r="AH129" i="9"/>
  <c r="AH127" i="9"/>
  <c r="AH131" i="9"/>
  <c r="AH133" i="9"/>
  <c r="AH130" i="9"/>
  <c r="AH128" i="9"/>
  <c r="D50" i="8"/>
  <c r="U20" i="8"/>
  <c r="C17" i="110"/>
  <c r="AH108" i="9"/>
  <c r="AH106" i="9"/>
  <c r="AH104" i="9"/>
  <c r="AH102" i="9"/>
  <c r="AH101" i="9"/>
  <c r="AH109" i="9"/>
  <c r="AH107" i="9"/>
  <c r="AH105" i="9"/>
  <c r="AH103" i="9"/>
  <c r="A50" i="8"/>
  <c r="U10" i="8"/>
  <c r="B17" i="110"/>
  <c r="U30" i="8"/>
  <c r="D17" i="110"/>
  <c r="D49" i="8"/>
  <c r="U19" i="8"/>
  <c r="C17" i="113"/>
  <c r="AH84" i="9"/>
  <c r="AH81" i="9"/>
  <c r="AH79" i="9"/>
  <c r="AH77" i="9"/>
  <c r="AH83" i="9"/>
  <c r="AH80" i="9"/>
  <c r="AH76" i="9"/>
  <c r="H38" i="113"/>
  <c r="AH82" i="9"/>
  <c r="AH78" i="9"/>
  <c r="A49" i="8"/>
  <c r="U9" i="8"/>
  <c r="B17" i="113"/>
  <c r="U29" i="8"/>
  <c r="D17" i="113"/>
  <c r="D48" i="8"/>
  <c r="U18" i="8"/>
  <c r="C17" i="114"/>
  <c r="AH59" i="9"/>
  <c r="AH54" i="9"/>
  <c r="AH53" i="9"/>
  <c r="AH52" i="9"/>
  <c r="AH51" i="9"/>
  <c r="AH58" i="9"/>
  <c r="AH57" i="9"/>
  <c r="AH56" i="9"/>
  <c r="AH55" i="9"/>
  <c r="H38" i="114"/>
  <c r="A48" i="8"/>
  <c r="U8" i="8"/>
  <c r="B17" i="114"/>
  <c r="E20" i="114" s="1"/>
  <c r="U28" i="8"/>
  <c r="D17" i="114"/>
  <c r="D47" i="8"/>
  <c r="U17" i="8"/>
  <c r="C17" i="115"/>
  <c r="E21" i="115" s="1"/>
  <c r="A47" i="8"/>
  <c r="U27" i="8"/>
  <c r="D17" i="115"/>
  <c r="E22" i="115" s="1"/>
  <c r="AH34" i="9"/>
  <c r="AH32" i="9"/>
  <c r="AH30" i="9"/>
  <c r="AH28" i="9"/>
  <c r="AH26" i="9"/>
  <c r="AH33" i="9"/>
  <c r="AH31" i="9"/>
  <c r="AH29" i="9"/>
  <c r="AH27" i="9"/>
  <c r="H38" i="115"/>
  <c r="M29" i="56"/>
  <c r="N11" i="56"/>
  <c r="A45" i="8"/>
  <c r="G45" i="8"/>
  <c r="N29" i="56"/>
  <c r="R35" i="57"/>
  <c r="F20" i="8"/>
  <c r="E21" i="9"/>
  <c r="D21" i="9"/>
  <c r="C21" i="9"/>
  <c r="G26" i="56"/>
  <c r="B21" i="9"/>
  <c r="A30" i="8"/>
  <c r="N77" i="110"/>
  <c r="W42" i="116"/>
  <c r="V43" i="116"/>
  <c r="X43" i="116"/>
  <c r="V44" i="116"/>
  <c r="X44" i="116"/>
  <c r="I66" i="113"/>
  <c r="V42" i="116"/>
  <c r="X42" i="116"/>
  <c r="W43" i="116"/>
  <c r="W44" i="116"/>
  <c r="N57" i="113"/>
  <c r="N58" i="113"/>
  <c r="N83" i="113"/>
  <c r="N57" i="114"/>
  <c r="N58" i="114"/>
  <c r="N83" i="114"/>
  <c r="I66" i="114"/>
  <c r="O61" i="8"/>
  <c r="N57" i="115"/>
  <c r="N58" i="115"/>
  <c r="N83" i="115"/>
  <c r="I66" i="115"/>
  <c r="N57" i="116"/>
  <c r="N58" i="116"/>
  <c r="N83" i="116"/>
  <c r="O60" i="8"/>
  <c r="I66" i="116"/>
  <c r="S60" i="110"/>
  <c r="N85" i="110"/>
  <c r="N24" i="8"/>
  <c r="O24" i="8"/>
  <c r="N23" i="8"/>
  <c r="O23" i="8"/>
  <c r="N22" i="8"/>
  <c r="O22" i="8"/>
  <c r="H7" i="114"/>
  <c r="N68" i="115"/>
  <c r="N21" i="8"/>
  <c r="O21" i="8"/>
  <c r="N59" i="110"/>
  <c r="N68" i="110"/>
  <c r="S78" i="110"/>
  <c r="S74" i="110"/>
  <c r="I78" i="110"/>
  <c r="B23" i="8"/>
  <c r="Y31" i="8"/>
  <c r="Y11" i="8"/>
  <c r="O64" i="8"/>
  <c r="Y21" i="8"/>
  <c r="O63" i="8"/>
  <c r="Y30" i="8"/>
  <c r="Y20" i="8"/>
  <c r="Y10" i="8"/>
  <c r="O62" i="8"/>
  <c r="Y19" i="8"/>
  <c r="Y29" i="8"/>
  <c r="Y9" i="8"/>
  <c r="D58" i="115"/>
  <c r="B1" i="9"/>
  <c r="B8" i="9" s="1"/>
  <c r="I78" i="113"/>
  <c r="N68" i="113"/>
  <c r="S78" i="114"/>
  <c r="N77" i="114"/>
  <c r="I78" i="114"/>
  <c r="S66" i="115"/>
  <c r="S66" i="116"/>
  <c r="N77" i="116"/>
  <c r="S78" i="113"/>
  <c r="S74" i="113"/>
  <c r="N77" i="113"/>
  <c r="S60" i="113"/>
  <c r="S66" i="113"/>
  <c r="S60" i="114"/>
  <c r="N68" i="114"/>
  <c r="S66" i="114"/>
  <c r="S74" i="114"/>
  <c r="S78" i="115"/>
  <c r="S60" i="115"/>
  <c r="S59" i="115"/>
  <c r="I68" i="115"/>
  <c r="N77" i="115"/>
  <c r="N73" i="115"/>
  <c r="N86" i="115"/>
  <c r="S74" i="115"/>
  <c r="I78" i="115"/>
  <c r="S78" i="116"/>
  <c r="N66" i="116"/>
  <c r="S74" i="116"/>
  <c r="S70" i="116"/>
  <c r="S60" i="116"/>
  <c r="N68" i="116"/>
  <c r="N63" i="116"/>
  <c r="I77" i="116"/>
  <c r="N56" i="116"/>
  <c r="AJ24" i="110"/>
  <c r="AJ24" i="113"/>
  <c r="AJ24" i="115"/>
  <c r="L30" i="57"/>
  <c r="G11" i="56"/>
  <c r="G15" i="56" s="1"/>
  <c r="N28" i="56"/>
  <c r="N43" i="56"/>
  <c r="G8" i="56"/>
  <c r="G9" i="56" s="1"/>
  <c r="M28" i="56"/>
  <c r="O28" i="56"/>
  <c r="I78" i="116"/>
  <c r="H40" i="110"/>
  <c r="H40" i="113"/>
  <c r="H40" i="114"/>
  <c r="H40" i="115"/>
  <c r="O75" i="115" s="1"/>
  <c r="P22" i="120" l="1"/>
  <c r="M83" i="116"/>
  <c r="C169" i="124"/>
  <c r="C167" i="124"/>
  <c r="AK150" i="124"/>
  <c r="C128" i="124"/>
  <c r="B128" i="124"/>
  <c r="C192" i="124"/>
  <c r="C345" i="124" s="1"/>
  <c r="AJ149" i="124"/>
  <c r="B129" i="124"/>
  <c r="C129" i="124"/>
  <c r="N130" i="124"/>
  <c r="AJ150" i="124"/>
  <c r="AI149" i="124"/>
  <c r="C354" i="124"/>
  <c r="AB6" i="124"/>
  <c r="Z6" i="124" s="1"/>
  <c r="I253" i="124"/>
  <c r="H192" i="124" s="1"/>
  <c r="H364" i="124" s="1"/>
  <c r="N129" i="124"/>
  <c r="N128" i="124"/>
  <c r="J128" i="124"/>
  <c r="J129" i="124"/>
  <c r="A63" i="124"/>
  <c r="B63" i="124"/>
  <c r="C63" i="124"/>
  <c r="AK149" i="124"/>
  <c r="C303" i="124"/>
  <c r="C358" i="124" s="1"/>
  <c r="H376" i="124"/>
  <c r="M376" i="124" s="1"/>
  <c r="R376" i="124" s="1"/>
  <c r="W376" i="124" s="1"/>
  <c r="H339" i="124"/>
  <c r="M339" i="124" s="1"/>
  <c r="R339" i="124" s="1"/>
  <c r="W339" i="124" s="1"/>
  <c r="H377" i="124"/>
  <c r="M377" i="124" s="1"/>
  <c r="R377" i="124" s="1"/>
  <c r="W377" i="124" s="1"/>
  <c r="Z317" i="124"/>
  <c r="M59" i="116"/>
  <c r="AJ151" i="124"/>
  <c r="AC1" i="124"/>
  <c r="AI151" i="124"/>
  <c r="AI150" i="124"/>
  <c r="I24" i="116"/>
  <c r="H24" i="116" s="1"/>
  <c r="I24" i="110"/>
  <c r="H24" i="110" s="1"/>
  <c r="I24" i="113"/>
  <c r="H24" i="113" s="1"/>
  <c r="I24" i="114"/>
  <c r="I24" i="115"/>
  <c r="H24" i="115" s="1"/>
  <c r="AI152" i="124"/>
  <c r="M130" i="124"/>
  <c r="K401" i="124" s="1"/>
  <c r="M120" i="124"/>
  <c r="R22" i="114"/>
  <c r="T22" i="113"/>
  <c r="AJ153" i="124"/>
  <c r="AK153" i="124"/>
  <c r="AI153" i="124"/>
  <c r="H328" i="124"/>
  <c r="H303" i="124" s="1"/>
  <c r="C374" i="124"/>
  <c r="W72" i="124"/>
  <c r="P74" i="124"/>
  <c r="Q74" i="124"/>
  <c r="P72" i="124"/>
  <c r="R74" i="124"/>
  <c r="Q72" i="124"/>
  <c r="P73" i="124"/>
  <c r="Q73" i="124"/>
  <c r="R72" i="124"/>
  <c r="R73" i="124"/>
  <c r="AJ152" i="124"/>
  <c r="P29" i="113"/>
  <c r="R22" i="113"/>
  <c r="R24" i="114"/>
  <c r="S22" i="113"/>
  <c r="T24" i="113"/>
  <c r="S24" i="114"/>
  <c r="R23" i="113"/>
  <c r="T24" i="114"/>
  <c r="S23" i="113"/>
  <c r="T22" i="114"/>
  <c r="S22" i="114"/>
  <c r="T23" i="113"/>
  <c r="R23" i="114"/>
  <c r="R24" i="113"/>
  <c r="S23" i="114"/>
  <c r="S24" i="113"/>
  <c r="N28" i="114"/>
  <c r="O28" i="114"/>
  <c r="AG155" i="124"/>
  <c r="AG156" i="124" s="1"/>
  <c r="AG157" i="124" s="1"/>
  <c r="AG158" i="124" s="1"/>
  <c r="AC21" i="124"/>
  <c r="AC16" i="124"/>
  <c r="AC11" i="124"/>
  <c r="L120" i="124"/>
  <c r="L124" i="124" s="1"/>
  <c r="H124" i="124"/>
  <c r="P29" i="110"/>
  <c r="R24" i="110"/>
  <c r="D37" i="124"/>
  <c r="AC6" i="124"/>
  <c r="AK152" i="124"/>
  <c r="N29" i="110"/>
  <c r="O29" i="110"/>
  <c r="O29" i="114"/>
  <c r="G73" i="124"/>
  <c r="N29" i="113"/>
  <c r="P29" i="114"/>
  <c r="O29" i="113"/>
  <c r="P27" i="113"/>
  <c r="O27" i="113"/>
  <c r="N28" i="110"/>
  <c r="H263" i="124"/>
  <c r="D196" i="124"/>
  <c r="C196" i="124" s="1"/>
  <c r="I201" i="124"/>
  <c r="I200" i="124" s="1"/>
  <c r="AC46" i="124"/>
  <c r="N28" i="113"/>
  <c r="O28" i="113"/>
  <c r="N27" i="114"/>
  <c r="O27" i="114"/>
  <c r="N27" i="113"/>
  <c r="P27" i="114"/>
  <c r="P27" i="110"/>
  <c r="N27" i="110"/>
  <c r="O27" i="110"/>
  <c r="X318" i="124"/>
  <c r="T23" i="110"/>
  <c r="P28" i="110"/>
  <c r="R22" i="110"/>
  <c r="S24" i="110"/>
  <c r="T24" i="110"/>
  <c r="S22" i="110"/>
  <c r="X359" i="124"/>
  <c r="T22" i="110"/>
  <c r="X319" i="124"/>
  <c r="R23" i="110"/>
  <c r="S23" i="110"/>
  <c r="P28" i="113"/>
  <c r="O28" i="110"/>
  <c r="N318" i="124"/>
  <c r="N359" i="124"/>
  <c r="I124" i="124"/>
  <c r="I359" i="124"/>
  <c r="I318" i="124"/>
  <c r="I319" i="124"/>
  <c r="C289" i="124"/>
  <c r="D310" i="124"/>
  <c r="D339" i="124"/>
  <c r="D377" i="124"/>
  <c r="D328" i="124"/>
  <c r="C312" i="124"/>
  <c r="D317" i="124"/>
  <c r="D288" i="124"/>
  <c r="H48" i="116"/>
  <c r="W25" i="120" s="1"/>
  <c r="D319" i="124"/>
  <c r="D318" i="124"/>
  <c r="D359" i="124"/>
  <c r="C372" i="124"/>
  <c r="D376" i="124"/>
  <c r="AK151" i="124"/>
  <c r="A27" i="124"/>
  <c r="E22" i="114"/>
  <c r="E22" i="113" s="1"/>
  <c r="K28" i="124"/>
  <c r="M28" i="124"/>
  <c r="K29" i="124"/>
  <c r="E117" i="124"/>
  <c r="E21" i="114"/>
  <c r="E21" i="113" s="1"/>
  <c r="E20" i="113"/>
  <c r="E23" i="114"/>
  <c r="L29" i="124"/>
  <c r="AJ93" i="110"/>
  <c r="K27" i="124"/>
  <c r="Y140" i="124"/>
  <c r="U397" i="124"/>
  <c r="U396" i="124"/>
  <c r="Y139" i="124"/>
  <c r="U395" i="124"/>
  <c r="W256" i="124"/>
  <c r="Y138" i="124"/>
  <c r="E118" i="124"/>
  <c r="I49" i="116"/>
  <c r="D168" i="124"/>
  <c r="H73" i="124"/>
  <c r="F74" i="124"/>
  <c r="M27" i="124"/>
  <c r="H74" i="124"/>
  <c r="G72" i="124"/>
  <c r="L73" i="124"/>
  <c r="H72" i="124"/>
  <c r="F73" i="124"/>
  <c r="G74" i="124"/>
  <c r="M74" i="124"/>
  <c r="K73" i="124"/>
  <c r="L74" i="124"/>
  <c r="M73" i="124"/>
  <c r="L72" i="124"/>
  <c r="K74" i="124"/>
  <c r="K72" i="124"/>
  <c r="M72" i="124"/>
  <c r="S120" i="124"/>
  <c r="N124" i="124"/>
  <c r="K140" i="124"/>
  <c r="J140" i="124"/>
  <c r="F397" i="124"/>
  <c r="R197" i="124"/>
  <c r="M263" i="124"/>
  <c r="K429" i="124" s="1"/>
  <c r="K139" i="124"/>
  <c r="F396" i="124"/>
  <c r="J139" i="124"/>
  <c r="K138" i="124"/>
  <c r="H256" i="124"/>
  <c r="F395" i="124"/>
  <c r="J138" i="124"/>
  <c r="H319" i="124"/>
  <c r="AJ93" i="115"/>
  <c r="D7" i="124"/>
  <c r="AF155" i="124"/>
  <c r="AF156" i="124" s="1"/>
  <c r="AF157" i="124" s="1"/>
  <c r="AF158" i="124" s="1"/>
  <c r="AH156" i="124"/>
  <c r="AH157" i="124" s="1"/>
  <c r="AH158" i="124" s="1"/>
  <c r="C366" i="124"/>
  <c r="C282" i="124"/>
  <c r="C269" i="124"/>
  <c r="C156" i="124"/>
  <c r="D157" i="124" s="1"/>
  <c r="C155" i="124"/>
  <c r="H158" i="124"/>
  <c r="C154" i="124"/>
  <c r="D175" i="124"/>
  <c r="A474" i="124"/>
  <c r="H359" i="124"/>
  <c r="D67" i="124"/>
  <c r="S77" i="124"/>
  <c r="N77" i="124"/>
  <c r="A62" i="124"/>
  <c r="C62" i="124"/>
  <c r="B62" i="124"/>
  <c r="I77" i="124"/>
  <c r="D32" i="124"/>
  <c r="I32" i="124"/>
  <c r="S32" i="124"/>
  <c r="N32" i="124"/>
  <c r="B27" i="124"/>
  <c r="D77" i="124"/>
  <c r="F27" i="124"/>
  <c r="H27" i="124"/>
  <c r="G27" i="124"/>
  <c r="C27" i="124"/>
  <c r="D72" i="124"/>
  <c r="S359" i="124"/>
  <c r="S318" i="124"/>
  <c r="S319" i="124"/>
  <c r="M289" i="124"/>
  <c r="W289" i="124"/>
  <c r="H289" i="124"/>
  <c r="R289" i="124"/>
  <c r="N319" i="124"/>
  <c r="E7" i="124"/>
  <c r="Y7" i="124"/>
  <c r="X7" i="124"/>
  <c r="AC41" i="124"/>
  <c r="T7" i="124"/>
  <c r="S7" i="124"/>
  <c r="AC36" i="124"/>
  <c r="O7" i="124"/>
  <c r="AC31" i="124"/>
  <c r="N7" i="124"/>
  <c r="I7" i="124"/>
  <c r="J7" i="124"/>
  <c r="AC26" i="124"/>
  <c r="E37" i="124"/>
  <c r="O77" i="124"/>
  <c r="Y77" i="124"/>
  <c r="O32" i="124"/>
  <c r="E67" i="124"/>
  <c r="T32" i="124"/>
  <c r="T77" i="124"/>
  <c r="J77" i="124"/>
  <c r="Y32" i="124"/>
  <c r="E77" i="124"/>
  <c r="J72" i="124"/>
  <c r="E72" i="124"/>
  <c r="J32" i="124"/>
  <c r="E32" i="124"/>
  <c r="M84" i="110"/>
  <c r="AJ93" i="113"/>
  <c r="E18" i="116"/>
  <c r="E17" i="116"/>
  <c r="M84" i="116"/>
  <c r="H48" i="110"/>
  <c r="H48" i="113"/>
  <c r="H48" i="114"/>
  <c r="H48" i="115"/>
  <c r="Q36" i="8"/>
  <c r="J25" i="54" s="1"/>
  <c r="R13" i="116"/>
  <c r="T13" i="116"/>
  <c r="T12" i="116"/>
  <c r="R12" i="116"/>
  <c r="S12" i="116"/>
  <c r="P27" i="115"/>
  <c r="P27" i="116"/>
  <c r="N27" i="116"/>
  <c r="N27" i="115"/>
  <c r="O27" i="116"/>
  <c r="O27" i="115"/>
  <c r="L82" i="8"/>
  <c r="H17" i="116"/>
  <c r="H16" i="116"/>
  <c r="J85" i="8"/>
  <c r="AJ27" i="116"/>
  <c r="L84" i="8"/>
  <c r="J81" i="8"/>
  <c r="H59" i="115"/>
  <c r="K85" i="8"/>
  <c r="L85" i="8"/>
  <c r="K84" i="8"/>
  <c r="L83" i="8"/>
  <c r="J83" i="8"/>
  <c r="K82" i="8"/>
  <c r="J82" i="8"/>
  <c r="L81" i="8"/>
  <c r="G23" i="54"/>
  <c r="J84" i="8"/>
  <c r="B13" i="116"/>
  <c r="K83" i="8"/>
  <c r="K81" i="8"/>
  <c r="D74" i="110"/>
  <c r="D74" i="113"/>
  <c r="I72" i="114"/>
  <c r="B13" i="110"/>
  <c r="B13" i="113"/>
  <c r="B13" i="114"/>
  <c r="B13" i="115"/>
  <c r="I86" i="8"/>
  <c r="I87" i="8" s="1"/>
  <c r="H86" i="8"/>
  <c r="H87" i="8" s="1"/>
  <c r="H88" i="8" s="1"/>
  <c r="H89" i="8" s="1"/>
  <c r="H90" i="8" s="1"/>
  <c r="G86" i="8"/>
  <c r="G87" i="8" s="1"/>
  <c r="G88" i="8" s="1"/>
  <c r="G89" i="8" s="1"/>
  <c r="G90" i="8" s="1"/>
  <c r="H18" i="116"/>
  <c r="R77" i="116"/>
  <c r="H71" i="110"/>
  <c r="H71" i="113"/>
  <c r="H71" i="114"/>
  <c r="H71" i="116"/>
  <c r="H71" i="115"/>
  <c r="N59" i="113"/>
  <c r="I75" i="114"/>
  <c r="R21" i="57"/>
  <c r="R30" i="57" s="1"/>
  <c r="N45" i="56"/>
  <c r="N59" i="114"/>
  <c r="I3" i="54"/>
  <c r="N70" i="115"/>
  <c r="C75" i="116"/>
  <c r="R59" i="116"/>
  <c r="AJ93" i="116"/>
  <c r="H82" i="116"/>
  <c r="F17" i="9"/>
  <c r="F16" i="9" s="1"/>
  <c r="H82" i="110"/>
  <c r="N85" i="113"/>
  <c r="H82" i="113"/>
  <c r="N85" i="114"/>
  <c r="H82" i="114"/>
  <c r="N85" i="115"/>
  <c r="AN55" i="9"/>
  <c r="Q55" i="9" s="1"/>
  <c r="AO55" i="9"/>
  <c r="R55" i="9" s="1"/>
  <c r="AK55" i="9"/>
  <c r="N55" i="9" s="1"/>
  <c r="AL55" i="9"/>
  <c r="O55" i="9" s="1"/>
  <c r="AM55" i="9"/>
  <c r="P55" i="9" s="1"/>
  <c r="AP55" i="9"/>
  <c r="S55" i="9" s="1"/>
  <c r="AJ55" i="9"/>
  <c r="M55" i="9" s="1"/>
  <c r="AI55" i="9"/>
  <c r="AJ93" i="114"/>
  <c r="H82" i="115"/>
  <c r="N85" i="116"/>
  <c r="I72" i="110"/>
  <c r="I72" i="113"/>
  <c r="G4" i="54"/>
  <c r="N59" i="115"/>
  <c r="N59" i="116"/>
  <c r="N70" i="113"/>
  <c r="I83" i="110"/>
  <c r="I81" i="110"/>
  <c r="D17" i="9"/>
  <c r="D16" i="9" s="1"/>
  <c r="I83" i="113"/>
  <c r="I81" i="113"/>
  <c r="I83" i="114"/>
  <c r="I81" i="114"/>
  <c r="I72" i="115"/>
  <c r="I83" i="115"/>
  <c r="I81" i="115"/>
  <c r="I83" i="116"/>
  <c r="I81" i="116"/>
  <c r="I72" i="116"/>
  <c r="H24" i="114" l="1"/>
  <c r="H25" i="114" s="1"/>
  <c r="C63" i="114" s="1"/>
  <c r="N264" i="124" s="1"/>
  <c r="D167" i="124"/>
  <c r="S130" i="124"/>
  <c r="H128" i="124"/>
  <c r="G128" i="124"/>
  <c r="AB11" i="124"/>
  <c r="Z11" i="124" s="1"/>
  <c r="H129" i="124"/>
  <c r="G129" i="124"/>
  <c r="N253" i="124"/>
  <c r="M192" i="124" s="1"/>
  <c r="M364" i="124" s="1"/>
  <c r="H365" i="124"/>
  <c r="Z376" i="124"/>
  <c r="H63" i="124"/>
  <c r="F63" i="124"/>
  <c r="F62" i="124"/>
  <c r="O128" i="124"/>
  <c r="H62" i="124"/>
  <c r="G62" i="124"/>
  <c r="S129" i="124"/>
  <c r="S128" i="124"/>
  <c r="O129" i="124"/>
  <c r="G63" i="124"/>
  <c r="Z339" i="124"/>
  <c r="C365" i="124"/>
  <c r="C344" i="124"/>
  <c r="Z377" i="124"/>
  <c r="C364" i="124"/>
  <c r="H301" i="124"/>
  <c r="H358" i="124"/>
  <c r="F429" i="124"/>
  <c r="F393" i="124" s="1"/>
  <c r="Z289" i="124"/>
  <c r="A450" i="124"/>
  <c r="H345" i="124"/>
  <c r="D344" i="124"/>
  <c r="H374" i="124"/>
  <c r="C68" i="113"/>
  <c r="C68" i="116"/>
  <c r="R130" i="124"/>
  <c r="P401" i="124" s="1"/>
  <c r="R120" i="124"/>
  <c r="M124" i="124"/>
  <c r="M328" i="124"/>
  <c r="R328" i="124" s="1"/>
  <c r="V74" i="124"/>
  <c r="W73" i="124"/>
  <c r="U72" i="124"/>
  <c r="V72" i="124"/>
  <c r="U74" i="124"/>
  <c r="V73" i="124"/>
  <c r="U73" i="124"/>
  <c r="W74" i="124"/>
  <c r="C68" i="114"/>
  <c r="P28" i="124"/>
  <c r="Q28" i="124"/>
  <c r="R28" i="124"/>
  <c r="P27" i="124"/>
  <c r="Q27" i="124"/>
  <c r="R27" i="124"/>
  <c r="Q29" i="124"/>
  <c r="R29" i="124"/>
  <c r="P29" i="124"/>
  <c r="Q37" i="8"/>
  <c r="K25" i="54" s="1"/>
  <c r="T72" i="124"/>
  <c r="O72" i="124"/>
  <c r="A408" i="124"/>
  <c r="A392" i="124" s="1"/>
  <c r="Q120" i="124"/>
  <c r="O27" i="124"/>
  <c r="E25" i="114"/>
  <c r="T27" i="124"/>
  <c r="Y27" i="124"/>
  <c r="Y72" i="124"/>
  <c r="X312" i="124"/>
  <c r="X301" i="124"/>
  <c r="N312" i="124"/>
  <c r="N301" i="124"/>
  <c r="I312" i="124"/>
  <c r="C81" i="116"/>
  <c r="I301" i="124"/>
  <c r="I196" i="124"/>
  <c r="H196" i="124" s="1"/>
  <c r="N201" i="124"/>
  <c r="N200" i="124" s="1"/>
  <c r="D354" i="124"/>
  <c r="D372" i="124"/>
  <c r="D276" i="124"/>
  <c r="D301" i="124"/>
  <c r="D320" i="124"/>
  <c r="D312" i="124"/>
  <c r="A407" i="124"/>
  <c r="A391" i="124" s="1"/>
  <c r="E119" i="124"/>
  <c r="E24" i="114"/>
  <c r="E20" i="110"/>
  <c r="E23" i="110" s="1"/>
  <c r="E23" i="113"/>
  <c r="E22" i="110"/>
  <c r="E25" i="110" s="1"/>
  <c r="E25" i="113"/>
  <c r="E21" i="110"/>
  <c r="E24" i="110" s="1"/>
  <c r="E24" i="113"/>
  <c r="N27" i="124"/>
  <c r="I72" i="124"/>
  <c r="S72" i="124"/>
  <c r="N72" i="124"/>
  <c r="P139" i="124"/>
  <c r="O139" i="124"/>
  <c r="K396" i="124"/>
  <c r="P138" i="124"/>
  <c r="K395" i="124"/>
  <c r="O138" i="124"/>
  <c r="M256" i="124"/>
  <c r="P140" i="124"/>
  <c r="O140" i="124"/>
  <c r="K397" i="124"/>
  <c r="K393" i="124" s="1"/>
  <c r="W197" i="124"/>
  <c r="R263" i="124"/>
  <c r="X120" i="124"/>
  <c r="X124" i="124" s="1"/>
  <c r="S124" i="124"/>
  <c r="H156" i="124"/>
  <c r="I157" i="124" s="1"/>
  <c r="H155" i="124"/>
  <c r="F474" i="124"/>
  <c r="H154" i="124"/>
  <c r="M158" i="124"/>
  <c r="M319" i="124"/>
  <c r="M301" i="124" s="1"/>
  <c r="K482" i="124" s="1"/>
  <c r="M359" i="124"/>
  <c r="D62" i="124"/>
  <c r="D155" i="124"/>
  <c r="C175" i="124"/>
  <c r="I175" i="124" s="1"/>
  <c r="D154" i="124"/>
  <c r="D27" i="124"/>
  <c r="I27" i="124"/>
  <c r="S312" i="124"/>
  <c r="S301" i="124"/>
  <c r="I289" i="124"/>
  <c r="D345" i="124"/>
  <c r="X345" i="124"/>
  <c r="E62" i="124"/>
  <c r="E27" i="124"/>
  <c r="J27" i="124"/>
  <c r="C68" i="110"/>
  <c r="C68" i="115"/>
  <c r="I75" i="113"/>
  <c r="I75" i="110"/>
  <c r="I88" i="8"/>
  <c r="N80" i="110"/>
  <c r="K4" i="54"/>
  <c r="K3" i="54"/>
  <c r="N80" i="114"/>
  <c r="I4" i="54"/>
  <c r="G3" i="54"/>
  <c r="N80" i="116"/>
  <c r="D74" i="114"/>
  <c r="N70" i="114"/>
  <c r="N70" i="116"/>
  <c r="AQ55" i="9"/>
  <c r="L55" i="9"/>
  <c r="T55" i="9" s="1"/>
  <c r="N70" i="110"/>
  <c r="D74" i="115"/>
  <c r="I75" i="115"/>
  <c r="D74" i="116"/>
  <c r="I75" i="116"/>
  <c r="Q38" i="8" l="1"/>
  <c r="AB16" i="124"/>
  <c r="Z16" i="124" s="1"/>
  <c r="S253" i="124"/>
  <c r="R192" i="124" s="1"/>
  <c r="R364" i="124" s="1"/>
  <c r="X130" i="124"/>
  <c r="T128" i="124"/>
  <c r="R62" i="124" s="1"/>
  <c r="M128" i="124"/>
  <c r="L128" i="124"/>
  <c r="L129" i="124"/>
  <c r="M129" i="124"/>
  <c r="X129" i="124"/>
  <c r="X128" i="124"/>
  <c r="M345" i="124"/>
  <c r="M365" i="124"/>
  <c r="M62" i="124"/>
  <c r="L62" i="124"/>
  <c r="K62" i="124"/>
  <c r="I62" i="124"/>
  <c r="F407" i="124"/>
  <c r="F391" i="124" s="1"/>
  <c r="F408" i="124"/>
  <c r="F392" i="124" s="1"/>
  <c r="M63" i="124"/>
  <c r="L63" i="124"/>
  <c r="T129" i="124"/>
  <c r="K63" i="124"/>
  <c r="H310" i="124"/>
  <c r="H366" i="124" s="1"/>
  <c r="H344" i="124"/>
  <c r="F482" i="124"/>
  <c r="D269" i="124"/>
  <c r="S269" i="124"/>
  <c r="W120" i="124"/>
  <c r="W124" i="124" s="1"/>
  <c r="M303" i="124"/>
  <c r="M374" i="124"/>
  <c r="W130" i="124"/>
  <c r="V59" i="124" s="1"/>
  <c r="R124" i="124"/>
  <c r="N269" i="124"/>
  <c r="X72" i="124"/>
  <c r="V120" i="124"/>
  <c r="V124" i="124" s="1"/>
  <c r="Q124" i="124"/>
  <c r="D282" i="124"/>
  <c r="N196" i="124"/>
  <c r="M196" i="124" s="1"/>
  <c r="S201" i="124"/>
  <c r="S200" i="124" s="1"/>
  <c r="X201" i="124" s="1"/>
  <c r="X200" i="124" s="1"/>
  <c r="X196" i="124" s="1"/>
  <c r="W196" i="124" s="1"/>
  <c r="T138" i="124"/>
  <c r="P395" i="124"/>
  <c r="R256" i="124"/>
  <c r="Z256" i="124" s="1"/>
  <c r="V27" i="124"/>
  <c r="W27" i="124"/>
  <c r="U27" i="124"/>
  <c r="P429" i="124"/>
  <c r="V89" i="124"/>
  <c r="U89" i="124"/>
  <c r="W263" i="124"/>
  <c r="U429" i="124" s="1"/>
  <c r="W89" i="124"/>
  <c r="P397" i="124"/>
  <c r="T140" i="124"/>
  <c r="U29" i="124"/>
  <c r="W29" i="124"/>
  <c r="V29" i="124"/>
  <c r="S27" i="124"/>
  <c r="T139" i="124"/>
  <c r="P396" i="124"/>
  <c r="U28" i="124"/>
  <c r="W28" i="124"/>
  <c r="V28" i="124"/>
  <c r="I155" i="124"/>
  <c r="R374" i="124"/>
  <c r="W328" i="124"/>
  <c r="Z328" i="124" s="1"/>
  <c r="R303" i="124"/>
  <c r="R358" i="124" s="1"/>
  <c r="I154" i="124"/>
  <c r="C176" i="124"/>
  <c r="C264" i="124" s="1"/>
  <c r="A430" i="124" s="1"/>
  <c r="M156" i="124"/>
  <c r="N157" i="124" s="1"/>
  <c r="M154" i="124"/>
  <c r="R158" i="124"/>
  <c r="K474" i="124"/>
  <c r="M155" i="124"/>
  <c r="R359" i="124"/>
  <c r="R319" i="124"/>
  <c r="R301" i="124" s="1"/>
  <c r="AB21" i="124"/>
  <c r="Z21" i="124" s="1"/>
  <c r="I269" i="124"/>
  <c r="X269" i="124"/>
  <c r="I89" i="8"/>
  <c r="I90" i="8" s="1"/>
  <c r="N80" i="113"/>
  <c r="J4" i="54"/>
  <c r="J3" i="54"/>
  <c r="N80" i="115"/>
  <c r="H4" i="54"/>
  <c r="H3" i="54"/>
  <c r="N33" i="8"/>
  <c r="P7" i="8"/>
  <c r="O7" i="8"/>
  <c r="N7" i="8"/>
  <c r="L7" i="8"/>
  <c r="L8" i="8" s="1"/>
  <c r="K7" i="8"/>
  <c r="K8" i="8" s="1"/>
  <c r="J7" i="8"/>
  <c r="J8" i="8" s="1"/>
  <c r="J9" i="8" s="1"/>
  <c r="J10" i="8" s="1"/>
  <c r="J11" i="8" s="1"/>
  <c r="J12" i="8" s="1"/>
  <c r="I46" i="8"/>
  <c r="P54" i="124" s="1"/>
  <c r="H46" i="8"/>
  <c r="F46" i="8"/>
  <c r="P53" i="124" s="1"/>
  <c r="E46" i="8"/>
  <c r="C46" i="8"/>
  <c r="Q52" i="124" s="1"/>
  <c r="B46" i="8"/>
  <c r="Q59" i="8"/>
  <c r="P59" i="8"/>
  <c r="N59" i="8"/>
  <c r="M59" i="8"/>
  <c r="L59" i="8"/>
  <c r="K59" i="8"/>
  <c r="I59" i="8"/>
  <c r="H59" i="8"/>
  <c r="G59" i="8"/>
  <c r="F59" i="8"/>
  <c r="E59" i="8"/>
  <c r="D59" i="8"/>
  <c r="C59" i="8"/>
  <c r="B59" i="8"/>
  <c r="A59" i="8"/>
  <c r="W26" i="8"/>
  <c r="V26" i="8"/>
  <c r="T26" i="8"/>
  <c r="W16" i="8"/>
  <c r="V16" i="8"/>
  <c r="T16" i="8"/>
  <c r="I20" i="8"/>
  <c r="H20" i="8"/>
  <c r="E20" i="8"/>
  <c r="D20" i="8"/>
  <c r="I7" i="8"/>
  <c r="E7" i="8"/>
  <c r="G7" i="8"/>
  <c r="D7" i="8" s="1"/>
  <c r="H7" i="8" s="1"/>
  <c r="F7" i="8"/>
  <c r="W6" i="8"/>
  <c r="V6" i="8"/>
  <c r="U6" i="8"/>
  <c r="T6" i="8"/>
  <c r="H25" i="116"/>
  <c r="C63" i="116" s="1"/>
  <c r="B7" i="8"/>
  <c r="A7" i="8"/>
  <c r="B20" i="8"/>
  <c r="A20" i="8"/>
  <c r="F8" i="54"/>
  <c r="F5" i="54"/>
  <c r="AO83" i="9"/>
  <c r="R83" i="9" s="1"/>
  <c r="AO58" i="9"/>
  <c r="R58" i="9" s="1"/>
  <c r="AO57" i="9"/>
  <c r="R57" i="9" s="1"/>
  <c r="AO56" i="9"/>
  <c r="R56" i="9" s="1"/>
  <c r="AO54" i="9"/>
  <c r="R54" i="9" s="1"/>
  <c r="AO131" i="9"/>
  <c r="R131" i="9" s="1"/>
  <c r="P12" i="8"/>
  <c r="P11" i="8"/>
  <c r="P10" i="8"/>
  <c r="P9" i="8"/>
  <c r="P8" i="8"/>
  <c r="P6" i="8"/>
  <c r="P5" i="8"/>
  <c r="P4" i="8"/>
  <c r="P3" i="8"/>
  <c r="O12" i="8"/>
  <c r="O11" i="8"/>
  <c r="O10" i="8"/>
  <c r="O9" i="8"/>
  <c r="O8" i="8"/>
  <c r="O6" i="8"/>
  <c r="O5" i="8"/>
  <c r="O4" i="8"/>
  <c r="O3" i="8"/>
  <c r="N12" i="8"/>
  <c r="N11" i="8"/>
  <c r="N10" i="8"/>
  <c r="N9" i="8"/>
  <c r="N8" i="8"/>
  <c r="N6" i="8"/>
  <c r="N5" i="8"/>
  <c r="N4" i="8"/>
  <c r="N3" i="8"/>
  <c r="H19" i="110"/>
  <c r="H19" i="113"/>
  <c r="H19" i="115"/>
  <c r="X253" i="124" l="1"/>
  <c r="W192" i="124" s="1"/>
  <c r="W365" i="124" s="1"/>
  <c r="Q53" i="124"/>
  <c r="R52" i="124"/>
  <c r="R365" i="124"/>
  <c r="R345" i="124"/>
  <c r="Y128" i="124"/>
  <c r="U62" i="124" s="1"/>
  <c r="P62" i="124"/>
  <c r="P52" i="124"/>
  <c r="Q54" i="124"/>
  <c r="R54" i="124"/>
  <c r="R53" i="124"/>
  <c r="V53" i="124"/>
  <c r="W53" i="124"/>
  <c r="U53" i="124"/>
  <c r="V54" i="124"/>
  <c r="W54" i="124"/>
  <c r="U54" i="124"/>
  <c r="V52" i="124"/>
  <c r="U52" i="124"/>
  <c r="W52" i="124"/>
  <c r="K408" i="124"/>
  <c r="K392" i="124" s="1"/>
  <c r="R129" i="124"/>
  <c r="Q129" i="124"/>
  <c r="Q62" i="124"/>
  <c r="Q128" i="124"/>
  <c r="R128" i="124"/>
  <c r="K407" i="124"/>
  <c r="K391" i="124" s="1"/>
  <c r="N62" i="124"/>
  <c r="R63" i="124"/>
  <c r="P63" i="124"/>
  <c r="Q63" i="124"/>
  <c r="Y129" i="124"/>
  <c r="M344" i="124"/>
  <c r="M310" i="124"/>
  <c r="M366" i="124" s="1"/>
  <c r="M358" i="124"/>
  <c r="Z263" i="124"/>
  <c r="B82" i="124"/>
  <c r="A82" i="124"/>
  <c r="C82" i="124"/>
  <c r="U401" i="124"/>
  <c r="U393" i="124" s="1"/>
  <c r="W59" i="124"/>
  <c r="U59" i="124"/>
  <c r="Q59" i="124"/>
  <c r="R59" i="124"/>
  <c r="P59" i="124"/>
  <c r="P89" i="124"/>
  <c r="Q89" i="124"/>
  <c r="R89" i="124"/>
  <c r="AB84" i="124"/>
  <c r="C123" i="124"/>
  <c r="B24" i="124" s="1"/>
  <c r="B106" i="124"/>
  <c r="B414" i="124" s="1"/>
  <c r="D123" i="124"/>
  <c r="I123" i="124" s="1"/>
  <c r="C106" i="124"/>
  <c r="C414" i="124" s="1"/>
  <c r="D106" i="124"/>
  <c r="D414" i="124" s="1"/>
  <c r="P393" i="124"/>
  <c r="B123" i="124"/>
  <c r="A22" i="124" s="1"/>
  <c r="B23" i="116"/>
  <c r="S196" i="124"/>
  <c r="R196" i="124" s="1"/>
  <c r="X87" i="124"/>
  <c r="X27" i="124"/>
  <c r="N155" i="124"/>
  <c r="N154" i="124"/>
  <c r="AD84" i="124"/>
  <c r="P482" i="124"/>
  <c r="R156" i="124"/>
  <c r="S157" i="124" s="1"/>
  <c r="R155" i="124"/>
  <c r="W158" i="124"/>
  <c r="P474" i="124"/>
  <c r="R154" i="124"/>
  <c r="W359" i="124"/>
  <c r="Z359" i="124" s="1"/>
  <c r="W319" i="124"/>
  <c r="W301" i="124" s="1"/>
  <c r="U482" i="124" s="1"/>
  <c r="W374" i="124"/>
  <c r="Z374" i="124" s="1"/>
  <c r="W303" i="124"/>
  <c r="Z303" i="124" s="1"/>
  <c r="AB26" i="124"/>
  <c r="Z26" i="124" s="1"/>
  <c r="G106" i="124"/>
  <c r="L106" i="124"/>
  <c r="Q106" i="124"/>
  <c r="V106" i="124"/>
  <c r="S106" i="124"/>
  <c r="S414" i="124" s="1"/>
  <c r="X106" i="124"/>
  <c r="X414" i="124" s="1"/>
  <c r="I106" i="124"/>
  <c r="I414" i="124" s="1"/>
  <c r="N106" i="124"/>
  <c r="N414" i="124" s="1"/>
  <c r="M106" i="124"/>
  <c r="M414" i="124" s="1"/>
  <c r="R106" i="124"/>
  <c r="R414" i="124" s="1"/>
  <c r="W106" i="124"/>
  <c r="W414" i="124" s="1"/>
  <c r="H106" i="124"/>
  <c r="H414" i="124" s="1"/>
  <c r="D264" i="124"/>
  <c r="C23" i="116"/>
  <c r="D23" i="116"/>
  <c r="L9" i="8"/>
  <c r="L10" i="8" s="1"/>
  <c r="L11" i="8" s="1"/>
  <c r="L12" i="8" s="1"/>
  <c r="K9" i="8"/>
  <c r="K10" i="8" s="1"/>
  <c r="D6" i="115"/>
  <c r="AM33" i="115" s="1"/>
  <c r="B6" i="113"/>
  <c r="B6" i="114"/>
  <c r="B6" i="110"/>
  <c r="C6" i="110"/>
  <c r="AL33" i="110" s="1"/>
  <c r="D6" i="110"/>
  <c r="AM33" i="110" s="1"/>
  <c r="C6" i="115"/>
  <c r="AL33" i="115" s="1"/>
  <c r="C6" i="114"/>
  <c r="AL33" i="114" s="1"/>
  <c r="D6" i="114"/>
  <c r="AM33" i="114" s="1"/>
  <c r="B6" i="115"/>
  <c r="C6" i="116"/>
  <c r="AL33" i="116" s="1"/>
  <c r="B6" i="116"/>
  <c r="D6" i="116"/>
  <c r="AM33" i="116" s="1"/>
  <c r="T34" i="116"/>
  <c r="S34" i="116"/>
  <c r="R34" i="116"/>
  <c r="D6" i="113"/>
  <c r="AM33" i="113" s="1"/>
  <c r="C6" i="113"/>
  <c r="AL33" i="113" s="1"/>
  <c r="F20" i="9"/>
  <c r="W128" i="124" l="1"/>
  <c r="W345" i="124"/>
  <c r="Z345" i="124" s="1"/>
  <c r="W364" i="124"/>
  <c r="Z364" i="124" s="1"/>
  <c r="V62" i="124"/>
  <c r="W62" i="124"/>
  <c r="V128" i="124"/>
  <c r="Z365" i="124"/>
  <c r="P408" i="124"/>
  <c r="P392" i="124" s="1"/>
  <c r="P407" i="124"/>
  <c r="P391" i="124" s="1"/>
  <c r="W129" i="124"/>
  <c r="V129" i="124"/>
  <c r="X52" i="124"/>
  <c r="S62" i="124"/>
  <c r="W63" i="124"/>
  <c r="U63" i="124"/>
  <c r="V63" i="124"/>
  <c r="R344" i="124"/>
  <c r="R310" i="124"/>
  <c r="R366" i="124" s="1"/>
  <c r="Z319" i="124"/>
  <c r="Z301" i="124"/>
  <c r="X57" i="124"/>
  <c r="C22" i="124"/>
  <c r="C23" i="124"/>
  <c r="D126" i="124"/>
  <c r="C24" i="124"/>
  <c r="B22" i="124"/>
  <c r="H123" i="124"/>
  <c r="B23" i="124"/>
  <c r="C126" i="124"/>
  <c r="C261" i="124"/>
  <c r="D82" i="124"/>
  <c r="S154" i="124"/>
  <c r="B126" i="124"/>
  <c r="A23" i="124"/>
  <c r="A24" i="124"/>
  <c r="G123" i="124"/>
  <c r="E82" i="124"/>
  <c r="S155" i="124"/>
  <c r="S87" i="124"/>
  <c r="S52" i="124"/>
  <c r="I126" i="124"/>
  <c r="N123" i="124"/>
  <c r="W358" i="124"/>
  <c r="Z358" i="124" s="1"/>
  <c r="W154" i="124"/>
  <c r="W156" i="124"/>
  <c r="X157" i="124" s="1"/>
  <c r="U474" i="124"/>
  <c r="W155" i="124"/>
  <c r="S57" i="124"/>
  <c r="AB31" i="124"/>
  <c r="Z31" i="124" s="1"/>
  <c r="K11" i="8"/>
  <c r="V414" i="124"/>
  <c r="W261" i="124"/>
  <c r="R261" i="124"/>
  <c r="Q414" i="124"/>
  <c r="L414" i="124"/>
  <c r="M261" i="124"/>
  <c r="G414" i="124"/>
  <c r="H261" i="124"/>
  <c r="O22" i="116"/>
  <c r="O23" i="116"/>
  <c r="O24" i="116"/>
  <c r="P22" i="116"/>
  <c r="P23" i="116"/>
  <c r="P24" i="116"/>
  <c r="N23" i="116"/>
  <c r="N24" i="116"/>
  <c r="N22" i="116"/>
  <c r="D26" i="116"/>
  <c r="C26" i="116"/>
  <c r="B26" i="116"/>
  <c r="F14" i="54"/>
  <c r="F17" i="54" s="1"/>
  <c r="C60" i="115"/>
  <c r="C60" i="110"/>
  <c r="C60" i="114"/>
  <c r="C60" i="116"/>
  <c r="C60" i="113"/>
  <c r="U407" i="124" l="1"/>
  <c r="U391" i="124" s="1"/>
  <c r="U408" i="124"/>
  <c r="U392" i="124" s="1"/>
  <c r="X62" i="124"/>
  <c r="W310" i="124"/>
  <c r="W344" i="124"/>
  <c r="Z344" i="124" s="1"/>
  <c r="Z261" i="124"/>
  <c r="H126" i="124"/>
  <c r="M123" i="124"/>
  <c r="D22" i="124"/>
  <c r="G126" i="124"/>
  <c r="L123" i="124"/>
  <c r="X154" i="124"/>
  <c r="X155" i="124"/>
  <c r="N126" i="124"/>
  <c r="S123" i="124"/>
  <c r="AB36" i="124"/>
  <c r="Z36" i="124" s="1"/>
  <c r="K12" i="8"/>
  <c r="I261" i="124"/>
  <c r="D261" i="124"/>
  <c r="N261" i="124"/>
  <c r="S261" i="124"/>
  <c r="X261" i="124"/>
  <c r="E22" i="124"/>
  <c r="O49" i="115"/>
  <c r="M44" i="115" s="1"/>
  <c r="P47" i="115"/>
  <c r="L45" i="115" s="1"/>
  <c r="N47" i="115"/>
  <c r="Q123" i="124" l="1"/>
  <c r="L126" i="124"/>
  <c r="Z310" i="124"/>
  <c r="W366" i="124"/>
  <c r="Z366" i="124" s="1"/>
  <c r="H40" i="54"/>
  <c r="M126" i="124"/>
  <c r="R123" i="124"/>
  <c r="S126" i="124"/>
  <c r="X123" i="124"/>
  <c r="AB41" i="124"/>
  <c r="Z41" i="124" s="1"/>
  <c r="L6" i="8"/>
  <c r="K6" i="8"/>
  <c r="J6" i="8"/>
  <c r="L5" i="8"/>
  <c r="K5" i="8"/>
  <c r="J5" i="8"/>
  <c r="L4" i="8"/>
  <c r="K4" i="8"/>
  <c r="J4" i="8"/>
  <c r="L3" i="8"/>
  <c r="K3" i="8"/>
  <c r="J3" i="8"/>
  <c r="V123" i="124" l="1"/>
  <c r="R126" i="124"/>
  <c r="W123" i="124"/>
  <c r="Q126" i="124"/>
  <c r="X126" i="124"/>
  <c r="AB46" i="124"/>
  <c r="Z46" i="124" s="1"/>
  <c r="A22" i="8"/>
  <c r="V126" i="124" l="1"/>
  <c r="W126" i="124"/>
  <c r="H59" i="116"/>
  <c r="D289" i="124" l="1"/>
  <c r="O76" i="116"/>
  <c r="H5" i="116"/>
  <c r="I6" i="116" s="1"/>
  <c r="R81" i="115"/>
  <c r="C81" i="115"/>
  <c r="H80" i="115"/>
  <c r="M78" i="115"/>
  <c r="R77" i="115"/>
  <c r="M67" i="115"/>
  <c r="H58" i="115"/>
  <c r="M56" i="115"/>
  <c r="D52" i="115"/>
  <c r="H41" i="115" s="1"/>
  <c r="I50" i="115"/>
  <c r="L49" i="115"/>
  <c r="K49" i="115"/>
  <c r="J49" i="115"/>
  <c r="O48" i="115"/>
  <c r="N48" i="115"/>
  <c r="L48" i="115"/>
  <c r="K48" i="115"/>
  <c r="J48" i="115"/>
  <c r="O47" i="115"/>
  <c r="L47" i="115"/>
  <c r="K47" i="115"/>
  <c r="J47" i="115"/>
  <c r="O76" i="115"/>
  <c r="E30" i="115"/>
  <c r="L9" i="115"/>
  <c r="K9" i="115"/>
  <c r="J9" i="115"/>
  <c r="L8" i="115"/>
  <c r="K8" i="115"/>
  <c r="J8" i="115"/>
  <c r="L7" i="115"/>
  <c r="K7" i="115"/>
  <c r="J7" i="115"/>
  <c r="R81" i="114"/>
  <c r="C81" i="114"/>
  <c r="H80" i="114"/>
  <c r="M78" i="114"/>
  <c r="R77" i="114"/>
  <c r="M67" i="114"/>
  <c r="H58" i="114"/>
  <c r="M56" i="114"/>
  <c r="D52" i="114"/>
  <c r="H41" i="114" s="1"/>
  <c r="I50" i="114"/>
  <c r="I49" i="114" s="1"/>
  <c r="O49" i="114"/>
  <c r="M44" i="114" s="1"/>
  <c r="L49" i="114"/>
  <c r="K49" i="114"/>
  <c r="J49" i="114"/>
  <c r="O48" i="114"/>
  <c r="N48" i="114"/>
  <c r="L48" i="114"/>
  <c r="K48" i="114"/>
  <c r="J48" i="114"/>
  <c r="P47" i="114"/>
  <c r="L45" i="114" s="1"/>
  <c r="O47" i="114"/>
  <c r="N47" i="114"/>
  <c r="L47" i="114"/>
  <c r="K47" i="114"/>
  <c r="J47" i="114"/>
  <c r="I34" i="114"/>
  <c r="E30" i="114"/>
  <c r="L9" i="114"/>
  <c r="K9" i="114"/>
  <c r="J9" i="114"/>
  <c r="L8" i="114"/>
  <c r="K8" i="114"/>
  <c r="J8" i="114"/>
  <c r="L7" i="114"/>
  <c r="K7" i="114"/>
  <c r="J7" i="114"/>
  <c r="M83" i="113"/>
  <c r="R81" i="113"/>
  <c r="C81" i="113"/>
  <c r="H80" i="113"/>
  <c r="M78" i="113"/>
  <c r="R77" i="113"/>
  <c r="M67" i="113"/>
  <c r="H58" i="113"/>
  <c r="M56" i="113"/>
  <c r="I50" i="113"/>
  <c r="O49" i="113"/>
  <c r="M44" i="113" s="1"/>
  <c r="L49" i="113"/>
  <c r="K49" i="113"/>
  <c r="J49" i="113"/>
  <c r="O48" i="113"/>
  <c r="N48" i="113"/>
  <c r="L48" i="113"/>
  <c r="K48" i="113"/>
  <c r="J48" i="113"/>
  <c r="P47" i="113"/>
  <c r="L45" i="113" s="1"/>
  <c r="O47" i="113"/>
  <c r="N47" i="113"/>
  <c r="L47" i="113"/>
  <c r="K47" i="113"/>
  <c r="J47" i="113"/>
  <c r="M84" i="113"/>
  <c r="I34" i="113"/>
  <c r="E30" i="113"/>
  <c r="L9" i="113"/>
  <c r="K9" i="113"/>
  <c r="J9" i="113"/>
  <c r="L8" i="113"/>
  <c r="K8" i="113"/>
  <c r="J8" i="113"/>
  <c r="L7" i="113"/>
  <c r="K7" i="113"/>
  <c r="J7" i="113"/>
  <c r="P25" i="117"/>
  <c r="J25" i="117"/>
  <c r="H25" i="117"/>
  <c r="F25" i="117"/>
  <c r="W24" i="117"/>
  <c r="P24" i="117"/>
  <c r="J24" i="117"/>
  <c r="H24" i="117"/>
  <c r="F24" i="117"/>
  <c r="W23" i="117"/>
  <c r="P23" i="117"/>
  <c r="W22" i="117"/>
  <c r="P22" i="117"/>
  <c r="J22" i="117"/>
  <c r="H22" i="117"/>
  <c r="F22" i="117"/>
  <c r="W19" i="117"/>
  <c r="P19" i="117"/>
  <c r="W17" i="117"/>
  <c r="P17" i="117"/>
  <c r="W14" i="117"/>
  <c r="J14" i="117"/>
  <c r="H14" i="117"/>
  <c r="F14" i="117"/>
  <c r="W13" i="117"/>
  <c r="P13" i="117"/>
  <c r="J13" i="117"/>
  <c r="H13" i="117"/>
  <c r="F13" i="117"/>
  <c r="W12" i="117"/>
  <c r="T12" i="117"/>
  <c r="P12" i="117"/>
  <c r="J12" i="117"/>
  <c r="H12" i="117"/>
  <c r="F12" i="117"/>
  <c r="W9" i="117"/>
  <c r="T9" i="117"/>
  <c r="J9" i="117"/>
  <c r="H9" i="117"/>
  <c r="F9" i="117"/>
  <c r="E9" i="117"/>
  <c r="W8" i="117"/>
  <c r="T8" i="117"/>
  <c r="P8" i="117"/>
  <c r="J8" i="117"/>
  <c r="H8" i="117"/>
  <c r="F8" i="117"/>
  <c r="E8" i="117"/>
  <c r="W7" i="117"/>
  <c r="T7" i="117"/>
  <c r="P7" i="117"/>
  <c r="J7" i="117"/>
  <c r="H7" i="117"/>
  <c r="F7" i="117"/>
  <c r="E7" i="117"/>
  <c r="W28" i="117"/>
  <c r="P28" i="117"/>
  <c r="W25" i="117"/>
  <c r="X9" i="113"/>
  <c r="W9" i="113"/>
  <c r="V9" i="113"/>
  <c r="X8" i="113"/>
  <c r="W8" i="113"/>
  <c r="V8" i="113"/>
  <c r="X7" i="113"/>
  <c r="W7" i="113"/>
  <c r="V7" i="113"/>
  <c r="W28" i="118"/>
  <c r="P28" i="118"/>
  <c r="W25" i="118"/>
  <c r="P25" i="118"/>
  <c r="J25" i="118"/>
  <c r="H25" i="118"/>
  <c r="F25" i="118"/>
  <c r="W24" i="118"/>
  <c r="P24" i="118"/>
  <c r="J24" i="118"/>
  <c r="H24" i="118"/>
  <c r="F24" i="118"/>
  <c r="W23" i="118"/>
  <c r="P23" i="118"/>
  <c r="W22" i="118"/>
  <c r="J22" i="118"/>
  <c r="H22" i="118"/>
  <c r="F22" i="118"/>
  <c r="W19" i="118"/>
  <c r="P19" i="118"/>
  <c r="W17" i="118"/>
  <c r="P17" i="118"/>
  <c r="W14" i="118"/>
  <c r="J14" i="118"/>
  <c r="H14" i="118"/>
  <c r="F14" i="118"/>
  <c r="W13" i="118"/>
  <c r="P13" i="118"/>
  <c r="J13" i="118"/>
  <c r="H13" i="118"/>
  <c r="F13" i="118"/>
  <c r="W12" i="118"/>
  <c r="T12" i="118"/>
  <c r="P12" i="118"/>
  <c r="J12" i="118"/>
  <c r="H12" i="118"/>
  <c r="F12" i="118"/>
  <c r="W9" i="118"/>
  <c r="T9" i="118"/>
  <c r="J9" i="118"/>
  <c r="H9" i="118"/>
  <c r="F9" i="118"/>
  <c r="E9" i="118"/>
  <c r="W8" i="118"/>
  <c r="T8" i="118"/>
  <c r="P8" i="118"/>
  <c r="J8" i="118"/>
  <c r="H8" i="118"/>
  <c r="F8" i="118"/>
  <c r="E8" i="118"/>
  <c r="W7" i="118"/>
  <c r="T7" i="118"/>
  <c r="P7" i="118"/>
  <c r="J7" i="118"/>
  <c r="H7" i="118"/>
  <c r="F7" i="118"/>
  <c r="E7" i="118"/>
  <c r="W28" i="119"/>
  <c r="P28" i="119"/>
  <c r="W25" i="119"/>
  <c r="P25" i="119"/>
  <c r="J25" i="119"/>
  <c r="H25" i="119"/>
  <c r="F25" i="119"/>
  <c r="W24" i="119"/>
  <c r="P24" i="119"/>
  <c r="J24" i="119"/>
  <c r="H24" i="119"/>
  <c r="F24" i="119"/>
  <c r="W23" i="119"/>
  <c r="P23" i="119"/>
  <c r="W22" i="119"/>
  <c r="J22" i="119"/>
  <c r="H22" i="119"/>
  <c r="F22" i="119"/>
  <c r="W19" i="119"/>
  <c r="P19" i="119"/>
  <c r="W17" i="119"/>
  <c r="P17" i="119"/>
  <c r="W14" i="119"/>
  <c r="J14" i="119"/>
  <c r="H14" i="119"/>
  <c r="F14" i="119"/>
  <c r="W13" i="119"/>
  <c r="P13" i="119"/>
  <c r="J13" i="119"/>
  <c r="H13" i="119"/>
  <c r="F13" i="119"/>
  <c r="W12" i="119"/>
  <c r="T12" i="119"/>
  <c r="P12" i="119"/>
  <c r="J12" i="119"/>
  <c r="H12" i="119"/>
  <c r="F12" i="119"/>
  <c r="W9" i="119"/>
  <c r="T9" i="119"/>
  <c r="J9" i="119"/>
  <c r="H9" i="119"/>
  <c r="F9" i="119"/>
  <c r="E9" i="119"/>
  <c r="W8" i="119"/>
  <c r="T8" i="119"/>
  <c r="P8" i="119"/>
  <c r="J8" i="119"/>
  <c r="H8" i="119"/>
  <c r="F8" i="119"/>
  <c r="E8" i="119"/>
  <c r="W7" i="119"/>
  <c r="T7" i="119"/>
  <c r="P7" i="119"/>
  <c r="J7" i="119"/>
  <c r="H7" i="119"/>
  <c r="F7" i="119"/>
  <c r="E7" i="119"/>
  <c r="C69" i="116"/>
  <c r="O67" i="116"/>
  <c r="H73" i="116" s="1"/>
  <c r="C62" i="116"/>
  <c r="C55" i="116"/>
  <c r="X49" i="116"/>
  <c r="W49" i="116"/>
  <c r="V49" i="116"/>
  <c r="X48" i="116"/>
  <c r="W48" i="116"/>
  <c r="V48" i="116"/>
  <c r="X47" i="116"/>
  <c r="W47" i="116"/>
  <c r="V47" i="116"/>
  <c r="O75" i="116"/>
  <c r="E40" i="116"/>
  <c r="X39" i="116"/>
  <c r="W39" i="116"/>
  <c r="V39" i="116"/>
  <c r="E39" i="116"/>
  <c r="X38" i="116"/>
  <c r="W38" i="116"/>
  <c r="V38" i="116"/>
  <c r="E38" i="116"/>
  <c r="X37" i="116"/>
  <c r="W37" i="116"/>
  <c r="V37" i="116"/>
  <c r="X34" i="116"/>
  <c r="W34" i="116"/>
  <c r="V34" i="116"/>
  <c r="X33" i="116"/>
  <c r="W33" i="116"/>
  <c r="V33" i="116"/>
  <c r="X32" i="116"/>
  <c r="W32" i="116"/>
  <c r="V32" i="116"/>
  <c r="X29" i="116"/>
  <c r="W29" i="116"/>
  <c r="V29" i="116"/>
  <c r="X28" i="116"/>
  <c r="W28" i="116"/>
  <c r="V28" i="116"/>
  <c r="X27" i="116"/>
  <c r="W27" i="116"/>
  <c r="V27" i="116"/>
  <c r="AJ20" i="116"/>
  <c r="X19" i="116"/>
  <c r="W19" i="116"/>
  <c r="V19" i="116"/>
  <c r="X18" i="116"/>
  <c r="W18" i="116"/>
  <c r="V18" i="116"/>
  <c r="X17" i="116"/>
  <c r="W17" i="116"/>
  <c r="V17" i="116"/>
  <c r="AM16" i="116"/>
  <c r="AM12" i="116" s="1"/>
  <c r="AL16" i="116"/>
  <c r="AL12" i="116" s="1"/>
  <c r="AK16" i="116"/>
  <c r="AK12" i="116" s="1"/>
  <c r="AJ16" i="116"/>
  <c r="AM15" i="116"/>
  <c r="AM11" i="116" s="1"/>
  <c r="AL15" i="116"/>
  <c r="AL11" i="116" s="1"/>
  <c r="AK15" i="116"/>
  <c r="AK11" i="116" s="1"/>
  <c r="AJ15" i="116"/>
  <c r="AJ11" i="116" s="1"/>
  <c r="AM14" i="116"/>
  <c r="AM10" i="116" s="1"/>
  <c r="AL14" i="116"/>
  <c r="AL10" i="116" s="1"/>
  <c r="AK14" i="116"/>
  <c r="AK10" i="116" s="1"/>
  <c r="AJ14" i="116"/>
  <c r="AJ10" i="116" s="1"/>
  <c r="X14" i="116"/>
  <c r="W14" i="116"/>
  <c r="V14" i="116"/>
  <c r="X13" i="116"/>
  <c r="W13" i="116"/>
  <c r="V13" i="116"/>
  <c r="X12" i="116"/>
  <c r="W12" i="116"/>
  <c r="V12" i="116"/>
  <c r="X9" i="116"/>
  <c r="W9" i="116"/>
  <c r="V9" i="116"/>
  <c r="X8" i="116"/>
  <c r="W8" i="116"/>
  <c r="V8" i="116"/>
  <c r="X7" i="116"/>
  <c r="W7" i="116"/>
  <c r="V7" i="116"/>
  <c r="X4" i="116"/>
  <c r="W4" i="116"/>
  <c r="V4" i="116"/>
  <c r="X3" i="116"/>
  <c r="W3" i="116"/>
  <c r="V3" i="116"/>
  <c r="X2" i="116"/>
  <c r="W2" i="116"/>
  <c r="V2" i="116"/>
  <c r="X1" i="116"/>
  <c r="V1" i="116" s="1"/>
  <c r="C69" i="115"/>
  <c r="C62" i="115"/>
  <c r="C55" i="115"/>
  <c r="X49" i="115"/>
  <c r="W49" i="115"/>
  <c r="V49" i="115"/>
  <c r="X48" i="115"/>
  <c r="W48" i="115"/>
  <c r="V48" i="115"/>
  <c r="X47" i="115"/>
  <c r="W47" i="115"/>
  <c r="V47" i="115"/>
  <c r="X44" i="115"/>
  <c r="W44" i="115"/>
  <c r="V44" i="115"/>
  <c r="X43" i="115"/>
  <c r="W43" i="115"/>
  <c r="V43" i="115"/>
  <c r="X42" i="115"/>
  <c r="W42" i="115"/>
  <c r="V42" i="115"/>
  <c r="E40" i="115"/>
  <c r="X39" i="115"/>
  <c r="W39" i="115"/>
  <c r="V39" i="115"/>
  <c r="E39" i="115"/>
  <c r="X38" i="115"/>
  <c r="W38" i="115"/>
  <c r="V38" i="115"/>
  <c r="E38" i="115"/>
  <c r="X37" i="115"/>
  <c r="W37" i="115"/>
  <c r="V37" i="115"/>
  <c r="X34" i="115"/>
  <c r="W34" i="115"/>
  <c r="V34" i="115"/>
  <c r="X33" i="115"/>
  <c r="W33" i="115"/>
  <c r="V33" i="115"/>
  <c r="X32" i="115"/>
  <c r="W32" i="115"/>
  <c r="V32" i="115"/>
  <c r="X29" i="115"/>
  <c r="W29" i="115"/>
  <c r="V29" i="115"/>
  <c r="X28" i="115"/>
  <c r="W28" i="115"/>
  <c r="V28" i="115"/>
  <c r="X27" i="115"/>
  <c r="W27" i="115"/>
  <c r="V27" i="115"/>
  <c r="AJ20" i="115"/>
  <c r="X19" i="115"/>
  <c r="W19" i="115"/>
  <c r="V19" i="115"/>
  <c r="X18" i="115"/>
  <c r="W18" i="115"/>
  <c r="V18" i="115"/>
  <c r="X17" i="115"/>
  <c r="W17" i="115"/>
  <c r="V17" i="115"/>
  <c r="AM16" i="115"/>
  <c r="AM12" i="115" s="1"/>
  <c r="AL16" i="115"/>
  <c r="AL12" i="115" s="1"/>
  <c r="AK16" i="115"/>
  <c r="AK12" i="115" s="1"/>
  <c r="AJ16" i="115"/>
  <c r="AM15" i="115"/>
  <c r="AM11" i="115" s="1"/>
  <c r="AL15" i="115"/>
  <c r="AL11" i="115" s="1"/>
  <c r="AK15" i="115"/>
  <c r="AK11" i="115" s="1"/>
  <c r="AJ15" i="115"/>
  <c r="AM14" i="115"/>
  <c r="AM10" i="115" s="1"/>
  <c r="AL14" i="115"/>
  <c r="AL10" i="115" s="1"/>
  <c r="AK14" i="115"/>
  <c r="AK10" i="115" s="1"/>
  <c r="AJ14" i="115"/>
  <c r="X14" i="115"/>
  <c r="W14" i="115"/>
  <c r="V14" i="115"/>
  <c r="X13" i="115"/>
  <c r="W13" i="115"/>
  <c r="V13" i="115"/>
  <c r="X12" i="115"/>
  <c r="W12" i="115"/>
  <c r="V12" i="115"/>
  <c r="X9" i="115"/>
  <c r="W9" i="115"/>
  <c r="V9" i="115"/>
  <c r="X8" i="115"/>
  <c r="W8" i="115"/>
  <c r="V8" i="115"/>
  <c r="X7" i="115"/>
  <c r="W7" i="115"/>
  <c r="V7" i="115"/>
  <c r="X4" i="115"/>
  <c r="W4" i="115"/>
  <c r="V4" i="115"/>
  <c r="X3" i="115"/>
  <c r="W3" i="115"/>
  <c r="V3" i="115"/>
  <c r="X2" i="115"/>
  <c r="W2" i="115"/>
  <c r="V2" i="115"/>
  <c r="X1" i="115"/>
  <c r="V1" i="115" s="1"/>
  <c r="C69" i="114"/>
  <c r="C62" i="114"/>
  <c r="C55" i="114"/>
  <c r="X49" i="114"/>
  <c r="W49" i="114"/>
  <c r="V49" i="114"/>
  <c r="X48" i="114"/>
  <c r="W48" i="114"/>
  <c r="V48" i="114"/>
  <c r="X47" i="114"/>
  <c r="W47" i="114"/>
  <c r="V47" i="114"/>
  <c r="X44" i="114"/>
  <c r="W44" i="114"/>
  <c r="V44" i="114"/>
  <c r="X43" i="114"/>
  <c r="W43" i="114"/>
  <c r="V43" i="114"/>
  <c r="X42" i="114"/>
  <c r="W42" i="114"/>
  <c r="V42" i="114"/>
  <c r="E40" i="114"/>
  <c r="X39" i="114"/>
  <c r="W39" i="114"/>
  <c r="V39" i="114"/>
  <c r="E39" i="114"/>
  <c r="X38" i="114"/>
  <c r="W38" i="114"/>
  <c r="V38" i="114"/>
  <c r="E38" i="114"/>
  <c r="X37" i="114"/>
  <c r="W37" i="114"/>
  <c r="V37" i="114"/>
  <c r="X34" i="114"/>
  <c r="W34" i="114"/>
  <c r="V34" i="114"/>
  <c r="X33" i="114"/>
  <c r="W33" i="114"/>
  <c r="V33" i="114"/>
  <c r="X32" i="114"/>
  <c r="W32" i="114"/>
  <c r="V32" i="114"/>
  <c r="X29" i="114"/>
  <c r="W29" i="114"/>
  <c r="V29" i="114"/>
  <c r="X28" i="114"/>
  <c r="W28" i="114"/>
  <c r="V28" i="114"/>
  <c r="X27" i="114"/>
  <c r="W27" i="114"/>
  <c r="V27" i="114"/>
  <c r="AJ24" i="114"/>
  <c r="AJ20" i="114"/>
  <c r="X19" i="114"/>
  <c r="W19" i="114"/>
  <c r="V19" i="114"/>
  <c r="X18" i="114"/>
  <c r="W18" i="114"/>
  <c r="V18" i="114"/>
  <c r="X17" i="114"/>
  <c r="W17" i="114"/>
  <c r="V17" i="114"/>
  <c r="AM16" i="114"/>
  <c r="AM12" i="114" s="1"/>
  <c r="AL16" i="114"/>
  <c r="AL12" i="114" s="1"/>
  <c r="AK16" i="114"/>
  <c r="AK12" i="114" s="1"/>
  <c r="AJ16" i="114"/>
  <c r="AM15" i="114"/>
  <c r="AM11" i="114" s="1"/>
  <c r="AL15" i="114"/>
  <c r="AL11" i="114" s="1"/>
  <c r="AK15" i="114"/>
  <c r="AK11" i="114" s="1"/>
  <c r="AJ15" i="114"/>
  <c r="AM14" i="114"/>
  <c r="AM10" i="114" s="1"/>
  <c r="AL14" i="114"/>
  <c r="AL10" i="114" s="1"/>
  <c r="AK14" i="114"/>
  <c r="AK10" i="114" s="1"/>
  <c r="AJ14" i="114"/>
  <c r="X14" i="114"/>
  <c r="W14" i="114"/>
  <c r="V14" i="114"/>
  <c r="X13" i="114"/>
  <c r="W13" i="114"/>
  <c r="V13" i="114"/>
  <c r="X12" i="114"/>
  <c r="W12" i="114"/>
  <c r="V12" i="114"/>
  <c r="X9" i="114"/>
  <c r="W9" i="114"/>
  <c r="V9" i="114"/>
  <c r="X8" i="114"/>
  <c r="W8" i="114"/>
  <c r="V8" i="114"/>
  <c r="X7" i="114"/>
  <c r="W7" i="114"/>
  <c r="V7" i="114"/>
  <c r="X4" i="114"/>
  <c r="W4" i="114"/>
  <c r="V4" i="114"/>
  <c r="X3" i="114"/>
  <c r="W3" i="114"/>
  <c r="V3" i="114"/>
  <c r="X2" i="114"/>
  <c r="W2" i="114"/>
  <c r="V2" i="114"/>
  <c r="X1" i="114"/>
  <c r="V1" i="114" s="1"/>
  <c r="R69" i="113"/>
  <c r="C69" i="113"/>
  <c r="S270" i="124" s="1"/>
  <c r="C62" i="113"/>
  <c r="S263" i="124" s="1"/>
  <c r="C55" i="113"/>
  <c r="S256" i="124" s="1"/>
  <c r="X49" i="113"/>
  <c r="W49" i="113"/>
  <c r="V49" i="113"/>
  <c r="X48" i="113"/>
  <c r="W48" i="113"/>
  <c r="V48" i="113"/>
  <c r="X47" i="113"/>
  <c r="W47" i="113"/>
  <c r="V47" i="113"/>
  <c r="X44" i="113"/>
  <c r="W44" i="113"/>
  <c r="V44" i="113"/>
  <c r="X43" i="113"/>
  <c r="W43" i="113"/>
  <c r="V43" i="113"/>
  <c r="X42" i="113"/>
  <c r="W42" i="113"/>
  <c r="V42" i="113"/>
  <c r="E40" i="113"/>
  <c r="X39" i="113"/>
  <c r="W39" i="113"/>
  <c r="V39" i="113"/>
  <c r="E39" i="113"/>
  <c r="X38" i="113"/>
  <c r="W38" i="113"/>
  <c r="V38" i="113"/>
  <c r="E38" i="113"/>
  <c r="X37" i="113"/>
  <c r="W37" i="113"/>
  <c r="V37" i="113"/>
  <c r="X34" i="113"/>
  <c r="W34" i="113"/>
  <c r="V34" i="113"/>
  <c r="X33" i="113"/>
  <c r="W33" i="113"/>
  <c r="V33" i="113"/>
  <c r="X32" i="113"/>
  <c r="W32" i="113"/>
  <c r="V32" i="113"/>
  <c r="X29" i="113"/>
  <c r="W29" i="113"/>
  <c r="V29" i="113"/>
  <c r="X28" i="113"/>
  <c r="W28" i="113"/>
  <c r="V28" i="113"/>
  <c r="X27" i="113"/>
  <c r="W27" i="113"/>
  <c r="V27" i="113"/>
  <c r="AJ20" i="113"/>
  <c r="X19" i="113"/>
  <c r="W19" i="113"/>
  <c r="V19" i="113"/>
  <c r="X18" i="113"/>
  <c r="W18" i="113"/>
  <c r="V18" i="113"/>
  <c r="X17" i="113"/>
  <c r="W17" i="113"/>
  <c r="V17" i="113"/>
  <c r="AM16" i="113"/>
  <c r="AM12" i="113" s="1"/>
  <c r="AL16" i="113"/>
  <c r="AL12" i="113" s="1"/>
  <c r="AK16" i="113"/>
  <c r="AK12" i="113" s="1"/>
  <c r="AJ16" i="113"/>
  <c r="AM15" i="113"/>
  <c r="AM11" i="113" s="1"/>
  <c r="AL15" i="113"/>
  <c r="AL11" i="113" s="1"/>
  <c r="AK15" i="113"/>
  <c r="AK11" i="113" s="1"/>
  <c r="AJ15" i="113"/>
  <c r="AM14" i="113"/>
  <c r="AM10" i="113" s="1"/>
  <c r="AL14" i="113"/>
  <c r="AL10" i="113" s="1"/>
  <c r="AK14" i="113"/>
  <c r="AK10" i="113" s="1"/>
  <c r="AJ14" i="113"/>
  <c r="X14" i="113"/>
  <c r="W14" i="113"/>
  <c r="V14" i="113"/>
  <c r="X13" i="113"/>
  <c r="W13" i="113"/>
  <c r="V13" i="113"/>
  <c r="X12" i="113"/>
  <c r="W12" i="113"/>
  <c r="V12" i="113"/>
  <c r="X4" i="113"/>
  <c r="W4" i="113"/>
  <c r="V4" i="113"/>
  <c r="X3" i="113"/>
  <c r="W3" i="113"/>
  <c r="V3" i="113"/>
  <c r="X2" i="113"/>
  <c r="W2" i="113"/>
  <c r="V2" i="113"/>
  <c r="X1" i="113"/>
  <c r="V1" i="113" s="1"/>
  <c r="M83" i="115" l="1"/>
  <c r="I344" i="124" s="1"/>
  <c r="M83" i="114"/>
  <c r="N344" i="124" s="1"/>
  <c r="P22" i="118"/>
  <c r="P22" i="119"/>
  <c r="M84" i="115"/>
  <c r="I345" i="124" s="1"/>
  <c r="K45" i="113"/>
  <c r="N270" i="124"/>
  <c r="N263" i="124"/>
  <c r="D263" i="124"/>
  <c r="N376" i="124"/>
  <c r="N317" i="124"/>
  <c r="N288" i="124"/>
  <c r="N328" i="124"/>
  <c r="K45" i="114"/>
  <c r="N372" i="124"/>
  <c r="N339" i="124"/>
  <c r="I372" i="124"/>
  <c r="I376" i="124"/>
  <c r="I317" i="124"/>
  <c r="I288" i="124"/>
  <c r="I328" i="124"/>
  <c r="I310" i="124"/>
  <c r="I339" i="124"/>
  <c r="I270" i="124"/>
  <c r="I263" i="124"/>
  <c r="I256" i="124"/>
  <c r="D303" i="124"/>
  <c r="D270" i="124"/>
  <c r="D256" i="124"/>
  <c r="M43" i="113"/>
  <c r="M43" i="114"/>
  <c r="J45" i="113"/>
  <c r="M42" i="113"/>
  <c r="J45" i="114"/>
  <c r="M42" i="114"/>
  <c r="M43" i="115"/>
  <c r="J45" i="115"/>
  <c r="N45" i="115"/>
  <c r="K45" i="115"/>
  <c r="M42" i="115"/>
  <c r="I49" i="113"/>
  <c r="I45" i="113" s="1"/>
  <c r="I45" i="114"/>
  <c r="I49" i="115"/>
  <c r="I45" i="115" s="1"/>
  <c r="Q42" i="114"/>
  <c r="S288" i="124"/>
  <c r="S310" i="124"/>
  <c r="S328" i="124"/>
  <c r="S372" i="124"/>
  <c r="S376" i="124"/>
  <c r="S317" i="124"/>
  <c r="S339" i="124"/>
  <c r="N256" i="124"/>
  <c r="N310" i="124"/>
  <c r="S364" i="124"/>
  <c r="I282" i="124"/>
  <c r="S345" i="124"/>
  <c r="S282" i="124"/>
  <c r="N282" i="124"/>
  <c r="S344" i="124"/>
  <c r="E17" i="113"/>
  <c r="E17" i="114"/>
  <c r="E17" i="115"/>
  <c r="T13" i="113"/>
  <c r="S13" i="113"/>
  <c r="R13" i="113"/>
  <c r="S12" i="113"/>
  <c r="R12" i="113"/>
  <c r="T12" i="113"/>
  <c r="T12" i="114"/>
  <c r="S12" i="114"/>
  <c r="R12" i="114"/>
  <c r="T13" i="114"/>
  <c r="S13" i="114"/>
  <c r="R13" i="114"/>
  <c r="T12" i="115"/>
  <c r="S12" i="115"/>
  <c r="R12" i="115"/>
  <c r="T13" i="115"/>
  <c r="S13" i="115"/>
  <c r="R13" i="115"/>
  <c r="J23" i="54"/>
  <c r="I23" i="54"/>
  <c r="H23" i="54"/>
  <c r="M59" i="113"/>
  <c r="M59" i="114"/>
  <c r="M59" i="115"/>
  <c r="AJ27" i="113"/>
  <c r="AJ11" i="113" s="1"/>
  <c r="C75" i="113"/>
  <c r="R59" i="113"/>
  <c r="H16" i="113"/>
  <c r="AJ26" i="113"/>
  <c r="AJ10" i="113" s="1"/>
  <c r="H16" i="114"/>
  <c r="I20" i="114"/>
  <c r="H18" i="114"/>
  <c r="H17" i="114"/>
  <c r="AJ27" i="114"/>
  <c r="AJ11" i="114" s="1"/>
  <c r="AJ26" i="114"/>
  <c r="AJ10" i="114" s="1"/>
  <c r="C75" i="114"/>
  <c r="R59" i="114"/>
  <c r="AJ26" i="115"/>
  <c r="AJ10" i="115" s="1"/>
  <c r="C75" i="115"/>
  <c r="R59" i="115"/>
  <c r="AJ27" i="115"/>
  <c r="AJ11" i="115" s="1"/>
  <c r="M84" i="114"/>
  <c r="R69" i="114"/>
  <c r="H25" i="113"/>
  <c r="AJ48" i="113"/>
  <c r="AJ12" i="113" s="1"/>
  <c r="R79" i="115"/>
  <c r="H16" i="115"/>
  <c r="Y46" i="113"/>
  <c r="O45" i="115"/>
  <c r="X6" i="115"/>
  <c r="V6" i="115" s="1"/>
  <c r="Y41" i="115"/>
  <c r="X6" i="113"/>
  <c r="X6" i="114"/>
  <c r="V6" i="114" s="1"/>
  <c r="H4" i="116"/>
  <c r="H3" i="116"/>
  <c r="I3" i="116" s="1"/>
  <c r="Y11" i="116"/>
  <c r="Y21" i="116"/>
  <c r="Y16" i="116"/>
  <c r="Y16" i="113"/>
  <c r="Y11" i="115"/>
  <c r="Y6" i="116"/>
  <c r="R71" i="113"/>
  <c r="AJ48" i="116"/>
  <c r="AJ12" i="116" s="1"/>
  <c r="H18" i="113"/>
  <c r="H17" i="113"/>
  <c r="R79" i="114"/>
  <c r="E18" i="114"/>
  <c r="AJ48" i="114"/>
  <c r="AJ12" i="114" s="1"/>
  <c r="R71" i="115"/>
  <c r="R63" i="116"/>
  <c r="AJ73" i="113"/>
  <c r="AJ73" i="114"/>
  <c r="AJ73" i="115"/>
  <c r="AJ73" i="116"/>
  <c r="AJ69" i="116"/>
  <c r="R79" i="116"/>
  <c r="R71" i="116"/>
  <c r="Y21" i="113"/>
  <c r="Y21" i="114"/>
  <c r="Y11" i="114"/>
  <c r="Y6" i="115"/>
  <c r="Y6" i="114"/>
  <c r="Y1" i="113"/>
  <c r="X6" i="116"/>
  <c r="V6" i="116" s="1"/>
  <c r="R79" i="113"/>
  <c r="AJ69" i="113"/>
  <c r="Y36" i="115"/>
  <c r="Y36" i="116"/>
  <c r="Q44" i="114"/>
  <c r="R71" i="114"/>
  <c r="AJ69" i="114"/>
  <c r="H18" i="115"/>
  <c r="AJ48" i="115"/>
  <c r="AJ12" i="115" s="1"/>
  <c r="Q42" i="115"/>
  <c r="AJ69" i="115"/>
  <c r="H17" i="115"/>
  <c r="R69" i="116"/>
  <c r="Y46" i="114"/>
  <c r="Y46" i="115"/>
  <c r="Y46" i="116"/>
  <c r="Y41" i="113"/>
  <c r="Y36" i="113"/>
  <c r="Y36" i="114"/>
  <c r="Y31" i="113"/>
  <c r="Y31" i="114"/>
  <c r="Q42" i="116"/>
  <c r="Y26" i="113"/>
  <c r="Y26" i="114"/>
  <c r="Y26" i="116"/>
  <c r="Y26" i="115"/>
  <c r="R69" i="115"/>
  <c r="Q44" i="116"/>
  <c r="Q43" i="115"/>
  <c r="P45" i="115"/>
  <c r="N45" i="114"/>
  <c r="P45" i="114"/>
  <c r="M2" i="117"/>
  <c r="M2" i="119"/>
  <c r="M2" i="118"/>
  <c r="Q43" i="116"/>
  <c r="N45" i="116"/>
  <c r="Y41" i="116"/>
  <c r="O45" i="116"/>
  <c r="P45" i="116"/>
  <c r="Y31" i="116"/>
  <c r="Y1" i="116"/>
  <c r="R70" i="116"/>
  <c r="Y1" i="115"/>
  <c r="H5" i="115"/>
  <c r="I6" i="115" s="1"/>
  <c r="H4" i="115"/>
  <c r="H3" i="115"/>
  <c r="Y21" i="115"/>
  <c r="Y16" i="115"/>
  <c r="Q44" i="115"/>
  <c r="E18" i="115"/>
  <c r="Y31" i="115"/>
  <c r="R70" i="115"/>
  <c r="O67" i="115"/>
  <c r="H73" i="115" s="1"/>
  <c r="O45" i="114"/>
  <c r="Q43" i="114"/>
  <c r="O75" i="114"/>
  <c r="O76" i="114"/>
  <c r="O67" i="114"/>
  <c r="H73" i="114" s="1"/>
  <c r="Y1" i="114"/>
  <c r="Y16" i="114"/>
  <c r="Y41" i="114"/>
  <c r="H5" i="114"/>
  <c r="I6" i="114" s="1"/>
  <c r="H4" i="114"/>
  <c r="H3" i="114"/>
  <c r="R70" i="114"/>
  <c r="Y6" i="113"/>
  <c r="E18" i="113"/>
  <c r="Y11" i="113"/>
  <c r="P45" i="113"/>
  <c r="H5" i="113"/>
  <c r="I6" i="113" s="1"/>
  <c r="H4" i="113"/>
  <c r="H3" i="113"/>
  <c r="O76" i="113"/>
  <c r="O75" i="113"/>
  <c r="O67" i="113"/>
  <c r="H73" i="113" s="1"/>
  <c r="R70" i="113"/>
  <c r="I46" i="9"/>
  <c r="H46" i="9"/>
  <c r="G46" i="9"/>
  <c r="F46" i="9"/>
  <c r="E46" i="9"/>
  <c r="D46" i="9"/>
  <c r="C46" i="9"/>
  <c r="B46" i="9"/>
  <c r="I71" i="9"/>
  <c r="H71" i="9"/>
  <c r="G71" i="9"/>
  <c r="F71" i="9"/>
  <c r="E71" i="9"/>
  <c r="D71" i="9"/>
  <c r="C71" i="9"/>
  <c r="B71" i="9"/>
  <c r="I96" i="9"/>
  <c r="H96" i="9"/>
  <c r="F96" i="9"/>
  <c r="E96" i="9"/>
  <c r="D96" i="9"/>
  <c r="C96" i="9"/>
  <c r="B96" i="9"/>
  <c r="I146" i="9"/>
  <c r="H146" i="9"/>
  <c r="G146" i="9"/>
  <c r="F146" i="9"/>
  <c r="E146" i="9"/>
  <c r="D146" i="9"/>
  <c r="C146" i="9"/>
  <c r="B146" i="9"/>
  <c r="C121" i="9"/>
  <c r="D121" i="9"/>
  <c r="E121" i="9"/>
  <c r="F121" i="9"/>
  <c r="G121" i="9"/>
  <c r="H121" i="9"/>
  <c r="I121" i="9"/>
  <c r="B121" i="9"/>
  <c r="X11" i="113" l="1"/>
  <c r="V11" i="113" s="1"/>
  <c r="V6" i="113"/>
  <c r="N354" i="124"/>
  <c r="N320" i="124"/>
  <c r="N374" i="124"/>
  <c r="N276" i="124"/>
  <c r="N303" i="124"/>
  <c r="I354" i="124"/>
  <c r="I276" i="124"/>
  <c r="I303" i="124"/>
  <c r="I374" i="124"/>
  <c r="I366" i="124"/>
  <c r="I320" i="124"/>
  <c r="D366" i="124"/>
  <c r="D374" i="124"/>
  <c r="D358" i="124"/>
  <c r="S366" i="124"/>
  <c r="S303" i="124"/>
  <c r="S354" i="124"/>
  <c r="S374" i="124"/>
  <c r="S276" i="124"/>
  <c r="N366" i="124"/>
  <c r="S320" i="124"/>
  <c r="S365" i="124"/>
  <c r="I365" i="124"/>
  <c r="N364" i="124"/>
  <c r="D364" i="124"/>
  <c r="N345" i="124"/>
  <c r="N365" i="124"/>
  <c r="D365" i="124"/>
  <c r="I364" i="124"/>
  <c r="J62" i="124"/>
  <c r="O62" i="124"/>
  <c r="T62" i="124"/>
  <c r="C63" i="113"/>
  <c r="R66" i="116"/>
  <c r="I16" i="114"/>
  <c r="X11" i="115"/>
  <c r="V11" i="115" s="1"/>
  <c r="I3" i="114"/>
  <c r="I3" i="115"/>
  <c r="I3" i="113"/>
  <c r="I4" i="115"/>
  <c r="I4" i="113"/>
  <c r="I4" i="114"/>
  <c r="I4" i="116"/>
  <c r="I17" i="115"/>
  <c r="I17" i="114"/>
  <c r="I17" i="113"/>
  <c r="X11" i="114"/>
  <c r="V11" i="114" s="1"/>
  <c r="I16" i="113"/>
  <c r="X11" i="116"/>
  <c r="V11" i="116" s="1"/>
  <c r="R63" i="113"/>
  <c r="R63" i="114"/>
  <c r="AJ49" i="114"/>
  <c r="I16" i="115"/>
  <c r="R63" i="115"/>
  <c r="X16" i="113" l="1"/>
  <c r="V16" i="113" s="1"/>
  <c r="N358" i="124"/>
  <c r="I358" i="124"/>
  <c r="D361" i="124"/>
  <c r="S358" i="124"/>
  <c r="S264" i="124"/>
  <c r="AJ49" i="113"/>
  <c r="R66" i="113"/>
  <c r="R66" i="114"/>
  <c r="R66" i="115"/>
  <c r="X16" i="115"/>
  <c r="V16" i="115" s="1"/>
  <c r="X16" i="114"/>
  <c r="V16" i="114" s="1"/>
  <c r="X16" i="116"/>
  <c r="V16" i="116" s="1"/>
  <c r="AJ49" i="116"/>
  <c r="H43" i="8"/>
  <c r="X21" i="113" l="1"/>
  <c r="V21" i="113" s="1"/>
  <c r="N361" i="124"/>
  <c r="I361" i="124"/>
  <c r="S361" i="124"/>
  <c r="X26" i="113"/>
  <c r="V26" i="113" s="1"/>
  <c r="X21" i="115"/>
  <c r="V21" i="115" s="1"/>
  <c r="X21" i="114"/>
  <c r="V21" i="114" s="1"/>
  <c r="X21" i="116"/>
  <c r="V21" i="116" s="1"/>
  <c r="W28" i="111"/>
  <c r="P28" i="111"/>
  <c r="W25" i="111"/>
  <c r="P25" i="111"/>
  <c r="J25" i="111"/>
  <c r="H25" i="111"/>
  <c r="F25" i="111"/>
  <c r="W24" i="111"/>
  <c r="P24" i="111"/>
  <c r="J24" i="111"/>
  <c r="H24" i="111"/>
  <c r="F24" i="111"/>
  <c r="W23" i="111"/>
  <c r="P23" i="111"/>
  <c r="W22" i="111"/>
  <c r="P22" i="111"/>
  <c r="J22" i="111"/>
  <c r="H22" i="111"/>
  <c r="F22" i="111"/>
  <c r="W19" i="111"/>
  <c r="P19" i="111"/>
  <c r="W17" i="111"/>
  <c r="P17" i="111"/>
  <c r="W14" i="111"/>
  <c r="J14" i="111"/>
  <c r="H14" i="111"/>
  <c r="F14" i="111"/>
  <c r="W13" i="111"/>
  <c r="P13" i="111"/>
  <c r="J13" i="111"/>
  <c r="H13" i="111"/>
  <c r="F13" i="111"/>
  <c r="W12" i="111"/>
  <c r="T12" i="111"/>
  <c r="P12" i="111"/>
  <c r="J12" i="111"/>
  <c r="H12" i="111"/>
  <c r="F12" i="111"/>
  <c r="W9" i="111"/>
  <c r="T9" i="111"/>
  <c r="J9" i="111"/>
  <c r="H9" i="111"/>
  <c r="F9" i="111"/>
  <c r="E9" i="111"/>
  <c r="W8" i="111"/>
  <c r="T8" i="111"/>
  <c r="P8" i="111"/>
  <c r="J8" i="111"/>
  <c r="H8" i="111"/>
  <c r="F8" i="111"/>
  <c r="E8" i="111"/>
  <c r="W7" i="111"/>
  <c r="T7" i="111"/>
  <c r="P7" i="111"/>
  <c r="J7" i="111"/>
  <c r="H7" i="111"/>
  <c r="F7" i="111"/>
  <c r="E7" i="111"/>
  <c r="M83" i="110"/>
  <c r="R81" i="110"/>
  <c r="C81" i="110"/>
  <c r="H80" i="110"/>
  <c r="M78" i="110"/>
  <c r="R77" i="110"/>
  <c r="M67" i="110"/>
  <c r="H58" i="110"/>
  <c r="M56" i="110"/>
  <c r="I50" i="110"/>
  <c r="O49" i="110"/>
  <c r="M44" i="110" s="1"/>
  <c r="L49" i="110"/>
  <c r="K49" i="110"/>
  <c r="J49" i="110"/>
  <c r="O48" i="110"/>
  <c r="N48" i="110"/>
  <c r="L48" i="110"/>
  <c r="K48" i="110"/>
  <c r="J48" i="110"/>
  <c r="P47" i="110"/>
  <c r="L45" i="110" s="1"/>
  <c r="O47" i="110"/>
  <c r="N47" i="110"/>
  <c r="L47" i="110"/>
  <c r="K47" i="110"/>
  <c r="J47" i="110"/>
  <c r="O75" i="110"/>
  <c r="I34" i="110"/>
  <c r="E30" i="110"/>
  <c r="L9" i="110"/>
  <c r="K9" i="110"/>
  <c r="J9" i="110"/>
  <c r="L8" i="110"/>
  <c r="K8" i="110"/>
  <c r="J8" i="110"/>
  <c r="L7" i="110"/>
  <c r="K7" i="110"/>
  <c r="J7" i="110"/>
  <c r="H3" i="110"/>
  <c r="R69" i="110"/>
  <c r="C69" i="110"/>
  <c r="X270" i="124" s="1"/>
  <c r="C62" i="110"/>
  <c r="X263" i="124" s="1"/>
  <c r="C55" i="110"/>
  <c r="X256" i="124" s="1"/>
  <c r="X49" i="110"/>
  <c r="W49" i="110"/>
  <c r="V49" i="110"/>
  <c r="X48" i="110"/>
  <c r="W48" i="110"/>
  <c r="V48" i="110"/>
  <c r="X47" i="110"/>
  <c r="W47" i="110"/>
  <c r="V47" i="110"/>
  <c r="X44" i="110"/>
  <c r="W44" i="110"/>
  <c r="V44" i="110"/>
  <c r="X43" i="110"/>
  <c r="W43" i="110"/>
  <c r="V43" i="110"/>
  <c r="X42" i="110"/>
  <c r="W42" i="110"/>
  <c r="V42" i="110"/>
  <c r="E40" i="110"/>
  <c r="X39" i="110"/>
  <c r="W39" i="110"/>
  <c r="V39" i="110"/>
  <c r="E39" i="110"/>
  <c r="X38" i="110"/>
  <c r="W38" i="110"/>
  <c r="V38" i="110"/>
  <c r="E38" i="110"/>
  <c r="X37" i="110"/>
  <c r="W37" i="110"/>
  <c r="V37" i="110"/>
  <c r="X34" i="110"/>
  <c r="W34" i="110"/>
  <c r="V34" i="110"/>
  <c r="X33" i="110"/>
  <c r="W33" i="110"/>
  <c r="V33" i="110"/>
  <c r="X32" i="110"/>
  <c r="W32" i="110"/>
  <c r="V32" i="110"/>
  <c r="X29" i="110"/>
  <c r="W29" i="110"/>
  <c r="V29" i="110"/>
  <c r="X28" i="110"/>
  <c r="W28" i="110"/>
  <c r="V28" i="110"/>
  <c r="X27" i="110"/>
  <c r="W27" i="110"/>
  <c r="V27" i="110"/>
  <c r="AJ20" i="110"/>
  <c r="X19" i="110"/>
  <c r="W19" i="110"/>
  <c r="V19" i="110"/>
  <c r="X18" i="110"/>
  <c r="W18" i="110"/>
  <c r="V18" i="110"/>
  <c r="X17" i="110"/>
  <c r="W17" i="110"/>
  <c r="V17" i="110"/>
  <c r="AM16" i="110"/>
  <c r="AM12" i="110" s="1"/>
  <c r="AL16" i="110"/>
  <c r="AL12" i="110" s="1"/>
  <c r="AK16" i="110"/>
  <c r="AK12" i="110" s="1"/>
  <c r="AJ16" i="110"/>
  <c r="AM15" i="110"/>
  <c r="AM11" i="110" s="1"/>
  <c r="AL15" i="110"/>
  <c r="AL11" i="110" s="1"/>
  <c r="AK15" i="110"/>
  <c r="AK11" i="110" s="1"/>
  <c r="AJ15" i="110"/>
  <c r="AM14" i="110"/>
  <c r="AM10" i="110" s="1"/>
  <c r="AL14" i="110"/>
  <c r="AL10" i="110" s="1"/>
  <c r="AK14" i="110"/>
  <c r="AK10" i="110" s="1"/>
  <c r="AJ14" i="110"/>
  <c r="X14" i="110"/>
  <c r="W14" i="110"/>
  <c r="V14" i="110"/>
  <c r="X13" i="110"/>
  <c r="W13" i="110"/>
  <c r="V13" i="110"/>
  <c r="X12" i="110"/>
  <c r="W12" i="110"/>
  <c r="V12" i="110"/>
  <c r="X9" i="110"/>
  <c r="W9" i="110"/>
  <c r="V9" i="110"/>
  <c r="X8" i="110"/>
  <c r="W8" i="110"/>
  <c r="V8" i="110"/>
  <c r="X7" i="110"/>
  <c r="W7" i="110"/>
  <c r="V7" i="110"/>
  <c r="X4" i="110"/>
  <c r="W4" i="110"/>
  <c r="V4" i="110"/>
  <c r="X3" i="110"/>
  <c r="W3" i="110"/>
  <c r="V3" i="110"/>
  <c r="X2" i="110"/>
  <c r="W2" i="110"/>
  <c r="V2" i="110"/>
  <c r="X1" i="110"/>
  <c r="V1" i="110" s="1"/>
  <c r="K45" i="110" l="1"/>
  <c r="X376" i="124"/>
  <c r="X288" i="124"/>
  <c r="X328" i="124"/>
  <c r="X372" i="124"/>
  <c r="X339" i="124"/>
  <c r="X310" i="124"/>
  <c r="M43" i="110"/>
  <c r="M42" i="110"/>
  <c r="J45" i="110"/>
  <c r="I49" i="110"/>
  <c r="I45" i="110" s="1"/>
  <c r="X344" i="124"/>
  <c r="X364" i="124"/>
  <c r="X282" i="124"/>
  <c r="X317" i="124"/>
  <c r="M59" i="110"/>
  <c r="E17" i="110"/>
  <c r="T12" i="110"/>
  <c r="S12" i="110"/>
  <c r="R12" i="110"/>
  <c r="T13" i="110"/>
  <c r="S13" i="110"/>
  <c r="R13" i="110"/>
  <c r="K23" i="54"/>
  <c r="X31" i="113"/>
  <c r="V31" i="113" s="1"/>
  <c r="X26" i="115"/>
  <c r="AJ27" i="110"/>
  <c r="AJ11" i="110" s="1"/>
  <c r="H16" i="110"/>
  <c r="I20" i="110"/>
  <c r="AJ26" i="110"/>
  <c r="AJ10" i="110" s="1"/>
  <c r="R59" i="110"/>
  <c r="C75" i="110"/>
  <c r="H25" i="110"/>
  <c r="X26" i="114"/>
  <c r="V26" i="114" s="1"/>
  <c r="Y16" i="110"/>
  <c r="Y6" i="110"/>
  <c r="Y41" i="110"/>
  <c r="AJ69" i="110"/>
  <c r="R79" i="110"/>
  <c r="R71" i="110"/>
  <c r="AJ73" i="110"/>
  <c r="AJ48" i="110"/>
  <c r="AJ12" i="110" s="1"/>
  <c r="Y21" i="110"/>
  <c r="Y11" i="110"/>
  <c r="Y1" i="110"/>
  <c r="X26" i="116"/>
  <c r="V26" i="116" s="1"/>
  <c r="H18" i="110"/>
  <c r="H17" i="110"/>
  <c r="Y31" i="110"/>
  <c r="R70" i="110"/>
  <c r="N45" i="110"/>
  <c r="H5" i="110"/>
  <c r="Y36" i="110"/>
  <c r="M2" i="111"/>
  <c r="P45" i="110"/>
  <c r="Q44" i="110"/>
  <c r="H4" i="110"/>
  <c r="E18" i="110"/>
  <c r="Y26" i="110"/>
  <c r="Q43" i="110"/>
  <c r="Y46" i="110"/>
  <c r="O45" i="110"/>
  <c r="Q42" i="110"/>
  <c r="X6" i="110"/>
  <c r="V6" i="110" s="1"/>
  <c r="O67" i="110"/>
  <c r="H73" i="110" s="1"/>
  <c r="O76" i="110"/>
  <c r="I3" i="110" l="1"/>
  <c r="I6" i="110"/>
  <c r="X31" i="115"/>
  <c r="V31" i="115" s="1"/>
  <c r="V26" i="115"/>
  <c r="X374" i="124"/>
  <c r="X276" i="124"/>
  <c r="X354" i="124"/>
  <c r="X320" i="124"/>
  <c r="X303" i="124"/>
  <c r="X366" i="124"/>
  <c r="X365" i="124"/>
  <c r="Y62" i="124"/>
  <c r="C63" i="110"/>
  <c r="X36" i="113"/>
  <c r="V36" i="113" s="1"/>
  <c r="I16" i="110"/>
  <c r="I4" i="110"/>
  <c r="X31" i="114"/>
  <c r="V31" i="114" s="1"/>
  <c r="R63" i="110"/>
  <c r="X31" i="116"/>
  <c r="V31" i="116" s="1"/>
  <c r="I17" i="110"/>
  <c r="X11" i="110"/>
  <c r="V11" i="110" s="1"/>
  <c r="X36" i="115" l="1"/>
  <c r="V36" i="115" s="1"/>
  <c r="X358" i="124"/>
  <c r="X264" i="124"/>
  <c r="R66" i="110"/>
  <c r="AJ49" i="110"/>
  <c r="X41" i="113"/>
  <c r="V41" i="113" s="1"/>
  <c r="X36" i="114"/>
  <c r="V36" i="114" s="1"/>
  <c r="X36" i="116"/>
  <c r="V36" i="116" s="1"/>
  <c r="X41" i="115"/>
  <c r="V41" i="115" s="1"/>
  <c r="X16" i="110"/>
  <c r="V16" i="110" s="1"/>
  <c r="X361" i="124" l="1"/>
  <c r="X46" i="113"/>
  <c r="V46" i="113" s="1"/>
  <c r="X41" i="114"/>
  <c r="V41" i="114" s="1"/>
  <c r="X41" i="116"/>
  <c r="V41" i="116" s="1"/>
  <c r="X46" i="115"/>
  <c r="V46" i="115" s="1"/>
  <c r="X21" i="110"/>
  <c r="V21" i="110" s="1"/>
  <c r="X46" i="114" l="1"/>
  <c r="V46" i="114" s="1"/>
  <c r="X46" i="116"/>
  <c r="V46" i="116" s="1"/>
  <c r="X26" i="110"/>
  <c r="V26" i="110" s="1"/>
  <c r="X31" i="110" l="1"/>
  <c r="V31" i="110" s="1"/>
  <c r="O198" i="94"/>
  <c r="O197" i="94"/>
  <c r="O196" i="94"/>
  <c r="O195" i="94"/>
  <c r="O194" i="94"/>
  <c r="O193" i="94"/>
  <c r="O192" i="94"/>
  <c r="O191" i="94"/>
  <c r="O190" i="94"/>
  <c r="O189" i="94"/>
  <c r="O188" i="94"/>
  <c r="O187" i="94"/>
  <c r="O186" i="94"/>
  <c r="O185" i="94"/>
  <c r="O184" i="94"/>
  <c r="O183" i="94"/>
  <c r="O182" i="94"/>
  <c r="O181" i="94"/>
  <c r="O180" i="94"/>
  <c r="O179" i="94"/>
  <c r="O176" i="94"/>
  <c r="O177" i="94"/>
  <c r="O178" i="94"/>
  <c r="O151" i="94"/>
  <c r="O152" i="94"/>
  <c r="O153" i="94"/>
  <c r="O154" i="94"/>
  <c r="O155" i="94"/>
  <c r="O156" i="94"/>
  <c r="O157" i="94"/>
  <c r="O158" i="94"/>
  <c r="O159" i="94"/>
  <c r="O160" i="94"/>
  <c r="O161" i="94"/>
  <c r="O162" i="94"/>
  <c r="O163" i="94"/>
  <c r="O164" i="94"/>
  <c r="O165" i="94"/>
  <c r="O166" i="94"/>
  <c r="O167" i="94"/>
  <c r="O168" i="94"/>
  <c r="O169" i="94"/>
  <c r="O170" i="94"/>
  <c r="O171" i="94"/>
  <c r="O172" i="94"/>
  <c r="O173" i="94"/>
  <c r="O174" i="94"/>
  <c r="O175" i="94"/>
  <c r="O122" i="94"/>
  <c r="O123" i="94"/>
  <c r="O124" i="94"/>
  <c r="O125" i="94"/>
  <c r="O126" i="94"/>
  <c r="O127" i="94"/>
  <c r="O128" i="94"/>
  <c r="O129" i="94"/>
  <c r="O130" i="94"/>
  <c r="O131" i="94"/>
  <c r="O132" i="94"/>
  <c r="O133" i="94"/>
  <c r="O134" i="94"/>
  <c r="O135" i="94"/>
  <c r="O136" i="94"/>
  <c r="O137" i="94"/>
  <c r="O138" i="94"/>
  <c r="O139" i="94"/>
  <c r="O140" i="94"/>
  <c r="O141" i="94"/>
  <c r="O142" i="94"/>
  <c r="O143" i="94"/>
  <c r="O144" i="94"/>
  <c r="O145" i="94"/>
  <c r="O146" i="94"/>
  <c r="O147" i="94"/>
  <c r="O148" i="94"/>
  <c r="O149" i="94"/>
  <c r="O150" i="94"/>
  <c r="O98" i="94"/>
  <c r="O99" i="94"/>
  <c r="O100" i="94"/>
  <c r="O101" i="94"/>
  <c r="O102" i="94"/>
  <c r="O103" i="94"/>
  <c r="O104" i="94"/>
  <c r="O105" i="94"/>
  <c r="O106" i="94"/>
  <c r="O107" i="94"/>
  <c r="O108" i="94"/>
  <c r="O109" i="94"/>
  <c r="O110" i="94"/>
  <c r="O111" i="94"/>
  <c r="O112" i="94"/>
  <c r="O113" i="94"/>
  <c r="O114" i="94"/>
  <c r="O115" i="94"/>
  <c r="O116" i="94"/>
  <c r="O117" i="94"/>
  <c r="O118" i="94"/>
  <c r="O119" i="94"/>
  <c r="O120" i="94"/>
  <c r="O121" i="94"/>
  <c r="O80" i="94"/>
  <c r="O81" i="94"/>
  <c r="O82" i="94"/>
  <c r="O83" i="94"/>
  <c r="O84" i="94"/>
  <c r="O85" i="94"/>
  <c r="O86" i="94"/>
  <c r="O87" i="94"/>
  <c r="O88" i="94"/>
  <c r="O89" i="94"/>
  <c r="O90" i="94"/>
  <c r="O91" i="94"/>
  <c r="O92" i="94"/>
  <c r="O93" i="94"/>
  <c r="O94" i="94"/>
  <c r="O95" i="94"/>
  <c r="O96" i="94"/>
  <c r="O97" i="94"/>
  <c r="O60" i="94"/>
  <c r="O61" i="94"/>
  <c r="O62" i="94"/>
  <c r="O63" i="94"/>
  <c r="O64" i="94"/>
  <c r="O65" i="94"/>
  <c r="O66" i="94"/>
  <c r="O67" i="94"/>
  <c r="O68" i="94"/>
  <c r="O69" i="94"/>
  <c r="O70" i="94"/>
  <c r="O71" i="94"/>
  <c r="O72" i="94"/>
  <c r="O73" i="94"/>
  <c r="O74" i="94"/>
  <c r="O75" i="94"/>
  <c r="O76" i="94"/>
  <c r="O77" i="94"/>
  <c r="O78" i="94"/>
  <c r="O79" i="94"/>
  <c r="O59" i="94"/>
  <c r="X36" i="110" l="1"/>
  <c r="V36" i="110" s="1"/>
  <c r="X41" i="110" l="1"/>
  <c r="V41" i="110" s="1"/>
  <c r="AO81" i="9" l="1"/>
  <c r="R81" i="9" s="1"/>
  <c r="X46" i="110"/>
  <c r="V46" i="110" s="1"/>
  <c r="W31" i="8" l="1"/>
  <c r="W21" i="8"/>
  <c r="W11" i="8"/>
  <c r="W30" i="8"/>
  <c r="D23" i="110" s="1"/>
  <c r="W20" i="8"/>
  <c r="C23" i="110" s="1"/>
  <c r="W10" i="8"/>
  <c r="B23" i="110" s="1"/>
  <c r="W29" i="8"/>
  <c r="D23" i="113" s="1"/>
  <c r="W19" i="8"/>
  <c r="C23" i="113" s="1"/>
  <c r="W9" i="8"/>
  <c r="B23" i="113" s="1"/>
  <c r="W28" i="8"/>
  <c r="D23" i="114" s="1"/>
  <c r="D26" i="114" s="1"/>
  <c r="W18" i="8"/>
  <c r="C23" i="114" s="1"/>
  <c r="W8" i="8"/>
  <c r="B23" i="114" s="1"/>
  <c r="W27" i="8"/>
  <c r="W17" i="8"/>
  <c r="W7" i="8"/>
  <c r="B23" i="115" s="1"/>
  <c r="W25" i="8"/>
  <c r="W15" i="8"/>
  <c r="W5" i="8"/>
  <c r="W24" i="8"/>
  <c r="W14" i="8"/>
  <c r="W4" i="8"/>
  <c r="W23" i="8"/>
  <c r="W13" i="8"/>
  <c r="W3" i="8"/>
  <c r="W22" i="8"/>
  <c r="W12" i="8"/>
  <c r="C26" i="110" l="1"/>
  <c r="D26" i="110"/>
  <c r="B26" i="110"/>
  <c r="D26" i="113"/>
  <c r="B26" i="113"/>
  <c r="C26" i="113"/>
  <c r="C26" i="114"/>
  <c r="B26" i="114"/>
  <c r="B26" i="115"/>
  <c r="B1" i="54" l="1"/>
  <c r="I9" i="8" l="1"/>
  <c r="Y27" i="8" l="1"/>
  <c r="V27" i="8"/>
  <c r="T27" i="8"/>
  <c r="Y17" i="8"/>
  <c r="V17" i="8"/>
  <c r="T17" i="8"/>
  <c r="Y7" i="8"/>
  <c r="V7" i="8"/>
  <c r="T7" i="8"/>
  <c r="U7" i="8"/>
  <c r="B19" i="116" l="1"/>
  <c r="F23" i="120" s="1"/>
  <c r="B119" i="124"/>
  <c r="C19" i="116"/>
  <c r="H23" i="120" s="1"/>
  <c r="C119" i="124"/>
  <c r="C422" i="124" s="1"/>
  <c r="C390" i="124" s="1"/>
  <c r="D19" i="116"/>
  <c r="J23" i="120" s="1"/>
  <c r="D119" i="124"/>
  <c r="D422" i="124" s="1"/>
  <c r="D390" i="124" s="1"/>
  <c r="E25" i="115"/>
  <c r="D23" i="115" s="1"/>
  <c r="E24" i="115"/>
  <c r="C23" i="115" s="1"/>
  <c r="K8" i="54"/>
  <c r="K5" i="54"/>
  <c r="J8" i="54"/>
  <c r="J5" i="54"/>
  <c r="I8" i="54"/>
  <c r="I5" i="54"/>
  <c r="H8" i="54"/>
  <c r="H5" i="54"/>
  <c r="G8" i="54"/>
  <c r="G5" i="54"/>
  <c r="E8" i="54"/>
  <c r="E5" i="54"/>
  <c r="D8" i="54"/>
  <c r="D5" i="54"/>
  <c r="C8" i="54"/>
  <c r="C5" i="54"/>
  <c r="B5" i="54"/>
  <c r="B8" i="54"/>
  <c r="AM41" i="116" l="1"/>
  <c r="AM9" i="116" s="1"/>
  <c r="AL41" i="116"/>
  <c r="AL9" i="116" s="1"/>
  <c r="AK41" i="116"/>
  <c r="C61" i="116"/>
  <c r="B422" i="124"/>
  <c r="B390" i="124" s="1"/>
  <c r="C262" i="124"/>
  <c r="D26" i="115"/>
  <c r="C26" i="115"/>
  <c r="A24" i="9"/>
  <c r="G1" i="9"/>
  <c r="D262" i="124" l="1"/>
  <c r="D31" i="9"/>
  <c r="F31" i="9"/>
  <c r="H31" i="9"/>
  <c r="B31" i="9"/>
  <c r="C31" i="9"/>
  <c r="E31" i="9"/>
  <c r="G31" i="9"/>
  <c r="I31" i="9"/>
  <c r="E17" i="9"/>
  <c r="E15" i="9"/>
  <c r="E14" i="9"/>
  <c r="E13" i="9"/>
  <c r="E12" i="9"/>
  <c r="E19" i="54" s="1"/>
  <c r="E11" i="9"/>
  <c r="E9" i="9"/>
  <c r="E6" i="9"/>
  <c r="E4" i="54" s="1"/>
  <c r="E5" i="9"/>
  <c r="E4" i="9"/>
  <c r="E3" i="9"/>
  <c r="C17" i="9"/>
  <c r="C15" i="9"/>
  <c r="C14" i="9"/>
  <c r="C13" i="9"/>
  <c r="C12" i="9"/>
  <c r="C19" i="54" s="1"/>
  <c r="D20" i="54" s="1"/>
  <c r="D21" i="54" s="1"/>
  <c r="C11" i="9"/>
  <c r="C9" i="9"/>
  <c r="C6" i="9"/>
  <c r="C4" i="54" s="1"/>
  <c r="C5" i="9"/>
  <c r="C4" i="9"/>
  <c r="C3" i="9"/>
  <c r="B17" i="9"/>
  <c r="B15" i="9"/>
  <c r="B14" i="9"/>
  <c r="B13" i="9"/>
  <c r="B12" i="9"/>
  <c r="B11" i="9"/>
  <c r="B9" i="9"/>
  <c r="B6" i="9"/>
  <c r="B4" i="54" s="1"/>
  <c r="B5" i="9"/>
  <c r="B4" i="9"/>
  <c r="B3" i="9"/>
  <c r="K13" i="54"/>
  <c r="I137" i="9"/>
  <c r="H137" i="9"/>
  <c r="G137" i="9"/>
  <c r="F137" i="9"/>
  <c r="E137" i="9"/>
  <c r="D137" i="9"/>
  <c r="C137" i="9"/>
  <c r="B137" i="9"/>
  <c r="I136" i="9"/>
  <c r="H136" i="9"/>
  <c r="G136" i="9"/>
  <c r="F136" i="9"/>
  <c r="E136" i="9"/>
  <c r="D136" i="9"/>
  <c r="C136" i="9"/>
  <c r="B136" i="9"/>
  <c r="I135" i="9"/>
  <c r="H135" i="9"/>
  <c r="G135" i="9"/>
  <c r="F135" i="9"/>
  <c r="E135" i="9"/>
  <c r="D135" i="9"/>
  <c r="C135" i="9"/>
  <c r="B135" i="9"/>
  <c r="AP134" i="9"/>
  <c r="S134" i="9" s="1"/>
  <c r="AO134" i="9"/>
  <c r="R134" i="9" s="1"/>
  <c r="AN134" i="9"/>
  <c r="Q134" i="9" s="1"/>
  <c r="AM134" i="9"/>
  <c r="P134" i="9" s="1"/>
  <c r="AL134" i="9"/>
  <c r="O134" i="9" s="1"/>
  <c r="AK134" i="9"/>
  <c r="N134" i="9" s="1"/>
  <c r="AJ134" i="9"/>
  <c r="M134" i="9" s="1"/>
  <c r="AI134" i="9"/>
  <c r="L134" i="9" s="1"/>
  <c r="I134" i="9"/>
  <c r="H134" i="9"/>
  <c r="G134" i="9"/>
  <c r="F134" i="9"/>
  <c r="E134" i="9"/>
  <c r="D134" i="9"/>
  <c r="C134" i="9"/>
  <c r="B134" i="9"/>
  <c r="AP133" i="9"/>
  <c r="S133" i="9" s="1"/>
  <c r="AO133" i="9"/>
  <c r="R133" i="9" s="1"/>
  <c r="AN133" i="9"/>
  <c r="Q133" i="9" s="1"/>
  <c r="AM133" i="9"/>
  <c r="P133" i="9" s="1"/>
  <c r="AL133" i="9"/>
  <c r="O133" i="9" s="1"/>
  <c r="AK133" i="9"/>
  <c r="N133" i="9" s="1"/>
  <c r="AJ133" i="9"/>
  <c r="M133" i="9" s="1"/>
  <c r="AI133" i="9"/>
  <c r="L133" i="9" s="1"/>
  <c r="AP132" i="9"/>
  <c r="AO132" i="9"/>
  <c r="AN132" i="9"/>
  <c r="AM132" i="9"/>
  <c r="AL132" i="9"/>
  <c r="AK132" i="9"/>
  <c r="AJ132" i="9"/>
  <c r="AI132" i="9"/>
  <c r="I132" i="9"/>
  <c r="H132" i="9"/>
  <c r="G132" i="9"/>
  <c r="F132" i="9"/>
  <c r="E132" i="9"/>
  <c r="D132" i="9"/>
  <c r="C132" i="9"/>
  <c r="B132" i="9"/>
  <c r="AP131" i="9"/>
  <c r="S131" i="9" s="1"/>
  <c r="AN131" i="9"/>
  <c r="Q131" i="9" s="1"/>
  <c r="AM131" i="9"/>
  <c r="P131" i="9" s="1"/>
  <c r="AL131" i="9"/>
  <c r="O131" i="9" s="1"/>
  <c r="AK131" i="9"/>
  <c r="N131" i="9" s="1"/>
  <c r="AJ131" i="9"/>
  <c r="M131" i="9" s="1"/>
  <c r="AP130" i="9"/>
  <c r="AO130" i="9"/>
  <c r="AN130" i="9"/>
  <c r="AM130" i="9"/>
  <c r="AL130" i="9"/>
  <c r="AK130" i="9"/>
  <c r="N130" i="9" s="1"/>
  <c r="AJ130" i="9"/>
  <c r="AI130" i="9"/>
  <c r="AP129" i="9"/>
  <c r="AO129" i="9"/>
  <c r="AN129" i="9"/>
  <c r="AM129" i="9"/>
  <c r="AL129" i="9"/>
  <c r="AK129" i="9"/>
  <c r="AJ129" i="9"/>
  <c r="M129" i="9" s="1"/>
  <c r="AI129" i="9"/>
  <c r="I129" i="9"/>
  <c r="H129" i="9"/>
  <c r="G129" i="9"/>
  <c r="F129" i="9"/>
  <c r="E129" i="9"/>
  <c r="D129" i="9"/>
  <c r="C129" i="9"/>
  <c r="B129" i="9"/>
  <c r="AP128" i="9"/>
  <c r="S128" i="9" s="1"/>
  <c r="AO128" i="9"/>
  <c r="R128" i="9" s="1"/>
  <c r="AN128" i="9"/>
  <c r="Q128" i="9" s="1"/>
  <c r="AM128" i="9"/>
  <c r="P128" i="9" s="1"/>
  <c r="AL128" i="9"/>
  <c r="O128" i="9" s="1"/>
  <c r="AK128" i="9"/>
  <c r="N128" i="9" s="1"/>
  <c r="AJ128" i="9"/>
  <c r="M128" i="9" s="1"/>
  <c r="AI128" i="9"/>
  <c r="L128" i="9" s="1"/>
  <c r="I128" i="9"/>
  <c r="H128" i="9"/>
  <c r="G128" i="9"/>
  <c r="F128" i="9"/>
  <c r="E128" i="9"/>
  <c r="D128" i="9"/>
  <c r="C128" i="9"/>
  <c r="B128" i="9"/>
  <c r="AP127" i="9"/>
  <c r="AO127" i="9"/>
  <c r="AN127" i="9"/>
  <c r="Q127" i="9" s="1"/>
  <c r="AM127" i="9"/>
  <c r="AL127" i="9"/>
  <c r="AK127" i="9"/>
  <c r="AJ127" i="9"/>
  <c r="AI127" i="9"/>
  <c r="I127" i="9"/>
  <c r="H127" i="9"/>
  <c r="G127" i="9"/>
  <c r="F127" i="9"/>
  <c r="E127" i="9"/>
  <c r="D127" i="9"/>
  <c r="C127" i="9"/>
  <c r="B127" i="9"/>
  <c r="AP126" i="9"/>
  <c r="AO126" i="9"/>
  <c r="AN126" i="9"/>
  <c r="AM126" i="9"/>
  <c r="AL126" i="9"/>
  <c r="AK126" i="9"/>
  <c r="AJ126" i="9"/>
  <c r="I126" i="9"/>
  <c r="H126" i="9"/>
  <c r="G126" i="9"/>
  <c r="F126" i="9"/>
  <c r="E126" i="9"/>
  <c r="D126" i="9"/>
  <c r="C126" i="9"/>
  <c r="B126" i="9"/>
  <c r="J13" i="54"/>
  <c r="I112" i="9"/>
  <c r="H112" i="9"/>
  <c r="G112" i="9"/>
  <c r="F112" i="9"/>
  <c r="E112" i="9"/>
  <c r="D112" i="9"/>
  <c r="C112" i="9"/>
  <c r="B112" i="9"/>
  <c r="I111" i="9"/>
  <c r="H111" i="9"/>
  <c r="G111" i="9"/>
  <c r="F111" i="9"/>
  <c r="E111" i="9"/>
  <c r="D111" i="9"/>
  <c r="C111" i="9"/>
  <c r="B111" i="9"/>
  <c r="I110" i="9"/>
  <c r="I130" i="9" s="1"/>
  <c r="H110" i="9"/>
  <c r="H130" i="9" s="1"/>
  <c r="G110" i="9"/>
  <c r="G130" i="9" s="1"/>
  <c r="F110" i="9"/>
  <c r="E110" i="9"/>
  <c r="D110" i="9"/>
  <c r="D130" i="9" s="1"/>
  <c r="C110" i="9"/>
  <c r="C130" i="9" s="1"/>
  <c r="B110" i="9"/>
  <c r="B130" i="9" s="1"/>
  <c r="AP109" i="9"/>
  <c r="S109" i="9" s="1"/>
  <c r="AO109" i="9"/>
  <c r="R109" i="9" s="1"/>
  <c r="AN109" i="9"/>
  <c r="Q109" i="9" s="1"/>
  <c r="AM109" i="9"/>
  <c r="P109" i="9" s="1"/>
  <c r="AL109" i="9"/>
  <c r="O109" i="9" s="1"/>
  <c r="AK109" i="9"/>
  <c r="N109" i="9" s="1"/>
  <c r="AJ109" i="9"/>
  <c r="M109" i="9" s="1"/>
  <c r="AI109" i="9"/>
  <c r="L109" i="9" s="1"/>
  <c r="I109" i="9"/>
  <c r="H109" i="9"/>
  <c r="G109" i="9"/>
  <c r="F109" i="9"/>
  <c r="E109" i="9"/>
  <c r="D109" i="9"/>
  <c r="C109" i="9"/>
  <c r="B109" i="9"/>
  <c r="AP108" i="9"/>
  <c r="S108" i="9" s="1"/>
  <c r="AO108" i="9"/>
  <c r="R108" i="9" s="1"/>
  <c r="AN108" i="9"/>
  <c r="Q108" i="9" s="1"/>
  <c r="AM108" i="9"/>
  <c r="P108" i="9" s="1"/>
  <c r="AL108" i="9"/>
  <c r="O108" i="9" s="1"/>
  <c r="AK108" i="9"/>
  <c r="N108" i="9" s="1"/>
  <c r="AJ108" i="9"/>
  <c r="M108" i="9" s="1"/>
  <c r="AI108" i="9"/>
  <c r="L108" i="9" s="1"/>
  <c r="AP107" i="9"/>
  <c r="AO107" i="9"/>
  <c r="AN107" i="9"/>
  <c r="AM107" i="9"/>
  <c r="AL107" i="9"/>
  <c r="AK107" i="9"/>
  <c r="AJ107" i="9"/>
  <c r="AI107" i="9"/>
  <c r="L107" i="9" s="1"/>
  <c r="I107" i="9"/>
  <c r="H107" i="9"/>
  <c r="G107" i="9"/>
  <c r="F107" i="9"/>
  <c r="E107" i="9"/>
  <c r="D107" i="9"/>
  <c r="C107" i="9"/>
  <c r="B107" i="9"/>
  <c r="AP106" i="9"/>
  <c r="S106" i="9" s="1"/>
  <c r="AO106" i="9"/>
  <c r="AN106" i="9"/>
  <c r="AM106" i="9"/>
  <c r="AL106" i="9"/>
  <c r="AK106" i="9"/>
  <c r="AJ106" i="9"/>
  <c r="AI106" i="9"/>
  <c r="AP105" i="9"/>
  <c r="S105" i="9" s="1"/>
  <c r="AO105" i="9"/>
  <c r="AN105" i="9"/>
  <c r="AM105" i="9"/>
  <c r="AL105" i="9"/>
  <c r="AK105" i="9"/>
  <c r="AJ105" i="9"/>
  <c r="AI105" i="9"/>
  <c r="AP104" i="9"/>
  <c r="AO104" i="9"/>
  <c r="AN104" i="9"/>
  <c r="AM104" i="9"/>
  <c r="AL104" i="9"/>
  <c r="AK104" i="9"/>
  <c r="AJ104" i="9"/>
  <c r="AI104" i="9"/>
  <c r="L104" i="9" s="1"/>
  <c r="I104" i="9"/>
  <c r="H104" i="9"/>
  <c r="G104" i="9"/>
  <c r="F104" i="9"/>
  <c r="E104" i="9"/>
  <c r="D104" i="9"/>
  <c r="C104" i="9"/>
  <c r="B104" i="9"/>
  <c r="AP103" i="9"/>
  <c r="S103" i="9" s="1"/>
  <c r="AO103" i="9"/>
  <c r="R103" i="9" s="1"/>
  <c r="AN103" i="9"/>
  <c r="Q103" i="9" s="1"/>
  <c r="AM103" i="9"/>
  <c r="P103" i="9" s="1"/>
  <c r="AL103" i="9"/>
  <c r="O103" i="9" s="1"/>
  <c r="AK103" i="9"/>
  <c r="N103" i="9" s="1"/>
  <c r="AJ103" i="9"/>
  <c r="M103" i="9" s="1"/>
  <c r="AI103" i="9"/>
  <c r="L103" i="9" s="1"/>
  <c r="I103" i="9"/>
  <c r="H103" i="9"/>
  <c r="G103" i="9"/>
  <c r="F103" i="9"/>
  <c r="E103" i="9"/>
  <c r="D103" i="9"/>
  <c r="C103" i="9"/>
  <c r="B103" i="9"/>
  <c r="AP102" i="9"/>
  <c r="S102" i="9" s="1"/>
  <c r="AO102" i="9"/>
  <c r="R102" i="9" s="1"/>
  <c r="AN102" i="9"/>
  <c r="Q102" i="9" s="1"/>
  <c r="AM102" i="9"/>
  <c r="P102" i="9" s="1"/>
  <c r="AL102" i="9"/>
  <c r="O102" i="9" s="1"/>
  <c r="AK102" i="9"/>
  <c r="N102" i="9" s="1"/>
  <c r="AJ102" i="9"/>
  <c r="M102" i="9" s="1"/>
  <c r="I102" i="9"/>
  <c r="H102" i="9"/>
  <c r="G102" i="9"/>
  <c r="F102" i="9"/>
  <c r="E102" i="9"/>
  <c r="D102" i="9"/>
  <c r="C102" i="9"/>
  <c r="B102" i="9"/>
  <c r="AP101" i="9"/>
  <c r="AO101" i="9"/>
  <c r="AN101" i="9"/>
  <c r="AM101" i="9"/>
  <c r="AL101" i="9"/>
  <c r="AK101" i="9"/>
  <c r="AJ101" i="9"/>
  <c r="AI101" i="9"/>
  <c r="I101" i="9"/>
  <c r="H101" i="9"/>
  <c r="G101" i="9"/>
  <c r="F101" i="9"/>
  <c r="E101" i="9"/>
  <c r="D101" i="9"/>
  <c r="C101" i="9"/>
  <c r="B101" i="9"/>
  <c r="I13" i="54"/>
  <c r="I87" i="9"/>
  <c r="H87" i="9"/>
  <c r="G87" i="9"/>
  <c r="F87" i="9"/>
  <c r="E87" i="9"/>
  <c r="D87" i="9"/>
  <c r="C87" i="9"/>
  <c r="B87" i="9"/>
  <c r="I85" i="9"/>
  <c r="I105" i="9" s="1"/>
  <c r="H85" i="9"/>
  <c r="H105" i="9" s="1"/>
  <c r="G85" i="9"/>
  <c r="F85" i="9"/>
  <c r="E85" i="9"/>
  <c r="E105" i="9" s="1"/>
  <c r="D85" i="9"/>
  <c r="D105" i="9" s="1"/>
  <c r="C85" i="9"/>
  <c r="C105" i="9" s="1"/>
  <c r="B85" i="9"/>
  <c r="B105" i="9" s="1"/>
  <c r="AP84" i="9"/>
  <c r="S84" i="9" s="1"/>
  <c r="AO84" i="9"/>
  <c r="R84" i="9" s="1"/>
  <c r="AN84" i="9"/>
  <c r="Q84" i="9" s="1"/>
  <c r="AM84" i="9"/>
  <c r="P84" i="9" s="1"/>
  <c r="AL84" i="9"/>
  <c r="O84" i="9" s="1"/>
  <c r="AK84" i="9"/>
  <c r="N84" i="9" s="1"/>
  <c r="AJ84" i="9"/>
  <c r="M84" i="9" s="1"/>
  <c r="AI84" i="9"/>
  <c r="L84" i="9" s="1"/>
  <c r="I84" i="9"/>
  <c r="H84" i="9"/>
  <c r="G84" i="9"/>
  <c r="F84" i="9"/>
  <c r="E84" i="9"/>
  <c r="D84" i="9"/>
  <c r="C84" i="9"/>
  <c r="B84" i="9"/>
  <c r="AP83" i="9"/>
  <c r="S83" i="9" s="1"/>
  <c r="AN83" i="9"/>
  <c r="Q83" i="9" s="1"/>
  <c r="AM83" i="9"/>
  <c r="P83" i="9" s="1"/>
  <c r="AL83" i="9"/>
  <c r="O83" i="9" s="1"/>
  <c r="AK83" i="9"/>
  <c r="N83" i="9" s="1"/>
  <c r="AJ83" i="9"/>
  <c r="M83" i="9" s="1"/>
  <c r="AP82" i="9"/>
  <c r="AO82" i="9"/>
  <c r="AN82" i="9"/>
  <c r="AM82" i="9"/>
  <c r="AL82" i="9"/>
  <c r="AK82" i="9"/>
  <c r="AJ82" i="9"/>
  <c r="AI82" i="9"/>
  <c r="L82" i="9" s="1"/>
  <c r="I82" i="9"/>
  <c r="H82" i="9"/>
  <c r="G82" i="9"/>
  <c r="F82" i="9"/>
  <c r="E82" i="9"/>
  <c r="D82" i="9"/>
  <c r="C82" i="9"/>
  <c r="B82" i="9"/>
  <c r="AP81" i="9"/>
  <c r="S81" i="9" s="1"/>
  <c r="AN81" i="9"/>
  <c r="Q81" i="9" s="1"/>
  <c r="AM81" i="9"/>
  <c r="P81" i="9" s="1"/>
  <c r="AL81" i="9"/>
  <c r="O81" i="9" s="1"/>
  <c r="AK81" i="9"/>
  <c r="N81" i="9" s="1"/>
  <c r="AJ81" i="9"/>
  <c r="M81" i="9" s="1"/>
  <c r="AP80" i="9"/>
  <c r="AO80" i="9"/>
  <c r="AN80" i="9"/>
  <c r="AM80" i="9"/>
  <c r="AL80" i="9"/>
  <c r="AK80" i="9"/>
  <c r="AJ80" i="9"/>
  <c r="AI80" i="9"/>
  <c r="L80" i="9" s="1"/>
  <c r="AP79" i="9"/>
  <c r="AO79" i="9"/>
  <c r="AN79" i="9"/>
  <c r="AM79" i="9"/>
  <c r="AL79" i="9"/>
  <c r="AK79" i="9"/>
  <c r="AJ79" i="9"/>
  <c r="M79" i="9" s="1"/>
  <c r="AI79" i="9"/>
  <c r="I79" i="9"/>
  <c r="H79" i="9"/>
  <c r="G79" i="9"/>
  <c r="F79" i="9"/>
  <c r="E79" i="9"/>
  <c r="D79" i="9"/>
  <c r="C79" i="9"/>
  <c r="B79" i="9"/>
  <c r="AP78" i="9"/>
  <c r="S78" i="9" s="1"/>
  <c r="AO78" i="9"/>
  <c r="R78" i="9" s="1"/>
  <c r="AN78" i="9"/>
  <c r="Q78" i="9" s="1"/>
  <c r="AM78" i="9"/>
  <c r="P78" i="9" s="1"/>
  <c r="AL78" i="9"/>
  <c r="O78" i="9" s="1"/>
  <c r="AK78" i="9"/>
  <c r="N78" i="9" s="1"/>
  <c r="AJ78" i="9"/>
  <c r="M78" i="9" s="1"/>
  <c r="AI78" i="9"/>
  <c r="L78" i="9" s="1"/>
  <c r="I78" i="9"/>
  <c r="H78" i="9"/>
  <c r="G78" i="9"/>
  <c r="F78" i="9"/>
  <c r="E78" i="9"/>
  <c r="D78" i="9"/>
  <c r="C78" i="9"/>
  <c r="B78" i="9"/>
  <c r="AP77" i="9"/>
  <c r="AO77" i="9"/>
  <c r="AN77" i="9"/>
  <c r="AM77" i="9"/>
  <c r="P77" i="9" s="1"/>
  <c r="AL77" i="9"/>
  <c r="O77" i="9" s="1"/>
  <c r="AK77" i="9"/>
  <c r="AJ77" i="9"/>
  <c r="AI77" i="9"/>
  <c r="I77" i="9"/>
  <c r="H77" i="9"/>
  <c r="G77" i="9"/>
  <c r="F77" i="9"/>
  <c r="E77" i="9"/>
  <c r="D77" i="9"/>
  <c r="C77" i="9"/>
  <c r="B77" i="9"/>
  <c r="AP76" i="9"/>
  <c r="AO76" i="9"/>
  <c r="AN76" i="9"/>
  <c r="AM76" i="9"/>
  <c r="AL76" i="9"/>
  <c r="AK76" i="9"/>
  <c r="AJ76" i="9"/>
  <c r="AI76" i="9"/>
  <c r="I76" i="9"/>
  <c r="H76" i="9"/>
  <c r="G76" i="9"/>
  <c r="F76" i="9"/>
  <c r="E76" i="9"/>
  <c r="D76" i="9"/>
  <c r="C76" i="9"/>
  <c r="B76" i="9"/>
  <c r="I62" i="9"/>
  <c r="H62" i="9"/>
  <c r="G62" i="9"/>
  <c r="F62" i="9"/>
  <c r="E62" i="9"/>
  <c r="D62" i="9"/>
  <c r="C62" i="9"/>
  <c r="B62" i="9"/>
  <c r="I60" i="9"/>
  <c r="I68" i="9" s="1"/>
  <c r="H60" i="9"/>
  <c r="G60" i="9"/>
  <c r="F60" i="9"/>
  <c r="E60" i="9"/>
  <c r="D60" i="9"/>
  <c r="C60" i="9"/>
  <c r="B60" i="9"/>
  <c r="B68" i="9" s="1"/>
  <c r="AP59" i="9"/>
  <c r="AO59" i="9"/>
  <c r="AN59" i="9"/>
  <c r="AM59" i="9"/>
  <c r="AL59" i="9"/>
  <c r="AK59" i="9"/>
  <c r="AJ59" i="9"/>
  <c r="AI59" i="9"/>
  <c r="I59" i="9"/>
  <c r="H59" i="9"/>
  <c r="G59" i="9"/>
  <c r="F59" i="9"/>
  <c r="E59" i="9"/>
  <c r="D59" i="9"/>
  <c r="C59" i="9"/>
  <c r="B59" i="9"/>
  <c r="AP58" i="9"/>
  <c r="S58" i="9" s="1"/>
  <c r="AN58" i="9"/>
  <c r="Q58" i="9" s="1"/>
  <c r="AM58" i="9"/>
  <c r="P58" i="9" s="1"/>
  <c r="AL58" i="9"/>
  <c r="O58" i="9" s="1"/>
  <c r="AK58" i="9"/>
  <c r="N58" i="9" s="1"/>
  <c r="AJ58" i="9"/>
  <c r="M58" i="9" s="1"/>
  <c r="AP57" i="9"/>
  <c r="S57" i="9" s="1"/>
  <c r="AN57" i="9"/>
  <c r="Q57" i="9" s="1"/>
  <c r="AM57" i="9"/>
  <c r="P57" i="9" s="1"/>
  <c r="AL57" i="9"/>
  <c r="O57" i="9" s="1"/>
  <c r="AK57" i="9"/>
  <c r="N57" i="9" s="1"/>
  <c r="AJ57" i="9"/>
  <c r="M57" i="9" s="1"/>
  <c r="I57" i="9"/>
  <c r="H57" i="9"/>
  <c r="G57" i="9"/>
  <c r="F57" i="9"/>
  <c r="E57" i="9"/>
  <c r="D57" i="9"/>
  <c r="C57" i="9"/>
  <c r="B57" i="9"/>
  <c r="AP56" i="9"/>
  <c r="S56" i="9" s="1"/>
  <c r="AN56" i="9"/>
  <c r="Q56" i="9" s="1"/>
  <c r="AM56" i="9"/>
  <c r="P56" i="9" s="1"/>
  <c r="AL56" i="9"/>
  <c r="O56" i="9" s="1"/>
  <c r="AK56" i="9"/>
  <c r="N56" i="9" s="1"/>
  <c r="AJ56" i="9"/>
  <c r="M56" i="9" s="1"/>
  <c r="AP54" i="9"/>
  <c r="S54" i="9" s="1"/>
  <c r="AN54" i="9"/>
  <c r="Q54" i="9" s="1"/>
  <c r="AM54" i="9"/>
  <c r="P54" i="9" s="1"/>
  <c r="AL54" i="9"/>
  <c r="O54" i="9" s="1"/>
  <c r="AK54" i="9"/>
  <c r="N54" i="9" s="1"/>
  <c r="AJ54" i="9"/>
  <c r="M54" i="9" s="1"/>
  <c r="I54" i="9"/>
  <c r="H54" i="9"/>
  <c r="G54" i="9"/>
  <c r="F54" i="9"/>
  <c r="E54" i="9"/>
  <c r="D54" i="9"/>
  <c r="C54" i="9"/>
  <c r="B54" i="9"/>
  <c r="AP53" i="9"/>
  <c r="S53" i="9" s="1"/>
  <c r="AO53" i="9"/>
  <c r="R53" i="9" s="1"/>
  <c r="AN53" i="9"/>
  <c r="Q53" i="9" s="1"/>
  <c r="AM53" i="9"/>
  <c r="P53" i="9" s="1"/>
  <c r="AL53" i="9"/>
  <c r="O53" i="9" s="1"/>
  <c r="AK53" i="9"/>
  <c r="N53" i="9" s="1"/>
  <c r="AJ53" i="9"/>
  <c r="M53" i="9" s="1"/>
  <c r="I53" i="9"/>
  <c r="H53" i="9"/>
  <c r="G53" i="9"/>
  <c r="F53" i="9"/>
  <c r="E53" i="9"/>
  <c r="D53" i="9"/>
  <c r="C53" i="9"/>
  <c r="B53" i="9"/>
  <c r="AP52" i="9"/>
  <c r="S52" i="9" s="1"/>
  <c r="AO52" i="9"/>
  <c r="R52" i="9" s="1"/>
  <c r="AN52" i="9"/>
  <c r="Q52" i="9" s="1"/>
  <c r="AM52" i="9"/>
  <c r="P52" i="9" s="1"/>
  <c r="AL52" i="9"/>
  <c r="O52" i="9" s="1"/>
  <c r="AK52" i="9"/>
  <c r="N52" i="9" s="1"/>
  <c r="AJ52" i="9"/>
  <c r="M52" i="9" s="1"/>
  <c r="I52" i="9"/>
  <c r="H52" i="9"/>
  <c r="G52" i="9"/>
  <c r="F52" i="9"/>
  <c r="E52" i="9"/>
  <c r="D52" i="9"/>
  <c r="C52" i="9"/>
  <c r="B52" i="9"/>
  <c r="AP51" i="9"/>
  <c r="S51" i="9" s="1"/>
  <c r="AO51" i="9"/>
  <c r="R51" i="9" s="1"/>
  <c r="AN51" i="9"/>
  <c r="Q51" i="9" s="1"/>
  <c r="AM51" i="9"/>
  <c r="P51" i="9" s="1"/>
  <c r="AL51" i="9"/>
  <c r="O51" i="9" s="1"/>
  <c r="AK51" i="9"/>
  <c r="N51" i="9" s="1"/>
  <c r="AJ51" i="9"/>
  <c r="M51" i="9" s="1"/>
  <c r="I51" i="9"/>
  <c r="H51" i="9"/>
  <c r="G51" i="9"/>
  <c r="F51" i="9"/>
  <c r="E51" i="9"/>
  <c r="D51" i="9"/>
  <c r="C51" i="9"/>
  <c r="B51" i="9"/>
  <c r="B8" i="8"/>
  <c r="A8" i="8"/>
  <c r="B21" i="8"/>
  <c r="A21" i="8"/>
  <c r="N34" i="8"/>
  <c r="I47" i="8"/>
  <c r="H47" i="8"/>
  <c r="F47" i="8"/>
  <c r="E47" i="8"/>
  <c r="C47" i="8"/>
  <c r="B47" i="8"/>
  <c r="N60" i="8"/>
  <c r="M60" i="8"/>
  <c r="L60" i="8"/>
  <c r="K60" i="8"/>
  <c r="P14" i="120" s="1"/>
  <c r="I60" i="8"/>
  <c r="F60" i="8"/>
  <c r="C60" i="8"/>
  <c r="H60" i="8"/>
  <c r="E60" i="8"/>
  <c r="B60" i="8"/>
  <c r="G60" i="8"/>
  <c r="D60" i="8"/>
  <c r="A60" i="8"/>
  <c r="Q60" i="8"/>
  <c r="P60" i="8"/>
  <c r="I21" i="8"/>
  <c r="H21" i="8"/>
  <c r="G21" i="8"/>
  <c r="E21" i="8"/>
  <c r="D21" i="8"/>
  <c r="I8" i="8"/>
  <c r="E8" i="8"/>
  <c r="G8" i="8"/>
  <c r="D8" i="8" s="1"/>
  <c r="H8" i="8" s="1"/>
  <c r="F8" i="8"/>
  <c r="C281" i="124" l="1"/>
  <c r="E130" i="9"/>
  <c r="E118" i="9"/>
  <c r="C80" i="116"/>
  <c r="K19" i="54"/>
  <c r="H19" i="54"/>
  <c r="H35" i="54" s="1"/>
  <c r="F20" i="54"/>
  <c r="F21" i="54" s="1"/>
  <c r="E20" i="54"/>
  <c r="E21" i="54" s="1"/>
  <c r="B20" i="9"/>
  <c r="B14" i="54" s="1"/>
  <c r="B19" i="54"/>
  <c r="C20" i="54" s="1"/>
  <c r="C21" i="54" s="1"/>
  <c r="C22" i="54" s="1"/>
  <c r="D22" i="54" s="1"/>
  <c r="F130" i="9"/>
  <c r="J19" i="54"/>
  <c r="F105" i="9"/>
  <c r="I19" i="54"/>
  <c r="I35" i="54" s="1"/>
  <c r="B93" i="9"/>
  <c r="AM111" i="9"/>
  <c r="AL111" i="9"/>
  <c r="AJ111" i="9"/>
  <c r="C16" i="9"/>
  <c r="B16" i="9"/>
  <c r="E16" i="9"/>
  <c r="AO111" i="9"/>
  <c r="AP111" i="9"/>
  <c r="AN111" i="9"/>
  <c r="AE131" i="9"/>
  <c r="H77" i="8" s="1"/>
  <c r="AI131" i="9"/>
  <c r="AI136" i="9" s="1"/>
  <c r="AE102" i="9"/>
  <c r="D76" i="8" s="1"/>
  <c r="AI102" i="9"/>
  <c r="AK111" i="9"/>
  <c r="AE83" i="9"/>
  <c r="F75" i="8" s="1"/>
  <c r="AI83" i="9"/>
  <c r="AE56" i="9"/>
  <c r="H74" i="8" s="1"/>
  <c r="AI56" i="9"/>
  <c r="AE58" i="9"/>
  <c r="F74" i="8" s="1"/>
  <c r="AI58" i="9"/>
  <c r="C80" i="9"/>
  <c r="C68" i="9"/>
  <c r="E80" i="9"/>
  <c r="E68" i="9"/>
  <c r="G80" i="9"/>
  <c r="G68" i="9"/>
  <c r="AE51" i="9"/>
  <c r="A74" i="8" s="1"/>
  <c r="AI51" i="9"/>
  <c r="AE52" i="9"/>
  <c r="D74" i="8" s="1"/>
  <c r="AI52" i="9"/>
  <c r="AE53" i="9"/>
  <c r="G74" i="8" s="1"/>
  <c r="AI53" i="9"/>
  <c r="AE54" i="9"/>
  <c r="B74" i="8" s="1"/>
  <c r="AI54" i="9"/>
  <c r="AE57" i="9"/>
  <c r="C74" i="8" s="1"/>
  <c r="AI57" i="9"/>
  <c r="D80" i="9"/>
  <c r="D68" i="9"/>
  <c r="F80" i="9"/>
  <c r="F68" i="9"/>
  <c r="H80" i="9"/>
  <c r="H68" i="9"/>
  <c r="AK86" i="9"/>
  <c r="AM86" i="9"/>
  <c r="AO86" i="9"/>
  <c r="AJ86" i="9"/>
  <c r="AL86" i="9"/>
  <c r="AN86" i="9"/>
  <c r="AP86" i="9"/>
  <c r="M59" i="9"/>
  <c r="C63" i="9" s="1"/>
  <c r="AJ61" i="9"/>
  <c r="O59" i="9"/>
  <c r="E63" i="9" s="1"/>
  <c r="AL61" i="9"/>
  <c r="Q59" i="9"/>
  <c r="G63" i="9" s="1"/>
  <c r="AN61" i="9"/>
  <c r="S59" i="9"/>
  <c r="I63" i="9" s="1"/>
  <c r="AP61" i="9"/>
  <c r="AK136" i="9"/>
  <c r="AM136" i="9"/>
  <c r="AO136" i="9"/>
  <c r="L59" i="9"/>
  <c r="N59" i="9"/>
  <c r="D63" i="9" s="1"/>
  <c r="AK61" i="9"/>
  <c r="P59" i="9"/>
  <c r="F63" i="9" s="1"/>
  <c r="AM61" i="9"/>
  <c r="R59" i="9"/>
  <c r="H63" i="9" s="1"/>
  <c r="AO61" i="9"/>
  <c r="AJ136" i="9"/>
  <c r="AL136" i="9"/>
  <c r="AN136" i="9"/>
  <c r="AP136" i="9"/>
  <c r="R126" i="9"/>
  <c r="R101" i="9"/>
  <c r="L132" i="9"/>
  <c r="E7" i="9"/>
  <c r="E2" i="54" s="1"/>
  <c r="E20" i="9"/>
  <c r="E14" i="54" s="1"/>
  <c r="E17" i="54" s="1"/>
  <c r="C7" i="9"/>
  <c r="C2" i="54" s="1"/>
  <c r="C20" i="9"/>
  <c r="C14" i="54" s="1"/>
  <c r="C17" i="54" s="1"/>
  <c r="B80" i="9"/>
  <c r="AE81" i="9"/>
  <c r="H75" i="8" s="1"/>
  <c r="AI81" i="9"/>
  <c r="N76" i="9"/>
  <c r="P76" i="9"/>
  <c r="R76" i="9"/>
  <c r="M76" i="9"/>
  <c r="O76" i="9"/>
  <c r="Q76" i="9"/>
  <c r="S76" i="9"/>
  <c r="C30" i="9"/>
  <c r="D30" i="9"/>
  <c r="G30" i="9"/>
  <c r="B30" i="9"/>
  <c r="E30" i="9"/>
  <c r="F30" i="9"/>
  <c r="H30" i="9"/>
  <c r="I30" i="9"/>
  <c r="J21" i="8"/>
  <c r="L21" i="8"/>
  <c r="K21" i="8"/>
  <c r="G105" i="9"/>
  <c r="I80" i="9"/>
  <c r="D3" i="54"/>
  <c r="H93" i="9"/>
  <c r="L76" i="9"/>
  <c r="Q77" i="9"/>
  <c r="F3" i="54"/>
  <c r="B3" i="54"/>
  <c r="H13" i="54"/>
  <c r="E3" i="54"/>
  <c r="C3" i="54"/>
  <c r="B7" i="9"/>
  <c r="B2" i="54" s="1"/>
  <c r="F143" i="9"/>
  <c r="F93" i="9"/>
  <c r="D143" i="9"/>
  <c r="G93" i="9"/>
  <c r="F118" i="9"/>
  <c r="E143" i="9"/>
  <c r="I93" i="9"/>
  <c r="H118" i="9"/>
  <c r="G143" i="9"/>
  <c r="I118" i="9"/>
  <c r="H143" i="9"/>
  <c r="C93" i="9"/>
  <c r="B118" i="9"/>
  <c r="I143" i="9"/>
  <c r="G118" i="9"/>
  <c r="D93" i="9"/>
  <c r="C118" i="9"/>
  <c r="B143" i="9"/>
  <c r="E93" i="9"/>
  <c r="D118" i="9"/>
  <c r="C143" i="9"/>
  <c r="AE130" i="9"/>
  <c r="E77" i="8" s="1"/>
  <c r="AE132" i="9"/>
  <c r="C77" i="8" s="1"/>
  <c r="AE133" i="9"/>
  <c r="F77" i="8" s="1"/>
  <c r="AE134" i="9"/>
  <c r="I77" i="8" s="1"/>
  <c r="AE126" i="9"/>
  <c r="A77" i="8" s="1"/>
  <c r="AE105" i="9"/>
  <c r="E76" i="8" s="1"/>
  <c r="AE108" i="9"/>
  <c r="F76" i="8" s="1"/>
  <c r="AE128" i="9"/>
  <c r="G77" i="8" s="1"/>
  <c r="AE78" i="9"/>
  <c r="G75" i="8" s="1"/>
  <c r="AE101" i="9"/>
  <c r="A76" i="8" s="1"/>
  <c r="AE104" i="9"/>
  <c r="B76" i="8" s="1"/>
  <c r="AE80" i="9"/>
  <c r="E75" i="8" s="1"/>
  <c r="AE84" i="9"/>
  <c r="I75" i="8" s="1"/>
  <c r="AE82" i="9"/>
  <c r="C75" i="8" s="1"/>
  <c r="AE107" i="9"/>
  <c r="C76" i="8" s="1"/>
  <c r="AE127" i="9"/>
  <c r="D77" i="8" s="1"/>
  <c r="AE76" i="9"/>
  <c r="AE79" i="9"/>
  <c r="B75" i="8" s="1"/>
  <c r="AE103" i="9"/>
  <c r="G76" i="8" s="1"/>
  <c r="AE129" i="9"/>
  <c r="B77" i="8" s="1"/>
  <c r="AE109" i="9"/>
  <c r="I76" i="8" s="1"/>
  <c r="AE77" i="9"/>
  <c r="D75" i="8" s="1"/>
  <c r="AE106" i="9"/>
  <c r="H76" i="8" s="1"/>
  <c r="P104" i="9"/>
  <c r="O104" i="9"/>
  <c r="M104" i="9"/>
  <c r="M132" i="9"/>
  <c r="Q104" i="9"/>
  <c r="M106" i="9"/>
  <c r="O130" i="9"/>
  <c r="N106" i="9"/>
  <c r="Q80" i="9"/>
  <c r="N107" i="9"/>
  <c r="R127" i="9"/>
  <c r="N129" i="9"/>
  <c r="N82" i="9"/>
  <c r="O129" i="9"/>
  <c r="N127" i="9"/>
  <c r="P127" i="9"/>
  <c r="L129" i="9"/>
  <c r="P129" i="9"/>
  <c r="Q129" i="9"/>
  <c r="L126" i="9"/>
  <c r="S127" i="9"/>
  <c r="N132" i="9"/>
  <c r="M105" i="9"/>
  <c r="M126" i="9"/>
  <c r="L127" i="9"/>
  <c r="R129" i="9"/>
  <c r="Q130" i="9"/>
  <c r="O132" i="9"/>
  <c r="S126" i="9"/>
  <c r="L105" i="9"/>
  <c r="P130" i="9"/>
  <c r="M82" i="9"/>
  <c r="N105" i="9"/>
  <c r="M107" i="9"/>
  <c r="N126" i="9"/>
  <c r="M127" i="9"/>
  <c r="S129" i="9"/>
  <c r="R130" i="9"/>
  <c r="P132" i="9"/>
  <c r="O105" i="9"/>
  <c r="O126" i="9"/>
  <c r="S130" i="9"/>
  <c r="Q132" i="9"/>
  <c r="O79" i="9"/>
  <c r="M80" i="9"/>
  <c r="P105" i="9"/>
  <c r="P126" i="9"/>
  <c r="O127" i="9"/>
  <c r="L130" i="9"/>
  <c r="R132" i="9"/>
  <c r="P79" i="9"/>
  <c r="O80" i="9"/>
  <c r="Q105" i="9"/>
  <c r="Q126" i="9"/>
  <c r="M130" i="9"/>
  <c r="S132" i="9"/>
  <c r="P80" i="9"/>
  <c r="R104" i="9"/>
  <c r="P106" i="9"/>
  <c r="O106" i="9"/>
  <c r="N79" i="9"/>
  <c r="N104" i="9"/>
  <c r="L106" i="9"/>
  <c r="Q79" i="9"/>
  <c r="N101" i="9"/>
  <c r="S104" i="9"/>
  <c r="R105" i="9"/>
  <c r="Q106" i="9"/>
  <c r="P107" i="9"/>
  <c r="O107" i="9"/>
  <c r="R79" i="9"/>
  <c r="O101" i="9"/>
  <c r="R106" i="9"/>
  <c r="Q107" i="9"/>
  <c r="L101" i="9"/>
  <c r="M101" i="9"/>
  <c r="P101" i="9"/>
  <c r="R107" i="9"/>
  <c r="S101" i="9"/>
  <c r="Q101" i="9"/>
  <c r="S107" i="9"/>
  <c r="N80" i="9"/>
  <c r="S79" i="9"/>
  <c r="R80" i="9"/>
  <c r="P82" i="9"/>
  <c r="O82" i="9"/>
  <c r="L79" i="9"/>
  <c r="S80" i="9"/>
  <c r="Q82" i="9"/>
  <c r="R82" i="9"/>
  <c r="S82" i="9"/>
  <c r="AE59" i="9"/>
  <c r="I74" i="8" s="1"/>
  <c r="I37" i="9"/>
  <c r="H37" i="9"/>
  <c r="G37" i="9"/>
  <c r="F37" i="9"/>
  <c r="E37" i="9"/>
  <c r="D37" i="9"/>
  <c r="C37" i="9"/>
  <c r="B37" i="9"/>
  <c r="I35" i="9"/>
  <c r="H35" i="9"/>
  <c r="G35" i="9"/>
  <c r="F35" i="9"/>
  <c r="E35" i="9"/>
  <c r="D35" i="9"/>
  <c r="C35" i="9"/>
  <c r="B35" i="9"/>
  <c r="AP34" i="9"/>
  <c r="S34" i="9" s="1"/>
  <c r="AO34" i="9"/>
  <c r="R34" i="9" s="1"/>
  <c r="AN34" i="9"/>
  <c r="Q34" i="9" s="1"/>
  <c r="AM34" i="9"/>
  <c r="P34" i="9" s="1"/>
  <c r="AL34" i="9"/>
  <c r="O34" i="9" s="1"/>
  <c r="AK34" i="9"/>
  <c r="N34" i="9" s="1"/>
  <c r="AJ34" i="9"/>
  <c r="M34" i="9" s="1"/>
  <c r="I34" i="9"/>
  <c r="H34" i="9"/>
  <c r="G34" i="9"/>
  <c r="F34" i="9"/>
  <c r="E34" i="9"/>
  <c r="D34" i="9"/>
  <c r="C34" i="9"/>
  <c r="B34" i="9"/>
  <c r="AP33" i="9"/>
  <c r="S33" i="9" s="1"/>
  <c r="AO33" i="9"/>
  <c r="R33" i="9" s="1"/>
  <c r="AN33" i="9"/>
  <c r="Q33" i="9" s="1"/>
  <c r="AM33" i="9"/>
  <c r="P33" i="9" s="1"/>
  <c r="AL33" i="9"/>
  <c r="O33" i="9" s="1"/>
  <c r="AK33" i="9"/>
  <c r="N33" i="9" s="1"/>
  <c r="AJ33" i="9"/>
  <c r="M33" i="9" s="1"/>
  <c r="AP32" i="9"/>
  <c r="AO32" i="9"/>
  <c r="AN32" i="9"/>
  <c r="AM32" i="9"/>
  <c r="AL32" i="9"/>
  <c r="AK32" i="9"/>
  <c r="AJ32" i="9"/>
  <c r="I32" i="9"/>
  <c r="H32" i="9"/>
  <c r="G32" i="9"/>
  <c r="F32" i="9"/>
  <c r="E32" i="9"/>
  <c r="D32" i="9"/>
  <c r="C32" i="9"/>
  <c r="B32" i="9"/>
  <c r="AP31" i="9"/>
  <c r="S31" i="9" s="1"/>
  <c r="AO31" i="9"/>
  <c r="AN31" i="9"/>
  <c r="AM31" i="9"/>
  <c r="AL31" i="9"/>
  <c r="AK31" i="9"/>
  <c r="AJ31" i="9"/>
  <c r="AP30" i="9"/>
  <c r="AO30" i="9"/>
  <c r="AN30" i="9"/>
  <c r="AM30" i="9"/>
  <c r="AL30" i="9"/>
  <c r="AK30" i="9"/>
  <c r="N30" i="9" s="1"/>
  <c r="AJ30" i="9"/>
  <c r="AP29" i="9"/>
  <c r="AO29" i="9"/>
  <c r="AN29" i="9"/>
  <c r="AM29" i="9"/>
  <c r="AL29" i="9"/>
  <c r="O29" i="9" s="1"/>
  <c r="AK29" i="9"/>
  <c r="AJ29" i="9"/>
  <c r="I29" i="9"/>
  <c r="H29" i="9"/>
  <c r="G29" i="9"/>
  <c r="F29" i="9"/>
  <c r="E29" i="9"/>
  <c r="D29" i="9"/>
  <c r="C29" i="9"/>
  <c r="B29" i="9"/>
  <c r="AP28" i="9"/>
  <c r="S28" i="9" s="1"/>
  <c r="AO28" i="9"/>
  <c r="R28" i="9" s="1"/>
  <c r="AN28" i="9"/>
  <c r="Q28" i="9" s="1"/>
  <c r="AM28" i="9"/>
  <c r="P28" i="9" s="1"/>
  <c r="AL28" i="9"/>
  <c r="O28" i="9" s="1"/>
  <c r="AK28" i="9"/>
  <c r="N28" i="9" s="1"/>
  <c r="AJ28" i="9"/>
  <c r="M28" i="9" s="1"/>
  <c r="I28" i="9"/>
  <c r="H28" i="9"/>
  <c r="G28" i="9"/>
  <c r="F28" i="9"/>
  <c r="E28" i="9"/>
  <c r="D28" i="9"/>
  <c r="C28" i="9"/>
  <c r="B28" i="9"/>
  <c r="AP27" i="9"/>
  <c r="AO27" i="9"/>
  <c r="AN27" i="9"/>
  <c r="Q27" i="9" s="1"/>
  <c r="AM27" i="9"/>
  <c r="AL27" i="9"/>
  <c r="AK27" i="9"/>
  <c r="AJ27" i="9"/>
  <c r="I27" i="9"/>
  <c r="H27" i="9"/>
  <c r="G27" i="9"/>
  <c r="F27" i="9"/>
  <c r="E27" i="9"/>
  <c r="D27" i="9"/>
  <c r="C27" i="9"/>
  <c r="B27" i="9"/>
  <c r="AP26" i="9"/>
  <c r="AO26" i="9"/>
  <c r="R26" i="9" s="1"/>
  <c r="AN26" i="9"/>
  <c r="AM26" i="9"/>
  <c r="AL26" i="9"/>
  <c r="AK26" i="9"/>
  <c r="AJ26" i="9"/>
  <c r="I26" i="9"/>
  <c r="H26" i="9"/>
  <c r="G26" i="9"/>
  <c r="F26" i="9"/>
  <c r="E26" i="9"/>
  <c r="D26" i="9"/>
  <c r="C26" i="9"/>
  <c r="B26" i="9"/>
  <c r="K2" i="54" l="1"/>
  <c r="C300" i="124"/>
  <c r="C352" i="124" s="1"/>
  <c r="J20" i="54"/>
  <c r="J21" i="54" s="1"/>
  <c r="J35" i="54"/>
  <c r="K35" i="54"/>
  <c r="K20" i="54"/>
  <c r="K21" i="54" s="1"/>
  <c r="D281" i="124"/>
  <c r="J2" i="54"/>
  <c r="H70" i="116"/>
  <c r="E22" i="54"/>
  <c r="F22" i="54" s="1"/>
  <c r="I2" i="54"/>
  <c r="E113" i="9"/>
  <c r="F113" i="9"/>
  <c r="D113" i="9"/>
  <c r="F138" i="9"/>
  <c r="G113" i="9"/>
  <c r="C113" i="9"/>
  <c r="G138" i="9"/>
  <c r="G88" i="9"/>
  <c r="F88" i="9"/>
  <c r="I113" i="9"/>
  <c r="H113" i="9"/>
  <c r="C138" i="9"/>
  <c r="H138" i="9"/>
  <c r="E138" i="9"/>
  <c r="D138" i="9"/>
  <c r="I138" i="9"/>
  <c r="G19" i="54"/>
  <c r="G35" i="54" s="1"/>
  <c r="G2" i="54"/>
  <c r="E23" i="54"/>
  <c r="C23" i="54"/>
  <c r="C24" i="54" s="1"/>
  <c r="D24" i="54" s="1"/>
  <c r="B17" i="54"/>
  <c r="B15" i="54" s="1"/>
  <c r="I20" i="54"/>
  <c r="I21" i="54" s="1"/>
  <c r="C40" i="9"/>
  <c r="I40" i="9"/>
  <c r="H40" i="9"/>
  <c r="F40" i="9"/>
  <c r="E40" i="9"/>
  <c r="B40" i="9"/>
  <c r="G40" i="9"/>
  <c r="D40" i="9"/>
  <c r="AQ76" i="9"/>
  <c r="A75" i="8"/>
  <c r="AI61" i="9"/>
  <c r="AI86" i="9"/>
  <c r="L131" i="9"/>
  <c r="T131" i="9" s="1"/>
  <c r="AQ131" i="9"/>
  <c r="L102" i="9"/>
  <c r="T102" i="9" s="1"/>
  <c r="AQ102" i="9"/>
  <c r="AI111" i="9"/>
  <c r="L83" i="9"/>
  <c r="T83" i="9" s="1"/>
  <c r="AQ83" i="9"/>
  <c r="L57" i="9"/>
  <c r="T57" i="9" s="1"/>
  <c r="AQ57" i="9"/>
  <c r="L54" i="9"/>
  <c r="T54" i="9" s="1"/>
  <c r="AQ54" i="9"/>
  <c r="L53" i="9"/>
  <c r="T53" i="9" s="1"/>
  <c r="AQ53" i="9"/>
  <c r="L52" i="9"/>
  <c r="T52" i="9" s="1"/>
  <c r="AQ52" i="9"/>
  <c r="AQ51" i="9"/>
  <c r="L51" i="9"/>
  <c r="AQ58" i="9"/>
  <c r="L58" i="9"/>
  <c r="T58" i="9" s="1"/>
  <c r="AQ56" i="9"/>
  <c r="L56" i="9"/>
  <c r="T56" i="9" s="1"/>
  <c r="C55" i="9"/>
  <c r="C43" i="9"/>
  <c r="E55" i="9"/>
  <c r="E43" i="9"/>
  <c r="G55" i="9"/>
  <c r="G43" i="9"/>
  <c r="I55" i="9"/>
  <c r="I43" i="9"/>
  <c r="B55" i="9"/>
  <c r="B43" i="9"/>
  <c r="D55" i="9"/>
  <c r="D43" i="9"/>
  <c r="F55" i="9"/>
  <c r="F43" i="9"/>
  <c r="H55" i="9"/>
  <c r="H43" i="9"/>
  <c r="T132" i="9"/>
  <c r="T130" i="9"/>
  <c r="T127" i="9"/>
  <c r="T126" i="9"/>
  <c r="T129" i="9"/>
  <c r="T133" i="9"/>
  <c r="T128" i="9"/>
  <c r="T134" i="9"/>
  <c r="T107" i="9"/>
  <c r="T104" i="9"/>
  <c r="T101" i="9"/>
  <c r="T109" i="9"/>
  <c r="T105" i="9"/>
  <c r="T103" i="9"/>
  <c r="T106" i="9"/>
  <c r="T108" i="9"/>
  <c r="T76" i="9"/>
  <c r="T80" i="9"/>
  <c r="T82" i="9"/>
  <c r="T84" i="9"/>
  <c r="T79" i="9"/>
  <c r="T78" i="9"/>
  <c r="T59" i="9"/>
  <c r="AI26" i="9"/>
  <c r="L26" i="9" s="1"/>
  <c r="AI27" i="9"/>
  <c r="L27" i="9" s="1"/>
  <c r="AI28" i="9"/>
  <c r="L28" i="9" s="1"/>
  <c r="AI29" i="9"/>
  <c r="L29" i="9" s="1"/>
  <c r="AI30" i="9"/>
  <c r="L30" i="9" s="1"/>
  <c r="AI31" i="9"/>
  <c r="L31" i="9" s="1"/>
  <c r="AI32" i="9"/>
  <c r="L32" i="9" s="1"/>
  <c r="AI33" i="9"/>
  <c r="L33" i="9" s="1"/>
  <c r="AI34" i="9"/>
  <c r="L34" i="9" s="1"/>
  <c r="AQ81" i="9"/>
  <c r="L81" i="9"/>
  <c r="T81" i="9" s="1"/>
  <c r="G13" i="54"/>
  <c r="E88" i="9"/>
  <c r="N77" i="9"/>
  <c r="D88" i="9" s="1"/>
  <c r="R77" i="9"/>
  <c r="H88" i="9" s="1"/>
  <c r="L77" i="9"/>
  <c r="S77" i="9"/>
  <c r="I88" i="9" s="1"/>
  <c r="M77" i="9"/>
  <c r="C88" i="9" s="1"/>
  <c r="AQ130" i="9"/>
  <c r="AQ134" i="9"/>
  <c r="AQ127" i="9"/>
  <c r="AQ126" i="9"/>
  <c r="AQ129" i="9"/>
  <c r="AQ133" i="9"/>
  <c r="AQ132" i="9"/>
  <c r="AQ128" i="9"/>
  <c r="AQ107" i="9"/>
  <c r="AQ106" i="9"/>
  <c r="AQ79" i="9"/>
  <c r="AQ108" i="9"/>
  <c r="AQ103" i="9"/>
  <c r="AQ104" i="9"/>
  <c r="AQ109" i="9"/>
  <c r="AQ105" i="9"/>
  <c r="AQ82" i="9"/>
  <c r="AQ101" i="9"/>
  <c r="AQ77" i="9"/>
  <c r="AQ78" i="9"/>
  <c r="AQ84" i="9"/>
  <c r="AQ80" i="9"/>
  <c r="AQ59" i="9"/>
  <c r="N29" i="9"/>
  <c r="O30" i="9"/>
  <c r="M31" i="9"/>
  <c r="M32" i="9"/>
  <c r="P29" i="9"/>
  <c r="P27" i="9"/>
  <c r="Q29" i="9"/>
  <c r="N31" i="9"/>
  <c r="R27" i="9"/>
  <c r="O31" i="9"/>
  <c r="N27" i="9"/>
  <c r="Q31" i="9"/>
  <c r="R31" i="9"/>
  <c r="S27" i="9"/>
  <c r="N32" i="9"/>
  <c r="M26" i="9"/>
  <c r="R29" i="9"/>
  <c r="Q30" i="9"/>
  <c r="P31" i="9"/>
  <c r="O32" i="9"/>
  <c r="P30" i="9"/>
  <c r="N26" i="9"/>
  <c r="M27" i="9"/>
  <c r="S29" i="9"/>
  <c r="R30" i="9"/>
  <c r="P32" i="9"/>
  <c r="O26" i="9"/>
  <c r="S30" i="9"/>
  <c r="Q32" i="9"/>
  <c r="P26" i="9"/>
  <c r="O27" i="9"/>
  <c r="M29" i="9"/>
  <c r="R32" i="9"/>
  <c r="S26" i="9"/>
  <c r="Q26" i="9"/>
  <c r="M30" i="9"/>
  <c r="S32" i="9"/>
  <c r="L35" i="54" l="1"/>
  <c r="D300" i="124"/>
  <c r="H20" i="54"/>
  <c r="H21" i="54" s="1"/>
  <c r="H2" i="54"/>
  <c r="G14" i="54"/>
  <c r="H14" i="54" s="1"/>
  <c r="I14" i="54" s="1"/>
  <c r="J14" i="54" s="1"/>
  <c r="K14" i="54" s="1"/>
  <c r="G38" i="9"/>
  <c r="E38" i="9"/>
  <c r="H38" i="9"/>
  <c r="I38" i="9"/>
  <c r="F38" i="9"/>
  <c r="D38" i="9"/>
  <c r="C38" i="9"/>
  <c r="B38" i="9"/>
  <c r="B88" i="9"/>
  <c r="B113" i="9"/>
  <c r="B63" i="9"/>
  <c r="B138" i="9"/>
  <c r="L136" i="9" s="1"/>
  <c r="G20" i="54"/>
  <c r="E24" i="54"/>
  <c r="F24" i="54" s="1"/>
  <c r="G24" i="54" s="1"/>
  <c r="H24" i="54" s="1"/>
  <c r="I24" i="54" s="1"/>
  <c r="J24" i="54" s="1"/>
  <c r="D15" i="54"/>
  <c r="C15" i="54"/>
  <c r="T51" i="9"/>
  <c r="T50" i="9" s="1"/>
  <c r="X61" i="9"/>
  <c r="AB61" i="9"/>
  <c r="Y61" i="9"/>
  <c r="AC61" i="9"/>
  <c r="Z61" i="9"/>
  <c r="AD61" i="9"/>
  <c r="W61" i="9"/>
  <c r="AA61" i="9"/>
  <c r="W136" i="9"/>
  <c r="B144" i="9" s="1"/>
  <c r="Y136" i="9"/>
  <c r="D144" i="9" s="1"/>
  <c r="AA136" i="9"/>
  <c r="F144" i="9" s="1"/>
  <c r="AC136" i="9"/>
  <c r="H144" i="9" s="1"/>
  <c r="X136" i="9"/>
  <c r="C144" i="9" s="1"/>
  <c r="Z136" i="9"/>
  <c r="E144" i="9" s="1"/>
  <c r="AB136" i="9"/>
  <c r="G144" i="9" s="1"/>
  <c r="AD136" i="9"/>
  <c r="I144" i="9" s="1"/>
  <c r="T125" i="9"/>
  <c r="T100" i="9"/>
  <c r="T77" i="9"/>
  <c r="T28" i="9"/>
  <c r="T33" i="9"/>
  <c r="T29" i="9"/>
  <c r="T31" i="9"/>
  <c r="T34" i="9"/>
  <c r="T32" i="9"/>
  <c r="T30" i="9"/>
  <c r="T27" i="9"/>
  <c r="T26" i="9"/>
  <c r="W86" i="9"/>
  <c r="B94" i="9" s="1"/>
  <c r="Y86" i="9"/>
  <c r="D94" i="9" s="1"/>
  <c r="AC86" i="9"/>
  <c r="H94" i="9" s="1"/>
  <c r="Z86" i="9"/>
  <c r="E94" i="9" s="1"/>
  <c r="AD86" i="9"/>
  <c r="I94" i="9" s="1"/>
  <c r="AA86" i="9"/>
  <c r="F94" i="9" s="1"/>
  <c r="X86" i="9"/>
  <c r="C94" i="9" s="1"/>
  <c r="AB86" i="9"/>
  <c r="G94" i="9" s="1"/>
  <c r="M136" i="9"/>
  <c r="R86" i="9"/>
  <c r="O136" i="9"/>
  <c r="R136" i="9"/>
  <c r="Q136" i="9"/>
  <c r="P136" i="9"/>
  <c r="S136" i="9"/>
  <c r="S86" i="9"/>
  <c r="AC111" i="9"/>
  <c r="H119" i="9" s="1"/>
  <c r="AA111" i="9"/>
  <c r="F119" i="9" s="1"/>
  <c r="W111" i="9"/>
  <c r="B119" i="9" s="1"/>
  <c r="Z111" i="9"/>
  <c r="E119" i="9" s="1"/>
  <c r="R111" i="9"/>
  <c r="P111" i="9"/>
  <c r="X111" i="9"/>
  <c r="C119" i="9" s="1"/>
  <c r="O111" i="9"/>
  <c r="AD111" i="9"/>
  <c r="I119" i="9" s="1"/>
  <c r="Q111" i="9"/>
  <c r="AB111" i="9"/>
  <c r="G119" i="9" s="1"/>
  <c r="S111" i="9"/>
  <c r="M111" i="9"/>
  <c r="N111" i="9"/>
  <c r="Y111" i="9"/>
  <c r="D119" i="9" s="1"/>
  <c r="O86" i="9"/>
  <c r="M86" i="9"/>
  <c r="Q86" i="9"/>
  <c r="N86" i="9"/>
  <c r="G21" i="54" l="1"/>
  <c r="G22" i="54" s="1"/>
  <c r="H22" i="54" s="1"/>
  <c r="I22" i="54" s="1"/>
  <c r="E15" i="54"/>
  <c r="F15" i="54"/>
  <c r="K24" i="54"/>
  <c r="T75" i="9"/>
  <c r="P86" i="9"/>
  <c r="T25" i="9"/>
  <c r="K9" i="54"/>
  <c r="I9" i="54"/>
  <c r="J9" i="54"/>
  <c r="N136" i="9"/>
  <c r="AE136" i="9"/>
  <c r="AQ136" i="9" s="1"/>
  <c r="L111" i="9"/>
  <c r="AE111" i="9"/>
  <c r="AQ111" i="9" s="1"/>
  <c r="L86" i="9"/>
  <c r="AE86" i="9"/>
  <c r="AQ86" i="9" s="1"/>
  <c r="Y28" i="8"/>
  <c r="G12" i="54"/>
  <c r="Y18" i="8"/>
  <c r="G11" i="54"/>
  <c r="Y8" i="8"/>
  <c r="G10" i="54"/>
  <c r="J22" i="54" l="1"/>
  <c r="K22" i="54" s="1"/>
  <c r="I51" i="8"/>
  <c r="H51" i="8"/>
  <c r="F51" i="8"/>
  <c r="E51" i="8"/>
  <c r="C51" i="8"/>
  <c r="B51" i="8"/>
  <c r="I50" i="8"/>
  <c r="H50" i="8"/>
  <c r="F50" i="8"/>
  <c r="E50" i="8"/>
  <c r="C50" i="8"/>
  <c r="B50" i="8"/>
  <c r="I49" i="8"/>
  <c r="H49" i="8"/>
  <c r="F49" i="8"/>
  <c r="E49" i="8"/>
  <c r="C49" i="8"/>
  <c r="B49" i="8"/>
  <c r="I48" i="8"/>
  <c r="H48" i="8"/>
  <c r="F48" i="8"/>
  <c r="E48" i="8"/>
  <c r="C48" i="8"/>
  <c r="B48" i="8"/>
  <c r="I45" i="8"/>
  <c r="H45" i="8"/>
  <c r="F45" i="8"/>
  <c r="E45" i="8"/>
  <c r="C45" i="8"/>
  <c r="B45" i="8"/>
  <c r="I44" i="8"/>
  <c r="H44" i="8"/>
  <c r="F44" i="8"/>
  <c r="E44" i="8"/>
  <c r="C44" i="8"/>
  <c r="B44" i="8"/>
  <c r="I43" i="8"/>
  <c r="F43" i="8"/>
  <c r="E43" i="8"/>
  <c r="C43" i="8"/>
  <c r="B43" i="8"/>
  <c r="I42" i="8"/>
  <c r="H42" i="8"/>
  <c r="F42" i="8"/>
  <c r="E42" i="8"/>
  <c r="C42" i="8"/>
  <c r="B42" i="8"/>
  <c r="R3" i="116" l="1"/>
  <c r="N3" i="116" s="1"/>
  <c r="F53" i="124"/>
  <c r="K53" i="124"/>
  <c r="B53" i="124"/>
  <c r="A53" i="124"/>
  <c r="A3" i="124" s="1"/>
  <c r="L53" i="124"/>
  <c r="T3" i="116"/>
  <c r="H53" i="124"/>
  <c r="S3" i="116"/>
  <c r="C53" i="124"/>
  <c r="G53" i="124"/>
  <c r="M53" i="124"/>
  <c r="R3" i="115"/>
  <c r="S3" i="115"/>
  <c r="T3" i="115"/>
  <c r="T4" i="114"/>
  <c r="S4" i="114"/>
  <c r="R4" i="114"/>
  <c r="T2" i="110"/>
  <c r="S2" i="110"/>
  <c r="R2" i="110"/>
  <c r="C52" i="124"/>
  <c r="A52" i="124"/>
  <c r="A2" i="124" s="1"/>
  <c r="G52" i="124"/>
  <c r="F52" i="124"/>
  <c r="H52" i="124"/>
  <c r="S2" i="116"/>
  <c r="T2" i="116"/>
  <c r="K52" i="124"/>
  <c r="R2" i="116"/>
  <c r="N2" i="116" s="1"/>
  <c r="L52" i="124"/>
  <c r="B52" i="124"/>
  <c r="M52" i="124"/>
  <c r="R2" i="115"/>
  <c r="T2" i="115"/>
  <c r="S2" i="115"/>
  <c r="C54" i="124"/>
  <c r="B54" i="124"/>
  <c r="G54" i="124"/>
  <c r="A54" i="124"/>
  <c r="H54" i="124"/>
  <c r="R4" i="116"/>
  <c r="T4" i="116"/>
  <c r="K54" i="124"/>
  <c r="F54" i="124"/>
  <c r="L54" i="124"/>
  <c r="S4" i="116"/>
  <c r="M54" i="124"/>
  <c r="T4" i="115"/>
  <c r="R4" i="115"/>
  <c r="S4" i="115"/>
  <c r="S3" i="114"/>
  <c r="R3" i="114"/>
  <c r="T3" i="114"/>
  <c r="T2" i="113"/>
  <c r="S2" i="113"/>
  <c r="R2" i="113"/>
  <c r="S4" i="113"/>
  <c r="R4" i="113"/>
  <c r="T4" i="113"/>
  <c r="T3" i="110"/>
  <c r="S3" i="110"/>
  <c r="R3" i="110"/>
  <c r="R2" i="114"/>
  <c r="T2" i="114"/>
  <c r="S2" i="114"/>
  <c r="R3" i="113"/>
  <c r="T3" i="113"/>
  <c r="S3" i="113"/>
  <c r="R4" i="110"/>
  <c r="T4" i="110"/>
  <c r="S4" i="110"/>
  <c r="R9" i="116"/>
  <c r="M59" i="124"/>
  <c r="L59" i="124"/>
  <c r="K59" i="124"/>
  <c r="G59" i="124"/>
  <c r="F59" i="124"/>
  <c r="H59" i="124"/>
  <c r="A59" i="124"/>
  <c r="C59" i="124"/>
  <c r="B59" i="124"/>
  <c r="S9" i="116"/>
  <c r="T9" i="116"/>
  <c r="T9" i="115"/>
  <c r="S9" i="115"/>
  <c r="R9" i="115"/>
  <c r="T9" i="110"/>
  <c r="S9" i="110"/>
  <c r="R9" i="114"/>
  <c r="T9" i="113"/>
  <c r="R9" i="110"/>
  <c r="S9" i="113"/>
  <c r="T9" i="114"/>
  <c r="R9" i="113"/>
  <c r="S9" i="114"/>
  <c r="N32" i="8"/>
  <c r="N31" i="8"/>
  <c r="N30" i="8"/>
  <c r="N29" i="8"/>
  <c r="N57" i="124" l="1"/>
  <c r="N52" i="124"/>
  <c r="I57" i="124"/>
  <c r="D57" i="124"/>
  <c r="I52" i="124"/>
  <c r="D52" i="124"/>
  <c r="Y57" i="124"/>
  <c r="J57" i="124"/>
  <c r="E57" i="124"/>
  <c r="T57" i="124"/>
  <c r="O57" i="124"/>
  <c r="Y52" i="124"/>
  <c r="E52" i="124"/>
  <c r="J52" i="124"/>
  <c r="T52" i="124"/>
  <c r="O52" i="124"/>
  <c r="AJ61" i="115"/>
  <c r="N38" i="8"/>
  <c r="N37" i="8"/>
  <c r="N36" i="8"/>
  <c r="N35" i="8"/>
  <c r="C80" i="110" l="1"/>
  <c r="C80" i="113"/>
  <c r="C80" i="114"/>
  <c r="C80" i="115"/>
  <c r="B12" i="8"/>
  <c r="A12" i="8"/>
  <c r="B25" i="8"/>
  <c r="A25" i="8"/>
  <c r="B11" i="8"/>
  <c r="A11" i="8"/>
  <c r="B24" i="8"/>
  <c r="A24" i="8"/>
  <c r="B10" i="8"/>
  <c r="A10" i="8"/>
  <c r="A23" i="8"/>
  <c r="B9" i="8"/>
  <c r="A9" i="8"/>
  <c r="B22" i="8"/>
  <c r="C7" i="8"/>
  <c r="C8" i="8" s="1"/>
  <c r="B6" i="8"/>
  <c r="A6" i="8"/>
  <c r="B19" i="8"/>
  <c r="A19" i="8"/>
  <c r="B5" i="8"/>
  <c r="A5" i="8"/>
  <c r="B18" i="8"/>
  <c r="A18" i="8"/>
  <c r="B4" i="8"/>
  <c r="A4" i="8"/>
  <c r="B17" i="8"/>
  <c r="A17" i="8"/>
  <c r="B3" i="8"/>
  <c r="A3" i="8"/>
  <c r="B16" i="8"/>
  <c r="A16" i="8"/>
  <c r="X281" i="124" l="1"/>
  <c r="S281" i="124"/>
  <c r="I281" i="124"/>
  <c r="N281" i="124"/>
  <c r="H70" i="110"/>
  <c r="C9" i="8"/>
  <c r="C10" i="8" s="1"/>
  <c r="H70" i="114"/>
  <c r="H70" i="113"/>
  <c r="R57" i="116"/>
  <c r="H70" i="115"/>
  <c r="C17" i="8"/>
  <c r="C6" i="8"/>
  <c r="C4" i="8"/>
  <c r="C20" i="8"/>
  <c r="C21" i="8" s="1"/>
  <c r="C5" i="8"/>
  <c r="C19" i="8"/>
  <c r="C18" i="8"/>
  <c r="V31" i="8"/>
  <c r="K12" i="54"/>
  <c r="T31" i="8"/>
  <c r="V21" i="8"/>
  <c r="K11" i="54"/>
  <c r="T21" i="8"/>
  <c r="V11" i="8"/>
  <c r="K10" i="54"/>
  <c r="T11" i="8"/>
  <c r="V30" i="8"/>
  <c r="J12" i="54"/>
  <c r="T30" i="8"/>
  <c r="V20" i="8"/>
  <c r="J11" i="54"/>
  <c r="T20" i="8"/>
  <c r="V10" i="8"/>
  <c r="J10" i="54"/>
  <c r="T10" i="8"/>
  <c r="V29" i="8"/>
  <c r="I12" i="54"/>
  <c r="T29" i="8"/>
  <c r="V19" i="8"/>
  <c r="I11" i="54"/>
  <c r="T19" i="8"/>
  <c r="V9" i="8"/>
  <c r="I10" i="54"/>
  <c r="T9" i="8"/>
  <c r="V28" i="8"/>
  <c r="H12" i="54"/>
  <c r="T28" i="8"/>
  <c r="V18" i="8"/>
  <c r="H11" i="54"/>
  <c r="T18" i="8"/>
  <c r="V8" i="8"/>
  <c r="H10" i="54"/>
  <c r="T8" i="8"/>
  <c r="Z26" i="8"/>
  <c r="Z16" i="8"/>
  <c r="F10" i="54"/>
  <c r="V25" i="8"/>
  <c r="T25" i="8"/>
  <c r="Z25" i="8" s="1"/>
  <c r="V15" i="8"/>
  <c r="T15" i="8"/>
  <c r="Z15" i="8" s="1"/>
  <c r="V5" i="8"/>
  <c r="U5" i="8"/>
  <c r="T5" i="8"/>
  <c r="Z5" i="8" s="1"/>
  <c r="V24" i="8"/>
  <c r="T24" i="8"/>
  <c r="Z24" i="8" s="1"/>
  <c r="V14" i="8"/>
  <c r="T14" i="8"/>
  <c r="Z14" i="8" s="1"/>
  <c r="V4" i="8"/>
  <c r="U4" i="8"/>
  <c r="T4" i="8"/>
  <c r="Z4" i="8" s="1"/>
  <c r="V23" i="8"/>
  <c r="T23" i="8"/>
  <c r="Z23" i="8" s="1"/>
  <c r="V13" i="8"/>
  <c r="T13" i="8"/>
  <c r="Z13" i="8" s="1"/>
  <c r="V3" i="8"/>
  <c r="U3" i="8"/>
  <c r="C10" i="54" s="1"/>
  <c r="T3" i="8"/>
  <c r="T12" i="8"/>
  <c r="Z12" i="8" s="1"/>
  <c r="V12" i="8"/>
  <c r="T22" i="8"/>
  <c r="Z22" i="8" s="1"/>
  <c r="V22" i="8"/>
  <c r="V2" i="8"/>
  <c r="U2" i="8"/>
  <c r="B10" i="54" s="1"/>
  <c r="T2" i="8"/>
  <c r="D19" i="110" l="1"/>
  <c r="X119" i="124"/>
  <c r="X422" i="124" s="1"/>
  <c r="X390" i="124" s="1"/>
  <c r="C19" i="110"/>
  <c r="W119" i="124"/>
  <c r="W422" i="124" s="1"/>
  <c r="W390" i="124" s="1"/>
  <c r="B19" i="110"/>
  <c r="V119" i="124"/>
  <c r="C19" i="113"/>
  <c r="R119" i="124"/>
  <c r="R422" i="124" s="1"/>
  <c r="R390" i="124" s="1"/>
  <c r="D19" i="113"/>
  <c r="S119" i="124"/>
  <c r="S422" i="124" s="1"/>
  <c r="S390" i="124" s="1"/>
  <c r="B19" i="113"/>
  <c r="Q119" i="124"/>
  <c r="D19" i="114"/>
  <c r="N119" i="124"/>
  <c r="N422" i="124" s="1"/>
  <c r="N390" i="124" s="1"/>
  <c r="L119" i="124"/>
  <c r="C19" i="114"/>
  <c r="M119" i="124"/>
  <c r="M422" i="124" s="1"/>
  <c r="M390" i="124" s="1"/>
  <c r="D19" i="115"/>
  <c r="I119" i="124"/>
  <c r="I422" i="124" s="1"/>
  <c r="I390" i="124" s="1"/>
  <c r="B19" i="115"/>
  <c r="G119" i="124"/>
  <c r="C19" i="115"/>
  <c r="H119" i="124"/>
  <c r="H422" i="124" s="1"/>
  <c r="H390" i="124" s="1"/>
  <c r="C11" i="8"/>
  <c r="C12" i="8" s="1"/>
  <c r="N300" i="124"/>
  <c r="X300" i="124"/>
  <c r="S300" i="124"/>
  <c r="I300" i="124"/>
  <c r="D352" i="124"/>
  <c r="I25" i="113"/>
  <c r="I25" i="114"/>
  <c r="R57" i="110"/>
  <c r="C22" i="8"/>
  <c r="C23" i="8" s="1"/>
  <c r="I21" i="115"/>
  <c r="R57" i="114"/>
  <c r="R57" i="113"/>
  <c r="R57" i="115"/>
  <c r="AK33" i="115"/>
  <c r="AK33" i="116"/>
  <c r="AK9" i="116" s="1"/>
  <c r="AK33" i="113"/>
  <c r="AK33" i="114"/>
  <c r="AA5" i="8"/>
  <c r="E10" i="54"/>
  <c r="AA24" i="8"/>
  <c r="D12" i="54"/>
  <c r="AA25" i="8"/>
  <c r="E12" i="54"/>
  <c r="AA4" i="8"/>
  <c r="D10" i="54"/>
  <c r="AA22" i="8"/>
  <c r="B12" i="54"/>
  <c r="AA15" i="8"/>
  <c r="E11" i="54"/>
  <c r="AA26" i="8"/>
  <c r="F12" i="54"/>
  <c r="AA13" i="8"/>
  <c r="C11" i="54"/>
  <c r="AA14" i="8"/>
  <c r="D11" i="54"/>
  <c r="AA12" i="8"/>
  <c r="B11" i="54"/>
  <c r="AA23" i="8"/>
  <c r="C12" i="54"/>
  <c r="AA16" i="8"/>
  <c r="F11" i="54"/>
  <c r="AL41" i="110" l="1"/>
  <c r="AL9" i="110" s="1"/>
  <c r="AK41" i="110"/>
  <c r="J23" i="111"/>
  <c r="H23" i="111"/>
  <c r="F23" i="111"/>
  <c r="C61" i="110"/>
  <c r="X262" i="124" s="1"/>
  <c r="AM41" i="110"/>
  <c r="AM9" i="110" s="1"/>
  <c r="W262" i="124"/>
  <c r="V422" i="124"/>
  <c r="V390" i="124" s="1"/>
  <c r="AK41" i="113"/>
  <c r="AK9" i="113" s="1"/>
  <c r="AM41" i="113"/>
  <c r="AM9" i="113" s="1"/>
  <c r="J23" i="118"/>
  <c r="AL41" i="114"/>
  <c r="AL9" i="114" s="1"/>
  <c r="AK41" i="114"/>
  <c r="AK9" i="114" s="1"/>
  <c r="AK41" i="115"/>
  <c r="AK9" i="115" s="1"/>
  <c r="AM41" i="115"/>
  <c r="AM9" i="115" s="1"/>
  <c r="H23" i="119"/>
  <c r="F23" i="117"/>
  <c r="F23" i="118"/>
  <c r="C61" i="113"/>
  <c r="H23" i="117"/>
  <c r="AL41" i="113"/>
  <c r="AL9" i="113" s="1"/>
  <c r="J23" i="117"/>
  <c r="Q422" i="124"/>
  <c r="Q390" i="124" s="1"/>
  <c r="R262" i="124"/>
  <c r="H23" i="118"/>
  <c r="C61" i="114"/>
  <c r="AM41" i="114"/>
  <c r="AM9" i="114" s="1"/>
  <c r="M262" i="124"/>
  <c r="L422" i="124"/>
  <c r="L390" i="124" s="1"/>
  <c r="J23" i="119"/>
  <c r="AL41" i="115"/>
  <c r="AL9" i="115" s="1"/>
  <c r="F23" i="119"/>
  <c r="C61" i="115"/>
  <c r="H262" i="124"/>
  <c r="G422" i="124"/>
  <c r="G390" i="124" s="1"/>
  <c r="I25" i="110"/>
  <c r="C24" i="8"/>
  <c r="C25" i="8" s="1"/>
  <c r="S352" i="124"/>
  <c r="N352" i="124"/>
  <c r="X352" i="124"/>
  <c r="I352" i="124"/>
  <c r="I21" i="114"/>
  <c r="I21" i="113"/>
  <c r="I64" i="8"/>
  <c r="F64" i="8"/>
  <c r="C64" i="8"/>
  <c r="H64" i="8"/>
  <c r="E64" i="8"/>
  <c r="B64" i="8"/>
  <c r="G64" i="8"/>
  <c r="D64" i="8"/>
  <c r="A64" i="8"/>
  <c r="Q64" i="8"/>
  <c r="P64" i="8"/>
  <c r="I63" i="8"/>
  <c r="F63" i="8"/>
  <c r="C63" i="8"/>
  <c r="H63" i="8"/>
  <c r="E63" i="8"/>
  <c r="B63" i="8"/>
  <c r="G63" i="8"/>
  <c r="D63" i="8"/>
  <c r="A63" i="8"/>
  <c r="Q63" i="8"/>
  <c r="P63" i="8"/>
  <c r="I62" i="8"/>
  <c r="F62" i="8"/>
  <c r="C62" i="8"/>
  <c r="H62" i="8"/>
  <c r="E62" i="8"/>
  <c r="B62" i="8"/>
  <c r="G62" i="8"/>
  <c r="D62" i="8"/>
  <c r="A62" i="8"/>
  <c r="Q62" i="8"/>
  <c r="P62" i="8"/>
  <c r="I61" i="8"/>
  <c r="F61" i="8"/>
  <c r="C61" i="8"/>
  <c r="H61" i="8"/>
  <c r="E61" i="8"/>
  <c r="B61" i="8"/>
  <c r="G61" i="8"/>
  <c r="D61" i="8"/>
  <c r="A61" i="8"/>
  <c r="Q61" i="8"/>
  <c r="P61" i="8"/>
  <c r="I58" i="8"/>
  <c r="F58" i="8"/>
  <c r="C58" i="8"/>
  <c r="H58" i="8"/>
  <c r="E58" i="8"/>
  <c r="B58" i="8"/>
  <c r="G58" i="8"/>
  <c r="D58" i="8"/>
  <c r="A58" i="8"/>
  <c r="Q58" i="8"/>
  <c r="P58" i="8"/>
  <c r="I57" i="8"/>
  <c r="F57" i="8"/>
  <c r="C57" i="8"/>
  <c r="H57" i="8"/>
  <c r="E57" i="8"/>
  <c r="B57" i="8"/>
  <c r="G57" i="8"/>
  <c r="D57" i="8"/>
  <c r="A57" i="8"/>
  <c r="Q57" i="8"/>
  <c r="P57" i="8"/>
  <c r="I56" i="8"/>
  <c r="F56" i="8"/>
  <c r="C56" i="8"/>
  <c r="H56" i="8"/>
  <c r="E56" i="8"/>
  <c r="B56" i="8"/>
  <c r="G56" i="8"/>
  <c r="D56" i="8"/>
  <c r="A56" i="8"/>
  <c r="Q56" i="8"/>
  <c r="P56" i="8"/>
  <c r="P55" i="8"/>
  <c r="Q55" i="8"/>
  <c r="I55" i="8"/>
  <c r="H55" i="8"/>
  <c r="G55" i="8"/>
  <c r="F55" i="8"/>
  <c r="E55" i="8"/>
  <c r="D55" i="8"/>
  <c r="C55" i="8"/>
  <c r="B55" i="8"/>
  <c r="A55" i="8"/>
  <c r="N64" i="8"/>
  <c r="M64" i="8"/>
  <c r="L64" i="8"/>
  <c r="K64" i="8"/>
  <c r="N63" i="8"/>
  <c r="M63" i="8"/>
  <c r="L63" i="8"/>
  <c r="K63" i="8"/>
  <c r="H45" i="113" s="1"/>
  <c r="N62" i="8"/>
  <c r="M62" i="8"/>
  <c r="L62" i="8"/>
  <c r="K62" i="8"/>
  <c r="H45" i="114" s="1"/>
  <c r="N61" i="8"/>
  <c r="M61" i="8"/>
  <c r="L61" i="8"/>
  <c r="K61" i="8"/>
  <c r="H45" i="115" s="1"/>
  <c r="N58" i="8"/>
  <c r="M58" i="8"/>
  <c r="L58" i="8"/>
  <c r="K58" i="8"/>
  <c r="N57" i="8"/>
  <c r="M57" i="8"/>
  <c r="L57" i="8"/>
  <c r="K57" i="8"/>
  <c r="N56" i="8"/>
  <c r="M56" i="8"/>
  <c r="L56" i="8"/>
  <c r="K56" i="8"/>
  <c r="N55" i="8"/>
  <c r="M55" i="8"/>
  <c r="L55" i="8"/>
  <c r="K55" i="8"/>
  <c r="I25" i="8"/>
  <c r="L25" i="8" s="1"/>
  <c r="H25" i="8"/>
  <c r="K25" i="8" s="1"/>
  <c r="G25" i="8"/>
  <c r="J25" i="8" s="1"/>
  <c r="E25" i="8"/>
  <c r="D25" i="8"/>
  <c r="I24" i="8"/>
  <c r="H24" i="8"/>
  <c r="G24" i="8"/>
  <c r="E24" i="8"/>
  <c r="D24" i="8"/>
  <c r="I23" i="8"/>
  <c r="H23" i="8"/>
  <c r="G23" i="8"/>
  <c r="E23" i="8"/>
  <c r="D23" i="8"/>
  <c r="I22" i="8"/>
  <c r="H22" i="8"/>
  <c r="G22" i="8"/>
  <c r="E22" i="8"/>
  <c r="D22" i="8"/>
  <c r="I19" i="8"/>
  <c r="H19" i="8"/>
  <c r="E19" i="8"/>
  <c r="D19" i="8"/>
  <c r="I18" i="8"/>
  <c r="H18" i="8"/>
  <c r="G18" i="8"/>
  <c r="E18" i="8"/>
  <c r="D18" i="8"/>
  <c r="I17" i="8"/>
  <c r="L17" i="8" s="1"/>
  <c r="H17" i="8"/>
  <c r="K17" i="8" s="1"/>
  <c r="G17" i="8"/>
  <c r="J17" i="8" s="1"/>
  <c r="E17" i="8"/>
  <c r="D17" i="8"/>
  <c r="I16" i="8"/>
  <c r="L16" i="8" s="1"/>
  <c r="H16" i="8"/>
  <c r="K16" i="8" s="1"/>
  <c r="G16" i="8"/>
  <c r="J16" i="8" s="1"/>
  <c r="E16" i="8"/>
  <c r="D16" i="8"/>
  <c r="I12" i="8"/>
  <c r="I11" i="8"/>
  <c r="I10" i="8"/>
  <c r="I6" i="8"/>
  <c r="I5" i="8"/>
  <c r="I4" i="8"/>
  <c r="I3" i="8"/>
  <c r="E12" i="8"/>
  <c r="G12" i="8"/>
  <c r="D12" i="8" s="1"/>
  <c r="H12" i="8" s="1"/>
  <c r="F12" i="8"/>
  <c r="E11" i="8"/>
  <c r="G11" i="8"/>
  <c r="D11" i="8" s="1"/>
  <c r="H11" i="8" s="1"/>
  <c r="F11" i="8"/>
  <c r="E10" i="8"/>
  <c r="G10" i="8"/>
  <c r="D10" i="8" s="1"/>
  <c r="H10" i="8" s="1"/>
  <c r="F10" i="8"/>
  <c r="E9" i="8"/>
  <c r="G9" i="8"/>
  <c r="D9" i="8" s="1"/>
  <c r="H9" i="8" s="1"/>
  <c r="F9" i="8"/>
  <c r="E6" i="8"/>
  <c r="G6" i="8"/>
  <c r="D6" i="8" s="1"/>
  <c r="H6" i="8" s="1"/>
  <c r="F6" i="8"/>
  <c r="E5" i="8"/>
  <c r="G5" i="8"/>
  <c r="D5" i="8" s="1"/>
  <c r="H5" i="8" s="1"/>
  <c r="F5" i="8"/>
  <c r="E4" i="8"/>
  <c r="G4" i="8"/>
  <c r="D4" i="8" s="1"/>
  <c r="H4" i="8" s="1"/>
  <c r="F4" i="8"/>
  <c r="E3" i="8"/>
  <c r="G3" i="8"/>
  <c r="D3" i="8" s="1"/>
  <c r="H3" i="8" s="1"/>
  <c r="F3" i="8"/>
  <c r="Z262" i="124" l="1"/>
  <c r="S262" i="124"/>
  <c r="N262" i="124"/>
  <c r="I262" i="124"/>
  <c r="P14" i="117"/>
  <c r="P14" i="118"/>
  <c r="H157" i="124"/>
  <c r="H265" i="124" s="1"/>
  <c r="F434" i="124" s="1"/>
  <c r="C157" i="124"/>
  <c r="C265" i="124" s="1"/>
  <c r="H45" i="110"/>
  <c r="P14" i="119"/>
  <c r="I21" i="110"/>
  <c r="B19" i="124"/>
  <c r="B17" i="124"/>
  <c r="B2" i="124" s="1"/>
  <c r="B18" i="124"/>
  <c r="B3" i="124" s="1"/>
  <c r="C19" i="124"/>
  <c r="C17" i="124"/>
  <c r="C2" i="124" s="1"/>
  <c r="C18" i="124"/>
  <c r="C3" i="124" s="1"/>
  <c r="M89" i="124"/>
  <c r="L89" i="124"/>
  <c r="K89" i="124"/>
  <c r="D170" i="124"/>
  <c r="F89" i="124"/>
  <c r="H89" i="124"/>
  <c r="G89" i="124"/>
  <c r="C89" i="124"/>
  <c r="B89" i="124"/>
  <c r="A89" i="124"/>
  <c r="A4" i="124" s="1"/>
  <c r="M157" i="124"/>
  <c r="W157" i="124"/>
  <c r="R157" i="124"/>
  <c r="T39" i="110"/>
  <c r="S39" i="110"/>
  <c r="R39" i="110"/>
  <c r="T39" i="113"/>
  <c r="S39" i="113"/>
  <c r="R39" i="113"/>
  <c r="S39" i="114"/>
  <c r="R39" i="114"/>
  <c r="T39" i="114"/>
  <c r="R39" i="115"/>
  <c r="T39" i="115"/>
  <c r="S39" i="115"/>
  <c r="R39" i="116"/>
  <c r="N4" i="116" s="1"/>
  <c r="S39" i="116"/>
  <c r="T39" i="116"/>
  <c r="P19" i="116"/>
  <c r="P18" i="116"/>
  <c r="P3" i="116" s="1"/>
  <c r="P17" i="116"/>
  <c r="P2" i="116" s="1"/>
  <c r="O19" i="116"/>
  <c r="O17" i="116"/>
  <c r="O2" i="116" s="1"/>
  <c r="O18" i="116"/>
  <c r="O3" i="116" s="1"/>
  <c r="H6" i="115"/>
  <c r="C64" i="115" s="1"/>
  <c r="H6" i="116"/>
  <c r="C64" i="116" s="1"/>
  <c r="H6" i="113"/>
  <c r="C64" i="113" s="1"/>
  <c r="H6" i="110"/>
  <c r="C64" i="110" s="1"/>
  <c r="H6" i="114"/>
  <c r="C64" i="114" s="1"/>
  <c r="I19" i="116"/>
  <c r="I19" i="115"/>
  <c r="I19" i="114"/>
  <c r="I19" i="113"/>
  <c r="I19" i="110"/>
  <c r="K18" i="8"/>
  <c r="J18" i="8"/>
  <c r="L18" i="8"/>
  <c r="J19" i="8"/>
  <c r="L19" i="8"/>
  <c r="K19" i="8"/>
  <c r="J24" i="8"/>
  <c r="K24" i="8"/>
  <c r="L24" i="8"/>
  <c r="K20" i="8"/>
  <c r="J20" i="8"/>
  <c r="L20" i="8"/>
  <c r="L23" i="8"/>
  <c r="J23" i="8"/>
  <c r="K23" i="8"/>
  <c r="K22" i="8"/>
  <c r="L22" i="8"/>
  <c r="J22" i="8"/>
  <c r="B4" i="124" l="1"/>
  <c r="C4" i="124"/>
  <c r="O4" i="116"/>
  <c r="P4" i="116"/>
  <c r="A434" i="124"/>
  <c r="P14" i="111"/>
  <c r="N87" i="124"/>
  <c r="D17" i="124"/>
  <c r="I87" i="124"/>
  <c r="D87" i="124"/>
  <c r="I265" i="124"/>
  <c r="D265" i="124"/>
  <c r="N265" i="124"/>
  <c r="X265" i="124"/>
  <c r="S265" i="124"/>
  <c r="R265" i="124"/>
  <c r="P434" i="124" s="1"/>
  <c r="W265" i="124"/>
  <c r="U434" i="124" s="1"/>
  <c r="M265" i="124"/>
  <c r="J87" i="124"/>
  <c r="E87" i="124"/>
  <c r="Y87" i="124"/>
  <c r="T87" i="124"/>
  <c r="E17" i="124"/>
  <c r="O87" i="124"/>
  <c r="AJ53" i="110"/>
  <c r="AJ53" i="113"/>
  <c r="AJ53" i="114"/>
  <c r="AJ53" i="115"/>
  <c r="AJ53" i="116"/>
  <c r="I16" i="116"/>
  <c r="Z265" i="124" l="1"/>
  <c r="K434" i="124"/>
  <c r="H59" i="113"/>
  <c r="H59" i="110"/>
  <c r="I17" i="116"/>
  <c r="X289" i="124" l="1"/>
  <c r="S289" i="124"/>
  <c r="AJ61" i="114" l="1"/>
  <c r="AJ61" i="116"/>
  <c r="H59" i="114" l="1"/>
  <c r="N289" i="124" l="1"/>
  <c r="E19" i="115" l="1"/>
  <c r="E19" i="114" l="1"/>
  <c r="AA3" i="8" l="1"/>
  <c r="AA2" i="8"/>
  <c r="Z3" i="8"/>
  <c r="Z2" i="8"/>
  <c r="AA6" i="8" l="1"/>
  <c r="Z6" i="8"/>
  <c r="C1" i="54" l="1"/>
  <c r="D1" i="54" s="1"/>
  <c r="E1" i="54" s="1"/>
  <c r="F1" i="54" s="1"/>
  <c r="G1" i="54" s="1"/>
  <c r="AE34" i="9"/>
  <c r="I73" i="8" s="1"/>
  <c r="D145" i="124" s="1"/>
  <c r="AE33" i="9"/>
  <c r="F73" i="8" s="1"/>
  <c r="D144" i="124" s="1"/>
  <c r="AE32" i="9"/>
  <c r="C73" i="8" s="1"/>
  <c r="D143" i="124" s="1"/>
  <c r="AE31" i="9"/>
  <c r="H73" i="8" s="1"/>
  <c r="C145" i="124" s="1"/>
  <c r="AE30" i="9"/>
  <c r="E73" i="8" s="1"/>
  <c r="C144" i="124" s="1"/>
  <c r="AE29" i="9"/>
  <c r="B73" i="8" s="1"/>
  <c r="C143" i="124" s="1"/>
  <c r="AE28" i="9"/>
  <c r="G73" i="8" s="1"/>
  <c r="B145" i="124" s="1"/>
  <c r="AE27" i="9"/>
  <c r="D73" i="8" s="1"/>
  <c r="B144" i="124" s="1"/>
  <c r="AE26" i="9"/>
  <c r="A73" i="8" s="1"/>
  <c r="C3" i="8"/>
  <c r="C16" i="8"/>
  <c r="B143" i="124" l="1"/>
  <c r="G143" i="124" s="1"/>
  <c r="B43" i="116"/>
  <c r="I144" i="124"/>
  <c r="H68" i="124"/>
  <c r="H38" i="124"/>
  <c r="H18" i="124"/>
  <c r="H23" i="124"/>
  <c r="G144" i="124"/>
  <c r="K23" i="124" s="1"/>
  <c r="F68" i="124"/>
  <c r="F38" i="124"/>
  <c r="F18" i="124"/>
  <c r="F23" i="124"/>
  <c r="G145" i="124"/>
  <c r="F69" i="124"/>
  <c r="F39" i="124"/>
  <c r="F19" i="124"/>
  <c r="F24" i="124"/>
  <c r="H143" i="124"/>
  <c r="G67" i="124"/>
  <c r="G37" i="124"/>
  <c r="G17" i="124"/>
  <c r="G22" i="124"/>
  <c r="H144" i="124"/>
  <c r="G68" i="124"/>
  <c r="G38" i="124"/>
  <c r="G18" i="124"/>
  <c r="G23" i="124"/>
  <c r="H145" i="124"/>
  <c r="G69" i="124"/>
  <c r="G39" i="124"/>
  <c r="G19" i="124"/>
  <c r="G24" i="124"/>
  <c r="I145" i="124"/>
  <c r="N145" i="124" s="1"/>
  <c r="H69" i="124"/>
  <c r="H39" i="124"/>
  <c r="H19" i="124"/>
  <c r="H24" i="124"/>
  <c r="I143" i="124"/>
  <c r="H67" i="124"/>
  <c r="H37" i="124"/>
  <c r="H17" i="124"/>
  <c r="H22" i="124"/>
  <c r="D44" i="116"/>
  <c r="B44" i="116"/>
  <c r="C43" i="116"/>
  <c r="D45" i="116"/>
  <c r="C44" i="116"/>
  <c r="C45" i="116"/>
  <c r="B45" i="116"/>
  <c r="D43" i="116"/>
  <c r="D172" i="124"/>
  <c r="H171" i="124" s="1"/>
  <c r="I25" i="116"/>
  <c r="D176" i="124"/>
  <c r="H175" i="124" s="1"/>
  <c r="N175" i="124" s="1"/>
  <c r="G32" i="54"/>
  <c r="G27" i="54"/>
  <c r="H1" i="54"/>
  <c r="H32" i="54" s="1"/>
  <c r="I21" i="116"/>
  <c r="A49" i="9"/>
  <c r="G3" i="124" l="1"/>
  <c r="G2" i="124"/>
  <c r="G4" i="124"/>
  <c r="D92" i="124"/>
  <c r="C44" i="115"/>
  <c r="O23" i="114" s="1"/>
  <c r="C43" i="115"/>
  <c r="C43" i="114" s="1"/>
  <c r="O37" i="113" s="1"/>
  <c r="C45" i="115"/>
  <c r="C45" i="114" s="1"/>
  <c r="S19" i="113" s="1"/>
  <c r="F17" i="124"/>
  <c r="I17" i="124" s="1"/>
  <c r="F22" i="124"/>
  <c r="I22" i="124" s="1"/>
  <c r="F37" i="124"/>
  <c r="I37" i="124" s="1"/>
  <c r="F67" i="124"/>
  <c r="E142" i="124"/>
  <c r="L143" i="124"/>
  <c r="J142" i="124"/>
  <c r="L144" i="124"/>
  <c r="K68" i="124"/>
  <c r="K38" i="124"/>
  <c r="K18" i="124"/>
  <c r="M145" i="124"/>
  <c r="L69" i="124"/>
  <c r="L39" i="124"/>
  <c r="L19" i="124"/>
  <c r="L24" i="124"/>
  <c r="L145" i="124"/>
  <c r="K69" i="124"/>
  <c r="K39" i="124"/>
  <c r="K19" i="124"/>
  <c r="K24" i="124"/>
  <c r="S145" i="124"/>
  <c r="R69" i="124"/>
  <c r="R39" i="124"/>
  <c r="R19" i="124"/>
  <c r="R24" i="124"/>
  <c r="M143" i="124"/>
  <c r="L67" i="124"/>
  <c r="L37" i="124"/>
  <c r="L17" i="124"/>
  <c r="L22" i="124"/>
  <c r="N143" i="124"/>
  <c r="M67" i="124"/>
  <c r="M37" i="124"/>
  <c r="M17" i="124"/>
  <c r="M22" i="124"/>
  <c r="M144" i="124"/>
  <c r="L68" i="124"/>
  <c r="L38" i="124"/>
  <c r="L18" i="124"/>
  <c r="L23" i="124"/>
  <c r="N144" i="124"/>
  <c r="M68" i="124"/>
  <c r="M38" i="124"/>
  <c r="M18" i="124"/>
  <c r="M23" i="124"/>
  <c r="B45" i="115"/>
  <c r="R19" i="115"/>
  <c r="N39" i="115"/>
  <c r="N24" i="115"/>
  <c r="N19" i="115"/>
  <c r="D45" i="115"/>
  <c r="T19" i="115"/>
  <c r="P39" i="115"/>
  <c r="P24" i="115"/>
  <c r="P19" i="115"/>
  <c r="B43" i="115"/>
  <c r="R17" i="115"/>
  <c r="N37" i="115"/>
  <c r="N22" i="115"/>
  <c r="N17" i="115"/>
  <c r="B44" i="115"/>
  <c r="N23" i="114" s="1"/>
  <c r="R18" i="115"/>
  <c r="N38" i="115"/>
  <c r="N23" i="115"/>
  <c r="N18" i="115"/>
  <c r="D44" i="115"/>
  <c r="T18" i="115"/>
  <c r="P38" i="115"/>
  <c r="P23" i="115"/>
  <c r="P18" i="115"/>
  <c r="D43" i="115"/>
  <c r="T17" i="115"/>
  <c r="P37" i="115"/>
  <c r="P22" i="115"/>
  <c r="P17" i="115"/>
  <c r="H169" i="124"/>
  <c r="H167" i="124"/>
  <c r="I170" i="124"/>
  <c r="I172" i="124"/>
  <c r="M171" i="124" s="1"/>
  <c r="M168" i="124" s="1"/>
  <c r="I171" i="124"/>
  <c r="H168" i="124"/>
  <c r="H176" i="124"/>
  <c r="H264" i="124" s="1"/>
  <c r="I1" i="54"/>
  <c r="I32" i="54" s="1"/>
  <c r="H27" i="54"/>
  <c r="A74" i="9"/>
  <c r="I56" i="9"/>
  <c r="I65" i="9" s="1"/>
  <c r="G56" i="9"/>
  <c r="G65" i="9" s="1"/>
  <c r="E56" i="9"/>
  <c r="E65" i="9" s="1"/>
  <c r="C56" i="9"/>
  <c r="C65" i="9" s="1"/>
  <c r="H56" i="9"/>
  <c r="H65" i="9" s="1"/>
  <c r="D56" i="9"/>
  <c r="D65" i="9" s="1"/>
  <c r="F56" i="9"/>
  <c r="F65" i="9" s="1"/>
  <c r="B56" i="9"/>
  <c r="B65" i="9" s="1"/>
  <c r="N2" i="115" l="1"/>
  <c r="R47" i="115" s="1"/>
  <c r="C44" i="114"/>
  <c r="O18" i="113" s="1"/>
  <c r="R4" i="124"/>
  <c r="M2" i="124"/>
  <c r="L4" i="124"/>
  <c r="L2" i="124"/>
  <c r="K3" i="124"/>
  <c r="M3" i="124"/>
  <c r="L3" i="124"/>
  <c r="K4" i="124"/>
  <c r="I67" i="124"/>
  <c r="F2" i="124"/>
  <c r="S17" i="113"/>
  <c r="P3" i="115"/>
  <c r="N4" i="115"/>
  <c r="N3" i="115"/>
  <c r="R48" i="115" s="1"/>
  <c r="J13" i="115" s="1"/>
  <c r="J28" i="115" s="1"/>
  <c r="J23" i="115" s="1"/>
  <c r="P2" i="115"/>
  <c r="T47" i="115" s="1"/>
  <c r="L12" i="115" s="1"/>
  <c r="L27" i="115" s="1"/>
  <c r="L22" i="115" s="1"/>
  <c r="P4" i="115"/>
  <c r="T49" i="115" s="1"/>
  <c r="L14" i="115" s="1"/>
  <c r="O24" i="114"/>
  <c r="O22" i="114"/>
  <c r="O17" i="114"/>
  <c r="O37" i="114"/>
  <c r="S17" i="114"/>
  <c r="O39" i="114"/>
  <c r="O17" i="113"/>
  <c r="S19" i="114"/>
  <c r="O22" i="113"/>
  <c r="O18" i="114"/>
  <c r="O38" i="114"/>
  <c r="S18" i="114"/>
  <c r="O19" i="114"/>
  <c r="O19" i="113"/>
  <c r="O24" i="113"/>
  <c r="O39" i="113"/>
  <c r="C43" i="113"/>
  <c r="C43" i="110" s="1"/>
  <c r="C45" i="113"/>
  <c r="C45" i="110" s="1"/>
  <c r="D44" i="114"/>
  <c r="P23" i="113" s="1"/>
  <c r="D45" i="114"/>
  <c r="T19" i="113" s="1"/>
  <c r="B45" i="114"/>
  <c r="N19" i="113" s="1"/>
  <c r="B44" i="114"/>
  <c r="N23" i="113" s="1"/>
  <c r="D43" i="114"/>
  <c r="P37" i="113" s="1"/>
  <c r="B43" i="114"/>
  <c r="R17" i="113" s="1"/>
  <c r="C98" i="124"/>
  <c r="C215" i="124" s="1"/>
  <c r="C230" i="124" s="1"/>
  <c r="C225" i="124" s="1"/>
  <c r="C97" i="124"/>
  <c r="C214" i="124" s="1"/>
  <c r="C229" i="124" s="1"/>
  <c r="C224" i="124" s="1"/>
  <c r="A98" i="124"/>
  <c r="A215" i="124" s="1"/>
  <c r="A230" i="124" s="1"/>
  <c r="A225" i="124" s="1"/>
  <c r="C99" i="124"/>
  <c r="C216" i="124" s="1"/>
  <c r="C231" i="124" s="1"/>
  <c r="C226" i="124" s="1"/>
  <c r="A99" i="124"/>
  <c r="A216" i="124" s="1"/>
  <c r="A231" i="124" s="1"/>
  <c r="A226" i="124" s="1"/>
  <c r="G97" i="124"/>
  <c r="G98" i="124"/>
  <c r="G99" i="124"/>
  <c r="S143" i="124"/>
  <c r="R67" i="124"/>
  <c r="R37" i="124"/>
  <c r="R17" i="124"/>
  <c r="R22" i="124"/>
  <c r="S144" i="124"/>
  <c r="R68" i="124"/>
  <c r="R38" i="124"/>
  <c r="R18" i="124"/>
  <c r="R23" i="124"/>
  <c r="A97" i="124"/>
  <c r="R145" i="124"/>
  <c r="Q69" i="124"/>
  <c r="Q39" i="124"/>
  <c r="Q19" i="124"/>
  <c r="Q24" i="124"/>
  <c r="R144" i="124"/>
  <c r="Q68" i="124"/>
  <c r="Q38" i="124"/>
  <c r="Q18" i="124"/>
  <c r="Q23" i="124"/>
  <c r="Q143" i="124"/>
  <c r="O142" i="124"/>
  <c r="P67" i="124"/>
  <c r="P37" i="124"/>
  <c r="P17" i="124"/>
  <c r="P22" i="124"/>
  <c r="Q145" i="124"/>
  <c r="P69" i="124"/>
  <c r="P39" i="124"/>
  <c r="P19" i="124"/>
  <c r="P24" i="124"/>
  <c r="X145" i="124"/>
  <c r="W39" i="124"/>
  <c r="W69" i="124"/>
  <c r="W19" i="124"/>
  <c r="W24" i="124"/>
  <c r="R143" i="124"/>
  <c r="Q67" i="124"/>
  <c r="Q37" i="124"/>
  <c r="Q17" i="124"/>
  <c r="Q22" i="124"/>
  <c r="Q144" i="124"/>
  <c r="P68" i="124"/>
  <c r="P38" i="124"/>
  <c r="P18" i="124"/>
  <c r="P23" i="124"/>
  <c r="E42" i="115"/>
  <c r="R17" i="114"/>
  <c r="N37" i="114"/>
  <c r="N22" i="114"/>
  <c r="N17" i="114"/>
  <c r="T19" i="114"/>
  <c r="P39" i="114"/>
  <c r="P24" i="114"/>
  <c r="P19" i="114"/>
  <c r="R18" i="114"/>
  <c r="N38" i="114"/>
  <c r="N18" i="114"/>
  <c r="T18" i="114"/>
  <c r="P38" i="114"/>
  <c r="P23" i="114"/>
  <c r="P18" i="114"/>
  <c r="T17" i="114"/>
  <c r="P37" i="114"/>
  <c r="P22" i="114"/>
  <c r="P17" i="114"/>
  <c r="R19" i="114"/>
  <c r="N39" i="114"/>
  <c r="N24" i="114"/>
  <c r="N19" i="114"/>
  <c r="I168" i="124"/>
  <c r="I167" i="124"/>
  <c r="N170" i="124"/>
  <c r="M167" i="124"/>
  <c r="N172" i="124"/>
  <c r="R171" i="124" s="1"/>
  <c r="R168" i="124" s="1"/>
  <c r="N171" i="124"/>
  <c r="M169" i="124"/>
  <c r="F430" i="124"/>
  <c r="I176" i="124"/>
  <c r="M175" i="124" s="1"/>
  <c r="J1" i="54"/>
  <c r="J32" i="54" s="1"/>
  <c r="I27" i="54"/>
  <c r="H81" i="9"/>
  <c r="H90" i="9" s="1"/>
  <c r="F81" i="9"/>
  <c r="F90" i="9" s="1"/>
  <c r="D81" i="9"/>
  <c r="D90" i="9" s="1"/>
  <c r="B81" i="9"/>
  <c r="B90" i="9" s="1"/>
  <c r="I81" i="9"/>
  <c r="I90" i="9" s="1"/>
  <c r="G81" i="9"/>
  <c r="G90" i="9" s="1"/>
  <c r="E81" i="9"/>
  <c r="E90" i="9" s="1"/>
  <c r="C81" i="9"/>
  <c r="C90" i="9" s="1"/>
  <c r="A99" i="9"/>
  <c r="T48" i="115" l="1"/>
  <c r="L13" i="115" s="1"/>
  <c r="C44" i="113"/>
  <c r="C44" i="110" s="1"/>
  <c r="O23" i="113"/>
  <c r="O38" i="113"/>
  <c r="S18" i="113"/>
  <c r="Q2" i="124"/>
  <c r="W4" i="124"/>
  <c r="W99" i="124" s="1"/>
  <c r="R3" i="124"/>
  <c r="P4" i="124"/>
  <c r="Q4" i="124"/>
  <c r="Q3" i="124"/>
  <c r="R2" i="124"/>
  <c r="P3" i="124"/>
  <c r="P2" i="124"/>
  <c r="O4" i="113"/>
  <c r="O2" i="113"/>
  <c r="O3" i="114"/>
  <c r="S48" i="114" s="1"/>
  <c r="O2" i="114"/>
  <c r="S47" i="114" s="1"/>
  <c r="P2" i="114"/>
  <c r="T47" i="114" s="1"/>
  <c r="O4" i="114"/>
  <c r="S49" i="114" s="1"/>
  <c r="P3" i="114"/>
  <c r="T48" i="114" s="1"/>
  <c r="N4" i="114"/>
  <c r="R49" i="114" s="1"/>
  <c r="N3" i="114"/>
  <c r="R48" i="114" s="1"/>
  <c r="P4" i="114"/>
  <c r="T49" i="114" s="1"/>
  <c r="N2" i="114"/>
  <c r="R47" i="114" s="1"/>
  <c r="N38" i="113"/>
  <c r="P18" i="113"/>
  <c r="P38" i="113"/>
  <c r="P22" i="113"/>
  <c r="P17" i="113"/>
  <c r="T17" i="113"/>
  <c r="R18" i="113"/>
  <c r="N18" i="113"/>
  <c r="R19" i="113"/>
  <c r="N24" i="113"/>
  <c r="N39" i="113"/>
  <c r="N17" i="113"/>
  <c r="N22" i="113"/>
  <c r="N37" i="113"/>
  <c r="T18" i="113"/>
  <c r="D45" i="113"/>
  <c r="D45" i="110" s="1"/>
  <c r="D44" i="113"/>
  <c r="D44" i="110" s="1"/>
  <c r="E42" i="114"/>
  <c r="B43" i="113"/>
  <c r="B43" i="110" s="1"/>
  <c r="D43" i="113"/>
  <c r="D43" i="110" s="1"/>
  <c r="P19" i="113"/>
  <c r="O19" i="110"/>
  <c r="O24" i="110"/>
  <c r="S19" i="110"/>
  <c r="O39" i="110"/>
  <c r="P24" i="113"/>
  <c r="B44" i="113"/>
  <c r="B44" i="110" s="1"/>
  <c r="P39" i="113"/>
  <c r="B45" i="113"/>
  <c r="B45" i="110" s="1"/>
  <c r="O37" i="110"/>
  <c r="O22" i="110"/>
  <c r="S17" i="110"/>
  <c r="O17" i="110"/>
  <c r="C207" i="124"/>
  <c r="L99" i="124"/>
  <c r="K98" i="124"/>
  <c r="K99" i="124"/>
  <c r="L98" i="124"/>
  <c r="M98" i="124"/>
  <c r="M97" i="124"/>
  <c r="L97" i="124"/>
  <c r="R99" i="124"/>
  <c r="W143" i="124"/>
  <c r="V67" i="124"/>
  <c r="V37" i="124"/>
  <c r="V17" i="124"/>
  <c r="V22" i="124"/>
  <c r="X143" i="124"/>
  <c r="W67" i="124"/>
  <c r="W37" i="124"/>
  <c r="W17" i="124"/>
  <c r="W22" i="124"/>
  <c r="V144" i="124"/>
  <c r="U68" i="124"/>
  <c r="U38" i="124"/>
  <c r="U18" i="124"/>
  <c r="U23" i="124"/>
  <c r="W145" i="124"/>
  <c r="V69" i="124"/>
  <c r="V39" i="124"/>
  <c r="V19" i="124"/>
  <c r="V24" i="124"/>
  <c r="X144" i="124"/>
  <c r="W68" i="124"/>
  <c r="W38" i="124"/>
  <c r="W18" i="124"/>
  <c r="W23" i="124"/>
  <c r="W144" i="124"/>
  <c r="V68" i="124"/>
  <c r="V38" i="124"/>
  <c r="V18" i="124"/>
  <c r="V23" i="124"/>
  <c r="V145" i="124"/>
  <c r="U69" i="124"/>
  <c r="U39" i="124"/>
  <c r="U19" i="124"/>
  <c r="U24" i="124"/>
  <c r="V143" i="124"/>
  <c r="T142" i="124"/>
  <c r="U67" i="124"/>
  <c r="U37" i="124"/>
  <c r="U17" i="124"/>
  <c r="U22" i="124"/>
  <c r="A214" i="124"/>
  <c r="R49" i="115"/>
  <c r="J14" i="115" s="1"/>
  <c r="J29" i="115" s="1"/>
  <c r="J24" i="115" s="1"/>
  <c r="O17" i="124"/>
  <c r="O22" i="124"/>
  <c r="L29" i="115"/>
  <c r="L24" i="115" s="1"/>
  <c r="O37" i="124"/>
  <c r="O67" i="124"/>
  <c r="J92" i="124"/>
  <c r="S171" i="124"/>
  <c r="N168" i="124"/>
  <c r="N167" i="124"/>
  <c r="R169" i="124"/>
  <c r="S172" i="124"/>
  <c r="W171" i="124" s="1"/>
  <c r="X170" i="124" s="1"/>
  <c r="S170" i="124"/>
  <c r="R167" i="124"/>
  <c r="M176" i="124"/>
  <c r="M264" i="124" s="1"/>
  <c r="S175" i="124"/>
  <c r="K1" i="54"/>
  <c r="J27" i="54"/>
  <c r="B89" i="9"/>
  <c r="L87" i="9" s="1"/>
  <c r="L88" i="9" s="1"/>
  <c r="E89" i="9"/>
  <c r="O87" i="9" s="1"/>
  <c r="O88" i="9" s="1"/>
  <c r="I89" i="9"/>
  <c r="S87" i="9" s="1"/>
  <c r="S88" i="9" s="1"/>
  <c r="D89" i="9"/>
  <c r="N87" i="9" s="1"/>
  <c r="N88" i="9" s="1"/>
  <c r="H89" i="9"/>
  <c r="R87" i="9" s="1"/>
  <c r="R88" i="9" s="1"/>
  <c r="C89" i="9"/>
  <c r="M87" i="9" s="1"/>
  <c r="M88" i="9" s="1"/>
  <c r="G89" i="9"/>
  <c r="Q87" i="9" s="1"/>
  <c r="Q88" i="9" s="1"/>
  <c r="F89" i="9"/>
  <c r="P87" i="9" s="1"/>
  <c r="P88" i="9" s="1"/>
  <c r="H106" i="9"/>
  <c r="H115" i="9" s="1"/>
  <c r="F106" i="9"/>
  <c r="F115" i="9" s="1"/>
  <c r="D106" i="9"/>
  <c r="D115" i="9" s="1"/>
  <c r="B106" i="9"/>
  <c r="B115" i="9" s="1"/>
  <c r="I106" i="9"/>
  <c r="I115" i="9" s="1"/>
  <c r="G106" i="9"/>
  <c r="G115" i="9" s="1"/>
  <c r="E106" i="9"/>
  <c r="E115" i="9" s="1"/>
  <c r="C106" i="9"/>
  <c r="C115" i="9" s="1"/>
  <c r="A124" i="9"/>
  <c r="L28" i="115" l="1"/>
  <c r="L23" i="115" s="1"/>
  <c r="L5" i="115"/>
  <c r="L13" i="114"/>
  <c r="L28" i="114" s="1"/>
  <c r="L23" i="114" s="1"/>
  <c r="K13" i="114"/>
  <c r="K28" i="114" s="1"/>
  <c r="K23" i="114" s="1"/>
  <c r="L14" i="114"/>
  <c r="L29" i="114" s="1"/>
  <c r="L24" i="114" s="1"/>
  <c r="K14" i="114"/>
  <c r="K29" i="114" s="1"/>
  <c r="K24" i="114" s="1"/>
  <c r="J13" i="114"/>
  <c r="J28" i="114" s="1"/>
  <c r="J23" i="114" s="1"/>
  <c r="L12" i="114"/>
  <c r="L27" i="114" s="1"/>
  <c r="L22" i="114" s="1"/>
  <c r="J14" i="114"/>
  <c r="J29" i="114" s="1"/>
  <c r="J24" i="114" s="1"/>
  <c r="K12" i="114"/>
  <c r="K27" i="114" s="1"/>
  <c r="K22" i="114" s="1"/>
  <c r="S18" i="110"/>
  <c r="O18" i="110"/>
  <c r="O23" i="110"/>
  <c r="O38" i="110"/>
  <c r="O3" i="113"/>
  <c r="E42" i="110"/>
  <c r="U4" i="124"/>
  <c r="U99" i="124" s="1"/>
  <c r="U3" i="124"/>
  <c r="U98" i="124" s="1"/>
  <c r="V3" i="124"/>
  <c r="V98" i="124" s="1"/>
  <c r="W2" i="124"/>
  <c r="W97" i="124" s="1"/>
  <c r="U2" i="124"/>
  <c r="W3" i="124"/>
  <c r="W98" i="124" s="1"/>
  <c r="V2" i="124"/>
  <c r="V97" i="124" s="1"/>
  <c r="V4" i="124"/>
  <c r="V99" i="124" s="1"/>
  <c r="P4" i="113"/>
  <c r="T49" i="113" s="1"/>
  <c r="L14" i="113" s="1"/>
  <c r="L29" i="113" s="1"/>
  <c r="L24" i="113" s="1"/>
  <c r="O4" i="110"/>
  <c r="N2" i="113"/>
  <c r="N4" i="113"/>
  <c r="R49" i="113" s="1"/>
  <c r="J14" i="113" s="1"/>
  <c r="J29" i="113" s="1"/>
  <c r="J24" i="113" s="1"/>
  <c r="O2" i="110"/>
  <c r="S47" i="110" s="1"/>
  <c r="K12" i="110" s="1"/>
  <c r="P2" i="113"/>
  <c r="P3" i="113"/>
  <c r="T48" i="113" s="1"/>
  <c r="L13" i="113" s="1"/>
  <c r="L28" i="113" s="1"/>
  <c r="L23" i="113" s="1"/>
  <c r="N3" i="113"/>
  <c r="R48" i="113" s="1"/>
  <c r="J13" i="113" s="1"/>
  <c r="J28" i="113" s="1"/>
  <c r="J23" i="113" s="1"/>
  <c r="T37" i="124"/>
  <c r="T67" i="124"/>
  <c r="N22" i="110"/>
  <c r="T22" i="124"/>
  <c r="T17" i="124"/>
  <c r="P24" i="110"/>
  <c r="O92" i="124"/>
  <c r="P39" i="110"/>
  <c r="P19" i="110"/>
  <c r="N37" i="110"/>
  <c r="N23" i="110"/>
  <c r="R18" i="110"/>
  <c r="N38" i="110"/>
  <c r="N18" i="110"/>
  <c r="R17" i="110"/>
  <c r="N17" i="110"/>
  <c r="E42" i="113"/>
  <c r="P17" i="110"/>
  <c r="T17" i="110"/>
  <c r="P37" i="110"/>
  <c r="P22" i="110"/>
  <c r="P18" i="110"/>
  <c r="T18" i="110"/>
  <c r="P38" i="110"/>
  <c r="P23" i="110"/>
  <c r="N19" i="110"/>
  <c r="N24" i="110"/>
  <c r="R19" i="110"/>
  <c r="N39" i="110"/>
  <c r="T19" i="110"/>
  <c r="J12" i="115"/>
  <c r="J5" i="115" s="1"/>
  <c r="Y92" i="124"/>
  <c r="P99" i="124"/>
  <c r="R98" i="124"/>
  <c r="Q99" i="124"/>
  <c r="Q97" i="124"/>
  <c r="R97" i="124"/>
  <c r="S92" i="124"/>
  <c r="X17" i="124"/>
  <c r="A229" i="124"/>
  <c r="A224" i="124" s="1"/>
  <c r="A207" i="124"/>
  <c r="Y142" i="124"/>
  <c r="X92" i="124"/>
  <c r="P97" i="124"/>
  <c r="X22" i="124"/>
  <c r="X37" i="124"/>
  <c r="X67" i="124"/>
  <c r="O2" i="124"/>
  <c r="S168" i="124"/>
  <c r="X171" i="124"/>
  <c r="X172" i="124"/>
  <c r="S167" i="124"/>
  <c r="W169" i="124"/>
  <c r="W168" i="124"/>
  <c r="W167" i="124"/>
  <c r="N176" i="124"/>
  <c r="R175" i="124" s="1"/>
  <c r="K430" i="124"/>
  <c r="K27" i="54"/>
  <c r="K32" i="54"/>
  <c r="C114" i="9"/>
  <c r="M112" i="9" s="1"/>
  <c r="M113" i="9" s="1"/>
  <c r="G114" i="9"/>
  <c r="Q112" i="9" s="1"/>
  <c r="Q113" i="9" s="1"/>
  <c r="B114" i="9"/>
  <c r="L112" i="9" s="1"/>
  <c r="L113" i="9" s="1"/>
  <c r="F114" i="9"/>
  <c r="P112" i="9" s="1"/>
  <c r="P113" i="9" s="1"/>
  <c r="E114" i="9"/>
  <c r="O112" i="9" s="1"/>
  <c r="O113" i="9" s="1"/>
  <c r="I114" i="9"/>
  <c r="S112" i="9" s="1"/>
  <c r="S113" i="9" s="1"/>
  <c r="D114" i="9"/>
  <c r="N112" i="9" s="1"/>
  <c r="N113" i="9" s="1"/>
  <c r="H114" i="9"/>
  <c r="R112" i="9" s="1"/>
  <c r="R113" i="9" s="1"/>
  <c r="H131" i="9"/>
  <c r="H140" i="9" s="1"/>
  <c r="F131" i="9"/>
  <c r="F140" i="9" s="1"/>
  <c r="D131" i="9"/>
  <c r="D140" i="9" s="1"/>
  <c r="B131" i="9"/>
  <c r="B140" i="9" s="1"/>
  <c r="I131" i="9"/>
  <c r="I140" i="9" s="1"/>
  <c r="G131" i="9"/>
  <c r="G140" i="9" s="1"/>
  <c r="E131" i="9"/>
  <c r="E140" i="9" s="1"/>
  <c r="C131" i="9"/>
  <c r="C140" i="9" s="1"/>
  <c r="M3" i="114" l="1"/>
  <c r="M23" i="114"/>
  <c r="L5" i="114"/>
  <c r="K5" i="114"/>
  <c r="M4" i="114"/>
  <c r="M24" i="114"/>
  <c r="O3" i="110"/>
  <c r="S48" i="110" s="1"/>
  <c r="K13" i="110" s="1"/>
  <c r="S49" i="110"/>
  <c r="K14" i="110" s="1"/>
  <c r="K29" i="110" s="1"/>
  <c r="K24" i="110" s="1"/>
  <c r="P3" i="110"/>
  <c r="T48" i="110" s="1"/>
  <c r="L13" i="110" s="1"/>
  <c r="L28" i="110" s="1"/>
  <c r="L23" i="110" s="1"/>
  <c r="N4" i="110"/>
  <c r="R49" i="110" s="1"/>
  <c r="P2" i="110"/>
  <c r="T47" i="110" s="1"/>
  <c r="L12" i="110" s="1"/>
  <c r="N2" i="110"/>
  <c r="R47" i="110" s="1"/>
  <c r="N3" i="110"/>
  <c r="R48" i="110" s="1"/>
  <c r="J13" i="110" s="1"/>
  <c r="P4" i="110"/>
  <c r="T49" i="110" s="1"/>
  <c r="L14" i="110" s="1"/>
  <c r="L29" i="110" s="1"/>
  <c r="L24" i="110" s="1"/>
  <c r="Y22" i="124"/>
  <c r="Y17" i="124"/>
  <c r="Y67" i="124"/>
  <c r="Y37" i="124"/>
  <c r="T2" i="124"/>
  <c r="T92" i="124"/>
  <c r="K27" i="110"/>
  <c r="K22" i="110" s="1"/>
  <c r="J27" i="115"/>
  <c r="J22" i="115" s="1"/>
  <c r="J12" i="114"/>
  <c r="X2" i="124"/>
  <c r="Q98" i="124"/>
  <c r="P98" i="124"/>
  <c r="D4" i="114"/>
  <c r="B4" i="114"/>
  <c r="C4" i="114"/>
  <c r="D3" i="114"/>
  <c r="C3" i="114"/>
  <c r="B3" i="114"/>
  <c r="O97" i="124"/>
  <c r="X167" i="124"/>
  <c r="X168" i="124"/>
  <c r="X175" i="124"/>
  <c r="R176" i="124"/>
  <c r="S176" i="124" s="1"/>
  <c r="C139" i="9"/>
  <c r="M137" i="9" s="1"/>
  <c r="M138" i="9" s="1"/>
  <c r="G139" i="9"/>
  <c r="Q137" i="9" s="1"/>
  <c r="Q138" i="9" s="1"/>
  <c r="B139" i="9"/>
  <c r="L137" i="9" s="1"/>
  <c r="L138" i="9" s="1"/>
  <c r="F139" i="9"/>
  <c r="P137" i="9" s="1"/>
  <c r="P138" i="9" s="1"/>
  <c r="E139" i="9"/>
  <c r="O137" i="9" s="1"/>
  <c r="O138" i="9" s="1"/>
  <c r="I139" i="9"/>
  <c r="S137" i="9" s="1"/>
  <c r="S138" i="9" s="1"/>
  <c r="D139" i="9"/>
  <c r="N137" i="9" s="1"/>
  <c r="N138" i="9" s="1"/>
  <c r="H139" i="9"/>
  <c r="R137" i="9" s="1"/>
  <c r="R138" i="9" s="1"/>
  <c r="B39" i="9"/>
  <c r="C39" i="9"/>
  <c r="AQ28" i="9"/>
  <c r="AQ29" i="9"/>
  <c r="AQ30" i="9"/>
  <c r="AQ31" i="9"/>
  <c r="AQ34" i="9"/>
  <c r="AQ33" i="9"/>
  <c r="AQ32" i="9"/>
  <c r="AQ27" i="9"/>
  <c r="AQ26" i="9"/>
  <c r="AL36" i="9"/>
  <c r="AI36" i="9"/>
  <c r="AP36" i="9"/>
  <c r="AK36" i="9"/>
  <c r="AO36" i="9"/>
  <c r="AN36" i="9"/>
  <c r="AJ36" i="9"/>
  <c r="AM36" i="9"/>
  <c r="J27" i="114" l="1"/>
  <c r="J22" i="114" s="1"/>
  <c r="M22" i="114" s="1"/>
  <c r="H55" i="114"/>
  <c r="N285" i="124" s="1"/>
  <c r="K28" i="110"/>
  <c r="K23" i="110" s="1"/>
  <c r="K5" i="110"/>
  <c r="J14" i="110"/>
  <c r="M4" i="110" s="1"/>
  <c r="Y2" i="124"/>
  <c r="J28" i="110"/>
  <c r="J23" i="110" s="1"/>
  <c r="M3" i="110"/>
  <c r="L27" i="110"/>
  <c r="L22" i="110" s="1"/>
  <c r="L5" i="110"/>
  <c r="M2" i="114"/>
  <c r="J5" i="114"/>
  <c r="L38" i="114"/>
  <c r="L18" i="114" s="1"/>
  <c r="L39" i="114"/>
  <c r="L19" i="114" s="1"/>
  <c r="AQ24" i="114" s="1"/>
  <c r="E3" i="114"/>
  <c r="AN39" i="114" s="1"/>
  <c r="AN11" i="114" s="1"/>
  <c r="U97" i="124"/>
  <c r="E4" i="114"/>
  <c r="AN40" i="114" s="1"/>
  <c r="AN12" i="114" s="1"/>
  <c r="J19" i="118"/>
  <c r="J18" i="118"/>
  <c r="F18" i="118"/>
  <c r="J38" i="114"/>
  <c r="J18" i="114" s="1"/>
  <c r="C2" i="114"/>
  <c r="D2" i="114"/>
  <c r="H18" i="118"/>
  <c r="K38" i="114"/>
  <c r="K18" i="114" s="1"/>
  <c r="H19" i="118"/>
  <c r="K39" i="114"/>
  <c r="K19" i="114" s="1"/>
  <c r="F19" i="118"/>
  <c r="J39" i="114"/>
  <c r="J19" i="114" s="1"/>
  <c r="W175" i="124"/>
  <c r="W176" i="124" s="1"/>
  <c r="R264" i="124"/>
  <c r="E39" i="9"/>
  <c r="O37" i="9" s="1"/>
  <c r="G39" i="9"/>
  <c r="Q37" i="9" s="1"/>
  <c r="L37" i="9"/>
  <c r="S36" i="9"/>
  <c r="O36" i="9"/>
  <c r="W36" i="9"/>
  <c r="B44" i="9" s="1"/>
  <c r="AA36" i="9"/>
  <c r="F44" i="9" s="1"/>
  <c r="Q36" i="9"/>
  <c r="I39" i="9"/>
  <c r="S37" i="9" s="1"/>
  <c r="Z36" i="9"/>
  <c r="E44" i="9" s="1"/>
  <c r="X36" i="9"/>
  <c r="C44" i="9" s="1"/>
  <c r="L36" i="9"/>
  <c r="P36" i="9"/>
  <c r="F39" i="9"/>
  <c r="P37" i="9" s="1"/>
  <c r="Y36" i="9"/>
  <c r="D44" i="9" s="1"/>
  <c r="AB36" i="9"/>
  <c r="G44" i="9" s="1"/>
  <c r="D39" i="9"/>
  <c r="N37" i="9" s="1"/>
  <c r="N36" i="9"/>
  <c r="AD36" i="9"/>
  <c r="I44" i="9" s="1"/>
  <c r="AC36" i="9"/>
  <c r="H44" i="9" s="1"/>
  <c r="M36" i="9"/>
  <c r="M37" i="9"/>
  <c r="H39" i="9"/>
  <c r="R37" i="9" s="1"/>
  <c r="R36" i="9"/>
  <c r="B2" i="114" l="1"/>
  <c r="B5" i="114" s="1"/>
  <c r="AO82" i="114" s="1"/>
  <c r="M23" i="110"/>
  <c r="J29" i="110"/>
  <c r="J24" i="110" s="1"/>
  <c r="M24" i="110" s="1"/>
  <c r="AQ20" i="114"/>
  <c r="AM4" i="114"/>
  <c r="AQ68" i="114"/>
  <c r="X97" i="124"/>
  <c r="C57" i="114"/>
  <c r="M38" i="114"/>
  <c r="M39" i="114"/>
  <c r="J17" i="118"/>
  <c r="D5" i="114"/>
  <c r="AQ94" i="114" s="1"/>
  <c r="L37" i="114"/>
  <c r="H17" i="118"/>
  <c r="C5" i="114"/>
  <c r="K37" i="114"/>
  <c r="AO67" i="114"/>
  <c r="AO27" i="114"/>
  <c r="AK3" i="114"/>
  <c r="AO68" i="114"/>
  <c r="AK4" i="114"/>
  <c r="AO24" i="114"/>
  <c r="AO20" i="114"/>
  <c r="AP67" i="114"/>
  <c r="AP27" i="114"/>
  <c r="AL3" i="114"/>
  <c r="C56" i="114"/>
  <c r="AP24" i="114"/>
  <c r="AP68" i="114"/>
  <c r="AL4" i="114"/>
  <c r="AP20" i="114"/>
  <c r="AQ67" i="114"/>
  <c r="AQ27" i="114"/>
  <c r="AM3" i="114"/>
  <c r="C58" i="114"/>
  <c r="P430" i="124"/>
  <c r="X176" i="124"/>
  <c r="W264" i="124"/>
  <c r="Z264" i="124" s="1"/>
  <c r="G9" i="54"/>
  <c r="T47" i="113"/>
  <c r="L12" i="113" s="1"/>
  <c r="L27" i="113" s="1"/>
  <c r="S38" i="9"/>
  <c r="O38" i="9"/>
  <c r="AE36" i="9"/>
  <c r="AQ36" i="9" s="1"/>
  <c r="N38" i="9"/>
  <c r="Q38" i="9"/>
  <c r="M38" i="9"/>
  <c r="L38" i="9"/>
  <c r="R38" i="9"/>
  <c r="P38" i="9"/>
  <c r="E2" i="114" l="1"/>
  <c r="H65" i="114" s="1"/>
  <c r="F17" i="118"/>
  <c r="J37" i="114"/>
  <c r="J40" i="114" s="1"/>
  <c r="D4" i="110"/>
  <c r="C4" i="110"/>
  <c r="B4" i="110"/>
  <c r="C3" i="110"/>
  <c r="D3" i="110"/>
  <c r="B3" i="110"/>
  <c r="N257" i="124"/>
  <c r="N258" i="124"/>
  <c r="N259" i="124"/>
  <c r="H2" i="114"/>
  <c r="H62" i="114" s="1"/>
  <c r="C9" i="114"/>
  <c r="B88" i="8" s="1"/>
  <c r="AP83" i="114"/>
  <c r="AP95" i="114"/>
  <c r="AP84" i="114"/>
  <c r="AP96" i="114"/>
  <c r="B9" i="114"/>
  <c r="A88" i="8" s="1"/>
  <c r="D9" i="114"/>
  <c r="C88" i="8" s="1"/>
  <c r="AO94" i="114"/>
  <c r="AO84" i="114"/>
  <c r="AO83" i="114"/>
  <c r="AO96" i="114"/>
  <c r="AO95" i="114"/>
  <c r="AQ82" i="114"/>
  <c r="H64" i="114"/>
  <c r="H32" i="114"/>
  <c r="K17" i="114"/>
  <c r="K40" i="114"/>
  <c r="L17" i="114"/>
  <c r="L40" i="114"/>
  <c r="H30" i="114"/>
  <c r="I30" i="114" s="1"/>
  <c r="AP82" i="114"/>
  <c r="AQ96" i="114"/>
  <c r="AQ84" i="114"/>
  <c r="AQ83" i="114"/>
  <c r="AQ95" i="114"/>
  <c r="H15" i="114"/>
  <c r="AP94" i="114"/>
  <c r="U430" i="124"/>
  <c r="L22" i="113"/>
  <c r="L5" i="113"/>
  <c r="AN38" i="114" l="1"/>
  <c r="AN10" i="114" s="1"/>
  <c r="J17" i="114"/>
  <c r="H56" i="114" s="1"/>
  <c r="I55" i="114" s="1"/>
  <c r="M37" i="114"/>
  <c r="H18" i="111"/>
  <c r="K38" i="110"/>
  <c r="K18" i="110" s="1"/>
  <c r="K39" i="110"/>
  <c r="K19" i="110" s="1"/>
  <c r="H19" i="111"/>
  <c r="F19" i="111"/>
  <c r="E4" i="110"/>
  <c r="AN40" i="110" s="1"/>
  <c r="AN12" i="110" s="1"/>
  <c r="J39" i="110"/>
  <c r="J38" i="110"/>
  <c r="E3" i="110"/>
  <c r="AN39" i="110" s="1"/>
  <c r="AN11" i="110" s="1"/>
  <c r="F18" i="111"/>
  <c r="J18" i="111"/>
  <c r="L38" i="110"/>
  <c r="L18" i="110" s="1"/>
  <c r="L39" i="110"/>
  <c r="L19" i="110" s="1"/>
  <c r="J19" i="111"/>
  <c r="N295" i="124"/>
  <c r="I2" i="114"/>
  <c r="AO92" i="114"/>
  <c r="AP91" i="114"/>
  <c r="AP92" i="114"/>
  <c r="AQ91" i="114"/>
  <c r="AQ92" i="114"/>
  <c r="AQ90" i="114"/>
  <c r="AP90" i="114"/>
  <c r="AJ89" i="114"/>
  <c r="AO91" i="114"/>
  <c r="I12" i="114"/>
  <c r="H61" i="114"/>
  <c r="H31" i="114"/>
  <c r="E13" i="114" s="1"/>
  <c r="I26" i="114"/>
  <c r="I15" i="114"/>
  <c r="AJ97" i="114"/>
  <c r="N294" i="124"/>
  <c r="A13" i="114"/>
  <c r="C70" i="114" s="1"/>
  <c r="AQ26" i="114"/>
  <c r="AM2" i="114"/>
  <c r="AQ66" i="114"/>
  <c r="AL2" i="114"/>
  <c r="AP26" i="114"/>
  <c r="AP66" i="114"/>
  <c r="AO90" i="114"/>
  <c r="N292" i="124"/>
  <c r="I27" i="114"/>
  <c r="R47" i="113"/>
  <c r="AK2" i="114" l="1"/>
  <c r="A34" i="114" s="1"/>
  <c r="R56" i="114"/>
  <c r="M65" i="114" s="1"/>
  <c r="AO26" i="114"/>
  <c r="AO66" i="114"/>
  <c r="C67" i="114"/>
  <c r="N268" i="124" s="1"/>
  <c r="AQ27" i="110"/>
  <c r="AQ67" i="110"/>
  <c r="AM3" i="110"/>
  <c r="J18" i="110"/>
  <c r="M38" i="110"/>
  <c r="AP27" i="110"/>
  <c r="AP67" i="110"/>
  <c r="AL3" i="110"/>
  <c r="J19" i="110"/>
  <c r="M39" i="110"/>
  <c r="AL4" i="110"/>
  <c r="AP68" i="110"/>
  <c r="AP24" i="110"/>
  <c r="AP20" i="110"/>
  <c r="AM4" i="110"/>
  <c r="AQ20" i="110"/>
  <c r="AQ24" i="110"/>
  <c r="AQ68" i="110"/>
  <c r="N291" i="124"/>
  <c r="H63" i="114"/>
  <c r="AJ77" i="114"/>
  <c r="N271" i="124"/>
  <c r="C59" i="114"/>
  <c r="N286" i="124"/>
  <c r="D32" i="114"/>
  <c r="H60" i="114"/>
  <c r="E9" i="114"/>
  <c r="M64" i="114"/>
  <c r="E7" i="114"/>
  <c r="J12" i="113"/>
  <c r="C33" i="114" l="1"/>
  <c r="A33" i="114"/>
  <c r="A35" i="114"/>
  <c r="AJ1" i="114"/>
  <c r="N351" i="124"/>
  <c r="AK3" i="110"/>
  <c r="AO67" i="110"/>
  <c r="AO27" i="110"/>
  <c r="AO20" i="110"/>
  <c r="C57" i="110"/>
  <c r="X258" i="124" s="1"/>
  <c r="AO24" i="110"/>
  <c r="AO68" i="110"/>
  <c r="AK4" i="110"/>
  <c r="C56" i="110"/>
  <c r="X257" i="124" s="1"/>
  <c r="N325" i="124"/>
  <c r="N326" i="124"/>
  <c r="N290" i="124"/>
  <c r="AO87" i="114"/>
  <c r="AO11" i="114" s="1"/>
  <c r="M62" i="114"/>
  <c r="C65" i="114"/>
  <c r="AQ88" i="114"/>
  <c r="AQ12" i="114" s="1"/>
  <c r="AP86" i="114"/>
  <c r="AP10" i="114" s="1"/>
  <c r="AP87" i="114"/>
  <c r="AP11" i="114" s="1"/>
  <c r="AO86" i="114"/>
  <c r="AO10" i="114" s="1"/>
  <c r="AQ87" i="114"/>
  <c r="AQ11" i="114" s="1"/>
  <c r="D34" i="114"/>
  <c r="AO88" i="114"/>
  <c r="AO12" i="114" s="1"/>
  <c r="AQ86" i="114"/>
  <c r="AQ10" i="114" s="1"/>
  <c r="AP88" i="114"/>
  <c r="AP12" i="114" s="1"/>
  <c r="N293" i="124"/>
  <c r="B34" i="114"/>
  <c r="B33" i="114"/>
  <c r="B35" i="114"/>
  <c r="C34" i="114"/>
  <c r="C35" i="114"/>
  <c r="N260" i="124"/>
  <c r="AJ29" i="114"/>
  <c r="D35" i="114"/>
  <c r="D33" i="114"/>
  <c r="Y97" i="124"/>
  <c r="J12" i="110"/>
  <c r="J27" i="110" s="1"/>
  <c r="J22" i="110" s="1"/>
  <c r="M22" i="110" s="1"/>
  <c r="J27" i="113"/>
  <c r="J22" i="113" s="1"/>
  <c r="J5" i="113"/>
  <c r="N266" i="124" l="1"/>
  <c r="N323" i="124"/>
  <c r="M74" i="114"/>
  <c r="C71" i="114"/>
  <c r="I47" i="114" s="1"/>
  <c r="AJ57" i="114"/>
  <c r="AP8" i="114"/>
  <c r="C50" i="114" s="1"/>
  <c r="AN5" i="114"/>
  <c r="AQ8" i="114"/>
  <c r="D50" i="114" s="1"/>
  <c r="AQ7" i="114"/>
  <c r="D49" i="114" s="1"/>
  <c r="AP7" i="114"/>
  <c r="C49" i="114" s="1"/>
  <c r="AQ6" i="114"/>
  <c r="D48" i="114" s="1"/>
  <c r="AO6" i="114"/>
  <c r="B48" i="114" s="1"/>
  <c r="AP6" i="114"/>
  <c r="C48" i="114" s="1"/>
  <c r="AO8" i="114"/>
  <c r="B50" i="114" s="1"/>
  <c r="AO7" i="114"/>
  <c r="B49" i="114" s="1"/>
  <c r="C2" i="110"/>
  <c r="D2" i="110"/>
  <c r="B2" i="110"/>
  <c r="C58" i="110"/>
  <c r="H55" i="110"/>
  <c r="J5" i="110"/>
  <c r="M2" i="110"/>
  <c r="AK33" i="110"/>
  <c r="AK9" i="110" s="1"/>
  <c r="N335" i="124" l="1"/>
  <c r="H69" i="114"/>
  <c r="N272" i="124"/>
  <c r="R58" i="114"/>
  <c r="D11" i="114"/>
  <c r="AO4" i="114"/>
  <c r="AO2" i="114"/>
  <c r="C11" i="114"/>
  <c r="AO3" i="114"/>
  <c r="AQ2" i="114"/>
  <c r="B11" i="114"/>
  <c r="AP4" i="114"/>
  <c r="AQ3" i="114"/>
  <c r="AP3" i="114"/>
  <c r="AP2" i="114"/>
  <c r="AQ4" i="114"/>
  <c r="B5" i="110"/>
  <c r="D5" i="110"/>
  <c r="D9" i="110" s="1"/>
  <c r="C5" i="110"/>
  <c r="X259" i="124"/>
  <c r="X285" i="124"/>
  <c r="K37" i="110"/>
  <c r="K17" i="110" s="1"/>
  <c r="H17" i="111"/>
  <c r="E2" i="110"/>
  <c r="H65" i="110" s="1"/>
  <c r="J17" i="111"/>
  <c r="L37" i="110"/>
  <c r="L17" i="110" s="1"/>
  <c r="F17" i="111"/>
  <c r="J37" i="110"/>
  <c r="N353" i="124" l="1"/>
  <c r="N299" i="124"/>
  <c r="B9" i="110"/>
  <c r="A90" i="8" s="1"/>
  <c r="H2" i="110"/>
  <c r="R60" i="114"/>
  <c r="R84" i="114"/>
  <c r="AN1" i="114"/>
  <c r="E49" i="114" s="1"/>
  <c r="C9" i="110"/>
  <c r="B90" i="8" s="1"/>
  <c r="X295" i="124"/>
  <c r="K40" i="110"/>
  <c r="C90" i="8"/>
  <c r="AO94" i="110"/>
  <c r="AP94" i="110"/>
  <c r="AQ82" i="110"/>
  <c r="AP82" i="110"/>
  <c r="AQ94" i="110"/>
  <c r="AP95" i="110"/>
  <c r="AP84" i="110"/>
  <c r="AP83" i="110"/>
  <c r="AP96" i="110"/>
  <c r="AO82" i="110"/>
  <c r="H30" i="110"/>
  <c r="I30" i="110" s="1"/>
  <c r="H32" i="110"/>
  <c r="AQ95" i="110"/>
  <c r="AQ84" i="110"/>
  <c r="AQ83" i="110"/>
  <c r="AQ96" i="110"/>
  <c r="H64" i="110"/>
  <c r="AN38" i="110"/>
  <c r="AN10" i="110" s="1"/>
  <c r="H15" i="110"/>
  <c r="AO96" i="110"/>
  <c r="AO95" i="110"/>
  <c r="AO84" i="110"/>
  <c r="AO83" i="110"/>
  <c r="J17" i="110"/>
  <c r="H56" i="110" s="1"/>
  <c r="L40" i="110"/>
  <c r="J40" i="110"/>
  <c r="M37" i="110"/>
  <c r="AP26" i="110"/>
  <c r="AL2" i="110"/>
  <c r="AP66" i="110"/>
  <c r="AQ66" i="110"/>
  <c r="AQ26" i="110"/>
  <c r="AM2" i="110"/>
  <c r="N379" i="124" l="1"/>
  <c r="N355" i="124"/>
  <c r="X294" i="124"/>
  <c r="X286" i="124"/>
  <c r="H62" i="110"/>
  <c r="H61" i="110"/>
  <c r="AO66" i="110"/>
  <c r="H31" i="110"/>
  <c r="E13" i="110" s="1"/>
  <c r="I26" i="110"/>
  <c r="I15" i="110"/>
  <c r="A13" i="110"/>
  <c r="C70" i="110" s="1"/>
  <c r="I2" i="110"/>
  <c r="AJ97" i="110"/>
  <c r="I12" i="110"/>
  <c r="AK2" i="110"/>
  <c r="A33" i="110" s="1"/>
  <c r="AO26" i="110"/>
  <c r="R56" i="110"/>
  <c r="C67" i="110"/>
  <c r="X292" i="124" l="1"/>
  <c r="X271" i="124"/>
  <c r="X268" i="124"/>
  <c r="X351" i="124"/>
  <c r="X291" i="124"/>
  <c r="AQ92" i="110"/>
  <c r="AP90" i="110"/>
  <c r="AP91" i="110"/>
  <c r="AO90" i="110"/>
  <c r="AP92" i="110"/>
  <c r="AO91" i="110"/>
  <c r="AO92" i="110"/>
  <c r="AQ90" i="110"/>
  <c r="AQ91" i="110"/>
  <c r="I27" i="110"/>
  <c r="H63" i="110" s="1"/>
  <c r="AJ89" i="110"/>
  <c r="E7" i="110"/>
  <c r="E9" i="110"/>
  <c r="H60" i="110"/>
  <c r="M64" i="110"/>
  <c r="AJ61" i="110"/>
  <c r="AJ77" i="110"/>
  <c r="A34" i="110"/>
  <c r="AJ1" i="110"/>
  <c r="A35" i="110"/>
  <c r="X290" i="124" l="1"/>
  <c r="X325" i="124"/>
  <c r="X293" i="124"/>
  <c r="M62" i="110"/>
  <c r="C65" i="110"/>
  <c r="AQ87" i="110"/>
  <c r="AQ11" i="110" s="1"/>
  <c r="AP86" i="110"/>
  <c r="AP10" i="110" s="1"/>
  <c r="AO88" i="110"/>
  <c r="AO12" i="110" s="1"/>
  <c r="AQ86" i="110"/>
  <c r="AQ10" i="110" s="1"/>
  <c r="AP88" i="110"/>
  <c r="AP12" i="110" s="1"/>
  <c r="AO87" i="110"/>
  <c r="AO11" i="110" s="1"/>
  <c r="AQ88" i="110"/>
  <c r="AQ12" i="110" s="1"/>
  <c r="AP87" i="110"/>
  <c r="AP11" i="110" s="1"/>
  <c r="AO86" i="110"/>
  <c r="AO10" i="110" s="1"/>
  <c r="X266" i="124" l="1"/>
  <c r="X323" i="124"/>
  <c r="M74" i="110"/>
  <c r="AJ57" i="110"/>
  <c r="X335" i="124" l="1"/>
  <c r="AQ7" i="110"/>
  <c r="D49" i="110" s="1"/>
  <c r="AP8" i="110"/>
  <c r="AO8" i="110"/>
  <c r="AP6" i="110"/>
  <c r="AQ6" i="110"/>
  <c r="AO6" i="110"/>
  <c r="AN5" i="110"/>
  <c r="AP7" i="110"/>
  <c r="C49" i="110" s="1"/>
  <c r="AO7" i="110"/>
  <c r="B49" i="110" s="1"/>
  <c r="AQ8" i="110"/>
  <c r="D11" i="110" l="1"/>
  <c r="B11" i="110"/>
  <c r="C11" i="110"/>
  <c r="D48" i="110"/>
  <c r="AQ2" i="110" s="1"/>
  <c r="B50" i="110"/>
  <c r="AO4" i="110" s="1"/>
  <c r="D50" i="110"/>
  <c r="AQ4" i="110" s="1"/>
  <c r="B48" i="110"/>
  <c r="AO2" i="110" s="1"/>
  <c r="C48" i="110"/>
  <c r="AP2" i="110" s="1"/>
  <c r="C50" i="110"/>
  <c r="AP4" i="110" s="1"/>
  <c r="AO3" i="110"/>
  <c r="AP3" i="110"/>
  <c r="AQ3" i="110"/>
  <c r="AN1" i="110" l="1"/>
  <c r="E19" i="110" l="1"/>
  <c r="E49" i="110"/>
  <c r="C59" i="110" l="1"/>
  <c r="I55" i="110"/>
  <c r="M65" i="110"/>
  <c r="D32" i="110"/>
  <c r="X326" i="124" l="1"/>
  <c r="X260" i="124"/>
  <c r="AJ29" i="110"/>
  <c r="C71" i="110"/>
  <c r="I47" i="110" s="1"/>
  <c r="C35" i="110"/>
  <c r="B34" i="110"/>
  <c r="D35" i="110"/>
  <c r="D33" i="110"/>
  <c r="B35" i="110"/>
  <c r="B33" i="110"/>
  <c r="D34" i="110"/>
  <c r="C34" i="110"/>
  <c r="C33" i="110"/>
  <c r="X272" i="124" l="1"/>
  <c r="R58" i="110"/>
  <c r="H69" i="110"/>
  <c r="S48" i="113"/>
  <c r="S49" i="113"/>
  <c r="K14" i="113" s="1"/>
  <c r="K29" i="113" s="1"/>
  <c r="X353" i="124" l="1"/>
  <c r="X299" i="124"/>
  <c r="R84" i="110"/>
  <c r="R60" i="110"/>
  <c r="S47" i="113"/>
  <c r="K24" i="113"/>
  <c r="M24" i="113" s="1"/>
  <c r="M4" i="113"/>
  <c r="K13" i="113"/>
  <c r="K28" i="113" s="1"/>
  <c r="M66" i="110" l="1"/>
  <c r="X355" i="124"/>
  <c r="X379" i="124"/>
  <c r="T97" i="124"/>
  <c r="D4" i="113"/>
  <c r="B4" i="113"/>
  <c r="C4" i="113"/>
  <c r="K12" i="113"/>
  <c r="K27" i="113" s="1"/>
  <c r="K22" i="113" s="1"/>
  <c r="M22" i="113" s="1"/>
  <c r="K23" i="113"/>
  <c r="M23" i="113" s="1"/>
  <c r="M3" i="113"/>
  <c r="J39" i="113" l="1"/>
  <c r="J19" i="113" s="1"/>
  <c r="AK4" i="113" s="1"/>
  <c r="H19" i="117"/>
  <c r="L39" i="113"/>
  <c r="L19" i="113" s="1"/>
  <c r="AQ68" i="113" s="1"/>
  <c r="C3" i="113"/>
  <c r="D3" i="113"/>
  <c r="B3" i="113"/>
  <c r="D2" i="113"/>
  <c r="B2" i="113"/>
  <c r="C2" i="113"/>
  <c r="K5" i="113"/>
  <c r="M2" i="113"/>
  <c r="H55" i="113"/>
  <c r="J19" i="117"/>
  <c r="F19" i="117"/>
  <c r="E4" i="113"/>
  <c r="AN40" i="113" s="1"/>
  <c r="AN12" i="113" s="1"/>
  <c r="K39" i="113"/>
  <c r="K19" i="113" s="1"/>
  <c r="AP24" i="113" s="1"/>
  <c r="S285" i="124" l="1"/>
  <c r="B5" i="113"/>
  <c r="D5" i="113"/>
  <c r="AQ84" i="113" s="1"/>
  <c r="C5" i="113"/>
  <c r="AP83" i="113" s="1"/>
  <c r="AQ24" i="113"/>
  <c r="AO24" i="113"/>
  <c r="AO20" i="113"/>
  <c r="AQ20" i="113"/>
  <c r="AO68" i="113"/>
  <c r="AM4" i="113"/>
  <c r="H17" i="117"/>
  <c r="L37" i="113"/>
  <c r="L17" i="113" s="1"/>
  <c r="J17" i="117"/>
  <c r="J37" i="113"/>
  <c r="K37" i="113"/>
  <c r="K17" i="113" s="1"/>
  <c r="E2" i="113"/>
  <c r="F17" i="117"/>
  <c r="C56" i="113"/>
  <c r="AP20" i="113"/>
  <c r="AP68" i="113"/>
  <c r="AL4" i="113"/>
  <c r="C57" i="113"/>
  <c r="M39" i="113"/>
  <c r="E3" i="113"/>
  <c r="AN39" i="113" s="1"/>
  <c r="AN11" i="113" s="1"/>
  <c r="J18" i="117"/>
  <c r="L38" i="113"/>
  <c r="L18" i="113" s="1"/>
  <c r="H18" i="117"/>
  <c r="K38" i="113"/>
  <c r="K18" i="113" s="1"/>
  <c r="F18" i="117"/>
  <c r="J38" i="113"/>
  <c r="H2" i="113" l="1"/>
  <c r="S258" i="124"/>
  <c r="S257" i="124"/>
  <c r="AO95" i="113"/>
  <c r="J17" i="113"/>
  <c r="D9" i="113"/>
  <c r="C89" i="8" s="1"/>
  <c r="AQ96" i="113"/>
  <c r="AQ95" i="113"/>
  <c r="AQ82" i="113"/>
  <c r="AQ83" i="113"/>
  <c r="AQ94" i="113"/>
  <c r="J40" i="113"/>
  <c r="M37" i="113"/>
  <c r="AN38" i="113"/>
  <c r="AN10" i="113" s="1"/>
  <c r="H65" i="113"/>
  <c r="C9" i="113"/>
  <c r="H30" i="113"/>
  <c r="I30" i="113" s="1"/>
  <c r="H64" i="113"/>
  <c r="B9" i="113"/>
  <c r="AO82" i="113"/>
  <c r="AO94" i="113"/>
  <c r="AO84" i="113"/>
  <c r="AO96" i="113"/>
  <c r="AP84" i="113"/>
  <c r="AP82" i="113"/>
  <c r="AP94" i="113"/>
  <c r="AP96" i="113"/>
  <c r="AP95" i="113"/>
  <c r="H15" i="113"/>
  <c r="H32" i="113"/>
  <c r="AO83" i="113"/>
  <c r="L40" i="113"/>
  <c r="K40" i="113"/>
  <c r="J18" i="113"/>
  <c r="C58" i="113" s="1"/>
  <c r="M38" i="113"/>
  <c r="AP27" i="113"/>
  <c r="AP67" i="113"/>
  <c r="AL3" i="113"/>
  <c r="AQ67" i="113"/>
  <c r="AM3" i="113"/>
  <c r="AQ27" i="113"/>
  <c r="AP66" i="113"/>
  <c r="AL2" i="113"/>
  <c r="AP26" i="113"/>
  <c r="AM2" i="113"/>
  <c r="AQ66" i="113"/>
  <c r="AQ26" i="113"/>
  <c r="S295" i="124" l="1"/>
  <c r="S259" i="124"/>
  <c r="S294" i="124"/>
  <c r="H62" i="113"/>
  <c r="H61" i="113"/>
  <c r="H56" i="113"/>
  <c r="AO66" i="113"/>
  <c r="AO26" i="113"/>
  <c r="AK2" i="113"/>
  <c r="R56" i="113"/>
  <c r="B89" i="8"/>
  <c r="A89" i="8"/>
  <c r="I12" i="113"/>
  <c r="AJ97" i="113"/>
  <c r="H31" i="113"/>
  <c r="E13" i="113" s="1"/>
  <c r="A13" i="113"/>
  <c r="C70" i="113" s="1"/>
  <c r="I2" i="113"/>
  <c r="I26" i="113"/>
  <c r="I15" i="113"/>
  <c r="C67" i="113"/>
  <c r="AO27" i="113"/>
  <c r="AO67" i="113"/>
  <c r="AK3" i="113"/>
  <c r="S286" i="124" l="1"/>
  <c r="S291" i="124"/>
  <c r="S351" i="124"/>
  <c r="S268" i="124"/>
  <c r="S271" i="124"/>
  <c r="I27" i="113"/>
  <c r="H63" i="113" s="1"/>
  <c r="S292" i="124"/>
  <c r="AQ91" i="113"/>
  <c r="AQ92" i="113"/>
  <c r="AQ90" i="113"/>
  <c r="AP90" i="113"/>
  <c r="AO92" i="113"/>
  <c r="AO91" i="113"/>
  <c r="AP91" i="113"/>
  <c r="AO90" i="113"/>
  <c r="AP92" i="113"/>
  <c r="AJ89" i="113"/>
  <c r="A35" i="113"/>
  <c r="E9" i="113"/>
  <c r="E7" i="113"/>
  <c r="M64" i="113"/>
  <c r="AJ77" i="113"/>
  <c r="H60" i="113"/>
  <c r="AJ61" i="113"/>
  <c r="A33" i="113"/>
  <c r="AJ1" i="113"/>
  <c r="A34" i="113"/>
  <c r="S290" i="124" l="1"/>
  <c r="S293" i="124"/>
  <c r="S325" i="124"/>
  <c r="M62" i="113"/>
  <c r="C65" i="113"/>
  <c r="AQ88" i="113"/>
  <c r="AQ12" i="113" s="1"/>
  <c r="AO86" i="113"/>
  <c r="AO10" i="113" s="1"/>
  <c r="AP86" i="113"/>
  <c r="AP10" i="113" s="1"/>
  <c r="AQ86" i="113"/>
  <c r="AQ10" i="113" s="1"/>
  <c r="AO87" i="113"/>
  <c r="AO11" i="113" s="1"/>
  <c r="AP87" i="113"/>
  <c r="AP11" i="113" s="1"/>
  <c r="AQ87" i="113"/>
  <c r="AQ11" i="113" s="1"/>
  <c r="AO88" i="113"/>
  <c r="AO12" i="113" s="1"/>
  <c r="AP88" i="113"/>
  <c r="AP12" i="113" s="1"/>
  <c r="S266" i="124" l="1"/>
  <c r="S323" i="124"/>
  <c r="AJ57" i="113"/>
  <c r="M74" i="113"/>
  <c r="AP8" i="113"/>
  <c r="C50" i="113" s="1"/>
  <c r="AO6" i="113"/>
  <c r="B48" i="113" s="1"/>
  <c r="AO8" i="113"/>
  <c r="B50" i="113" s="1"/>
  <c r="AP7" i="113"/>
  <c r="C49" i="113" s="1"/>
  <c r="AQ6" i="113"/>
  <c r="D48" i="113" s="1"/>
  <c r="AO7" i="113"/>
  <c r="B49" i="113" s="1"/>
  <c r="AQ7" i="113"/>
  <c r="D49" i="113" s="1"/>
  <c r="AP6" i="113"/>
  <c r="C48" i="113" s="1"/>
  <c r="AN5" i="113"/>
  <c r="AQ8" i="113"/>
  <c r="D50" i="113" s="1"/>
  <c r="O45" i="113" l="1"/>
  <c r="AP2" i="113"/>
  <c r="AP3" i="113"/>
  <c r="AQ3" i="113"/>
  <c r="Q44" i="113"/>
  <c r="AO4" i="113"/>
  <c r="AQ4" i="113"/>
  <c r="Q43" i="113"/>
  <c r="AO3" i="113"/>
  <c r="AO2" i="113"/>
  <c r="AQ2" i="113"/>
  <c r="AP4" i="113"/>
  <c r="S335" i="124"/>
  <c r="C11" i="113"/>
  <c r="B11" i="113"/>
  <c r="D11" i="113"/>
  <c r="Q42" i="113"/>
  <c r="N45" i="113"/>
  <c r="AN1" i="113" l="1"/>
  <c r="E49" i="113" s="1"/>
  <c r="E19" i="113" l="1"/>
  <c r="AJ101" i="113"/>
  <c r="R85" i="110"/>
  <c r="R61" i="9"/>
  <c r="P61" i="9"/>
  <c r="Q61" i="9"/>
  <c r="M61" i="9"/>
  <c r="O61" i="9"/>
  <c r="AJ101" i="116"/>
  <c r="AJ101" i="115"/>
  <c r="R85" i="114"/>
  <c r="N61" i="9"/>
  <c r="M66" i="114"/>
  <c r="AJ101" i="110"/>
  <c r="AJ9" i="110" s="1"/>
  <c r="AJ5" i="110" s="1"/>
  <c r="E50" i="110" s="1"/>
  <c r="E48" i="110" s="1"/>
  <c r="C69" i="9"/>
  <c r="G69" i="9"/>
  <c r="L61" i="9"/>
  <c r="C64" i="9"/>
  <c r="M62" i="9" s="1"/>
  <c r="E64" i="9"/>
  <c r="O62" i="9" s="1"/>
  <c r="G64" i="9"/>
  <c r="Q62" i="9" s="1"/>
  <c r="I64" i="9"/>
  <c r="S62" i="9" s="1"/>
  <c r="S61" i="9"/>
  <c r="AE61" i="9"/>
  <c r="AQ61" i="9" s="1"/>
  <c r="B69" i="9"/>
  <c r="D69" i="9"/>
  <c r="H69" i="9"/>
  <c r="D64" i="9"/>
  <c r="N62" i="9" s="1"/>
  <c r="F64" i="9"/>
  <c r="P62" i="9" s="1"/>
  <c r="AJ101" i="114"/>
  <c r="AJ9" i="114" s="1"/>
  <c r="AJ5" i="114" s="1"/>
  <c r="E50" i="114" s="1"/>
  <c r="E48" i="114" s="1"/>
  <c r="E69" i="9"/>
  <c r="I69" i="9"/>
  <c r="B64" i="9"/>
  <c r="L62" i="9" s="1"/>
  <c r="F69" i="9"/>
  <c r="H64" i="9"/>
  <c r="R62" i="9" s="1"/>
  <c r="X327" i="124" l="1"/>
  <c r="N327" i="124"/>
  <c r="N380" i="124"/>
  <c r="X380" i="124"/>
  <c r="H9" i="54"/>
  <c r="D32" i="113"/>
  <c r="C59" i="113"/>
  <c r="I55" i="113"/>
  <c r="M65" i="113"/>
  <c r="L63" i="9"/>
  <c r="S63" i="9"/>
  <c r="O63" i="9"/>
  <c r="Q63" i="9"/>
  <c r="R63" i="9"/>
  <c r="N63" i="9"/>
  <c r="M63" i="9"/>
  <c r="P63" i="9"/>
  <c r="M76" i="114"/>
  <c r="M75" i="114"/>
  <c r="M75" i="110"/>
  <c r="M76" i="110"/>
  <c r="N336" i="124" l="1"/>
  <c r="N337" i="124"/>
  <c r="S260" i="124"/>
  <c r="X336" i="124"/>
  <c r="S326" i="124"/>
  <c r="X337" i="124"/>
  <c r="AJ29" i="113"/>
  <c r="AJ9" i="113" s="1"/>
  <c r="AJ5" i="113" s="1"/>
  <c r="E50" i="113" s="1"/>
  <c r="E48" i="113" s="1"/>
  <c r="C71" i="113"/>
  <c r="I47" i="113" s="1"/>
  <c r="C35" i="113"/>
  <c r="B34" i="113"/>
  <c r="C33" i="113"/>
  <c r="B33" i="113"/>
  <c r="B35" i="113"/>
  <c r="D33" i="113"/>
  <c r="C34" i="113"/>
  <c r="D35" i="113"/>
  <c r="D34" i="113"/>
  <c r="H74" i="114"/>
  <c r="H74" i="110"/>
  <c r="N304" i="124" l="1"/>
  <c r="S272" i="124"/>
  <c r="X304" i="124"/>
  <c r="H69" i="113"/>
  <c r="R58" i="113"/>
  <c r="R73" i="110"/>
  <c r="R73" i="114"/>
  <c r="X368" i="124" l="1"/>
  <c r="S299" i="124"/>
  <c r="N368" i="124"/>
  <c r="S353" i="124"/>
  <c r="R60" i="113"/>
  <c r="R84" i="113"/>
  <c r="R74" i="114"/>
  <c r="R74" i="110"/>
  <c r="X369" i="124" l="1"/>
  <c r="S379" i="124"/>
  <c r="N369" i="124"/>
  <c r="S355" i="124"/>
  <c r="M66" i="113"/>
  <c r="R85" i="113"/>
  <c r="R76" i="114"/>
  <c r="R76" i="110"/>
  <c r="X371" i="124" l="1"/>
  <c r="N371" i="124"/>
  <c r="S380" i="124"/>
  <c r="S327" i="124"/>
  <c r="M76" i="113"/>
  <c r="M75" i="113"/>
  <c r="R78" i="110"/>
  <c r="R78" i="114"/>
  <c r="S336" i="124" l="1"/>
  <c r="N373" i="124"/>
  <c r="X373" i="124"/>
  <c r="S337" i="124"/>
  <c r="H74" i="113"/>
  <c r="S304" i="124" l="1"/>
  <c r="R73" i="113"/>
  <c r="S368" i="124" l="1"/>
  <c r="R74" i="113"/>
  <c r="T48" i="116"/>
  <c r="R48" i="116"/>
  <c r="T47" i="116"/>
  <c r="T49" i="116"/>
  <c r="R49" i="116"/>
  <c r="L14" i="116" l="1"/>
  <c r="L29" i="116" s="1"/>
  <c r="L24" i="116" s="1"/>
  <c r="J13" i="116"/>
  <c r="L13" i="116"/>
  <c r="L28" i="116" s="1"/>
  <c r="L23" i="116" s="1"/>
  <c r="J14" i="116"/>
  <c r="J29" i="116" s="1"/>
  <c r="J24" i="116" s="1"/>
  <c r="L12" i="116"/>
  <c r="L27" i="116" s="1"/>
  <c r="L22" i="116" s="1"/>
  <c r="S369" i="124"/>
  <c r="R76" i="113"/>
  <c r="R47" i="116"/>
  <c r="J28" i="116" l="1"/>
  <c r="J23" i="116" s="1"/>
  <c r="L5" i="116"/>
  <c r="S371" i="124"/>
  <c r="J12" i="116"/>
  <c r="R78" i="113"/>
  <c r="S373" i="124" l="1"/>
  <c r="J5" i="116"/>
  <c r="J27" i="116"/>
  <c r="J22" i="116" s="1"/>
  <c r="L90" i="8" l="1"/>
  <c r="L89" i="8"/>
  <c r="L88" i="8"/>
  <c r="J90" i="8" l="1"/>
  <c r="K88" i="8"/>
  <c r="J88" i="8"/>
  <c r="J89" i="8"/>
  <c r="K89" i="8"/>
  <c r="K90" i="8"/>
  <c r="M88" i="8" l="1"/>
  <c r="M63" i="114" s="1"/>
  <c r="M89" i="8"/>
  <c r="M90" i="8"/>
  <c r="N324" i="124" l="1"/>
  <c r="H66" i="114"/>
  <c r="M63" i="110"/>
  <c r="M63" i="113"/>
  <c r="M68" i="114"/>
  <c r="N296" i="124" l="1"/>
  <c r="N329" i="124"/>
  <c r="S324" i="124"/>
  <c r="X324" i="124"/>
  <c r="H67" i="114"/>
  <c r="M68" i="110"/>
  <c r="M68" i="113"/>
  <c r="H66" i="110"/>
  <c r="H66" i="113"/>
  <c r="M70" i="114"/>
  <c r="X296" i="124" l="1"/>
  <c r="S329" i="124"/>
  <c r="X329" i="124"/>
  <c r="S296" i="124"/>
  <c r="N297" i="124"/>
  <c r="N331" i="124"/>
  <c r="H68" i="114"/>
  <c r="H67" i="113"/>
  <c r="M70" i="113"/>
  <c r="M70" i="110"/>
  <c r="H67" i="110"/>
  <c r="X297" i="124" l="1"/>
  <c r="X331" i="124"/>
  <c r="S331" i="124"/>
  <c r="S297" i="124"/>
  <c r="N298" i="124"/>
  <c r="H72" i="114"/>
  <c r="H68" i="113"/>
  <c r="H68" i="110"/>
  <c r="X298" i="124" l="1"/>
  <c r="N302" i="124"/>
  <c r="S298" i="124"/>
  <c r="E19" i="116"/>
  <c r="H75" i="114"/>
  <c r="H72" i="113"/>
  <c r="H72" i="110"/>
  <c r="X302" i="124" l="1"/>
  <c r="N305" i="124"/>
  <c r="S302" i="124"/>
  <c r="C74" i="114"/>
  <c r="H75" i="113"/>
  <c r="H75" i="110"/>
  <c r="N275" i="124" l="1"/>
  <c r="S305" i="124"/>
  <c r="X305" i="124"/>
  <c r="M73" i="114"/>
  <c r="C76" i="114"/>
  <c r="C74" i="113"/>
  <c r="C74" i="110"/>
  <c r="H76" i="114" l="1"/>
  <c r="N334" i="124"/>
  <c r="N277" i="124"/>
  <c r="X275" i="124"/>
  <c r="S275" i="124"/>
  <c r="M77" i="114"/>
  <c r="M73" i="110"/>
  <c r="M73" i="113"/>
  <c r="C76" i="113"/>
  <c r="C76" i="110"/>
  <c r="N306" i="124" l="1"/>
  <c r="S334" i="124"/>
  <c r="X277" i="124"/>
  <c r="N338" i="124"/>
  <c r="S277" i="124"/>
  <c r="X334" i="124"/>
  <c r="M80" i="114"/>
  <c r="H77" i="114"/>
  <c r="H76" i="110"/>
  <c r="M77" i="110"/>
  <c r="M77" i="113"/>
  <c r="H76" i="113"/>
  <c r="S306" i="124" l="1"/>
  <c r="X306" i="124"/>
  <c r="X338" i="124"/>
  <c r="N307" i="124"/>
  <c r="S338" i="124"/>
  <c r="O66" i="114"/>
  <c r="N341" i="124"/>
  <c r="H78" i="114"/>
  <c r="H81" i="114"/>
  <c r="I18" i="54"/>
  <c r="I17" i="54" s="1"/>
  <c r="I15" i="54" s="1"/>
  <c r="M80" i="110"/>
  <c r="H77" i="110"/>
  <c r="M80" i="113"/>
  <c r="H77" i="113"/>
  <c r="H81" i="113" l="1"/>
  <c r="S307" i="124"/>
  <c r="X307" i="124"/>
  <c r="N311" i="124"/>
  <c r="N308" i="124"/>
  <c r="O66" i="113"/>
  <c r="S341" i="124"/>
  <c r="O66" i="110"/>
  <c r="X341" i="124"/>
  <c r="K18" i="54"/>
  <c r="K17" i="54" s="1"/>
  <c r="K15" i="54" s="1"/>
  <c r="H83" i="114"/>
  <c r="F28" i="114"/>
  <c r="F36" i="114" s="1"/>
  <c r="H78" i="110"/>
  <c r="H81" i="110"/>
  <c r="J18" i="54"/>
  <c r="J17" i="54" s="1"/>
  <c r="J15" i="54" s="1"/>
  <c r="H78" i="113"/>
  <c r="H83" i="113" l="1"/>
  <c r="S308" i="124"/>
  <c r="X311" i="124"/>
  <c r="S311" i="124"/>
  <c r="X308" i="124"/>
  <c r="N313" i="124"/>
  <c r="M85" i="114"/>
  <c r="H83" i="110"/>
  <c r="F28" i="110"/>
  <c r="F36" i="110" s="1"/>
  <c r="F28" i="113"/>
  <c r="F36" i="113" s="1"/>
  <c r="M85" i="113" l="1"/>
  <c r="S313" i="124"/>
  <c r="X313" i="124"/>
  <c r="N346" i="124"/>
  <c r="M85" i="110"/>
  <c r="M86" i="114"/>
  <c r="S346" i="124" l="1"/>
  <c r="X346" i="124"/>
  <c r="N347" i="124"/>
  <c r="M86" i="110"/>
  <c r="M86" i="113"/>
  <c r="X347" i="124" l="1"/>
  <c r="S347" i="124"/>
  <c r="H25" i="115" l="1"/>
  <c r="C63" i="115" l="1"/>
  <c r="I25" i="115"/>
  <c r="I264" i="124" l="1"/>
  <c r="AJ49" i="115"/>
  <c r="M24" i="124" l="1"/>
  <c r="M39" i="124"/>
  <c r="M19" i="124"/>
  <c r="K22" i="124"/>
  <c r="K17" i="124"/>
  <c r="K37" i="124"/>
  <c r="M69" i="124"/>
  <c r="K67" i="124"/>
  <c r="K2" i="124" l="1"/>
  <c r="K97" i="124" s="1"/>
  <c r="M4" i="124"/>
  <c r="N22" i="124"/>
  <c r="N17" i="124"/>
  <c r="I92" i="124"/>
  <c r="N37" i="124"/>
  <c r="N67" i="124"/>
  <c r="F97" i="124"/>
  <c r="F214" i="124" s="1"/>
  <c r="K214" i="124" l="1"/>
  <c r="K229" i="124" s="1"/>
  <c r="F229" i="124"/>
  <c r="P214" i="124" l="1"/>
  <c r="P229" i="124" s="1"/>
  <c r="U214" i="124" l="1"/>
  <c r="U229" i="124" s="1"/>
  <c r="S67" i="124" l="1"/>
  <c r="S37" i="124"/>
  <c r="S17" i="124"/>
  <c r="S22" i="124" l="1"/>
  <c r="N2" i="124"/>
  <c r="N92" i="124"/>
  <c r="M99" i="124" l="1"/>
  <c r="S2" i="124"/>
  <c r="N97" i="124" l="1"/>
  <c r="S97" i="124"/>
  <c r="O38" i="115" l="1"/>
  <c r="O18" i="115"/>
  <c r="O23" i="115"/>
  <c r="O19" i="115"/>
  <c r="O39" i="115"/>
  <c r="O24" i="115"/>
  <c r="O22" i="115"/>
  <c r="O37" i="115"/>
  <c r="O17" i="115"/>
  <c r="S18" i="115"/>
  <c r="S17" i="115"/>
  <c r="E42" i="116"/>
  <c r="S19" i="115"/>
  <c r="O2" i="115" l="1"/>
  <c r="O3" i="115"/>
  <c r="S48" i="115" s="1"/>
  <c r="O4" i="115"/>
  <c r="S49" i="115" s="1"/>
  <c r="B98" i="124"/>
  <c r="B215" i="124" s="1"/>
  <c r="B97" i="124"/>
  <c r="B214" i="124" s="1"/>
  <c r="J22" i="124"/>
  <c r="J37" i="124"/>
  <c r="J67" i="124"/>
  <c r="J17" i="124"/>
  <c r="B229" i="124" l="1"/>
  <c r="B224" i="124" s="1"/>
  <c r="D224" i="124" s="1"/>
  <c r="G214" i="124"/>
  <c r="D204" i="124"/>
  <c r="B230" i="124"/>
  <c r="B225" i="124" s="1"/>
  <c r="D225" i="124" s="1"/>
  <c r="D205" i="124"/>
  <c r="G215" i="124"/>
  <c r="B99" i="124"/>
  <c r="D2" i="124"/>
  <c r="S49" i="116"/>
  <c r="K14" i="116" s="1"/>
  <c r="M4" i="116" s="1"/>
  <c r="S47" i="116"/>
  <c r="S47" i="115"/>
  <c r="J97" i="124" s="1"/>
  <c r="K14" i="115"/>
  <c r="K29" i="115" s="1"/>
  <c r="K24" i="115" s="1"/>
  <c r="M24" i="115" s="1"/>
  <c r="K13" i="115"/>
  <c r="M3" i="115" s="1"/>
  <c r="J2" i="124"/>
  <c r="G230" i="124" l="1"/>
  <c r="L215" i="124"/>
  <c r="B103" i="124"/>
  <c r="C103" i="124"/>
  <c r="B240" i="124" s="1"/>
  <c r="D103" i="124"/>
  <c r="C240" i="124" s="1"/>
  <c r="S48" i="116"/>
  <c r="E97" i="124" s="1"/>
  <c r="G229" i="124"/>
  <c r="L214" i="124"/>
  <c r="C102" i="124"/>
  <c r="B239" i="124" s="1"/>
  <c r="B102" i="124"/>
  <c r="D102" i="124"/>
  <c r="C239" i="124" s="1"/>
  <c r="K29" i="116"/>
  <c r="K24" i="116" s="1"/>
  <c r="M24" i="116" s="1"/>
  <c r="C4" i="116" s="1"/>
  <c r="H19" i="120" s="1"/>
  <c r="B216" i="124"/>
  <c r="D97" i="124"/>
  <c r="E2" i="124"/>
  <c r="K12" i="116"/>
  <c r="K12" i="115"/>
  <c r="K5" i="115" s="1"/>
  <c r="K28" i="115"/>
  <c r="K23" i="115" s="1"/>
  <c r="M23" i="115" s="1"/>
  <c r="B3" i="115" s="1"/>
  <c r="C4" i="115"/>
  <c r="D4" i="115"/>
  <c r="B4" i="115"/>
  <c r="M4" i="115"/>
  <c r="M2" i="116" l="1"/>
  <c r="B4" i="116"/>
  <c r="F19" i="120" s="1"/>
  <c r="D4" i="116"/>
  <c r="J19" i="120" s="1"/>
  <c r="K13" i="116"/>
  <c r="K28" i="116" s="1"/>
  <c r="K23" i="116" s="1"/>
  <c r="M23" i="116" s="1"/>
  <c r="H204" i="124"/>
  <c r="C219" i="124"/>
  <c r="H209" i="124"/>
  <c r="C220" i="124"/>
  <c r="H210" i="124"/>
  <c r="H205" i="124"/>
  <c r="G210" i="124"/>
  <c r="G205" i="124"/>
  <c r="B220" i="124"/>
  <c r="A240" i="124"/>
  <c r="E103" i="124"/>
  <c r="A525" i="124" s="1"/>
  <c r="A497" i="124" s="1"/>
  <c r="G209" i="124"/>
  <c r="G204" i="124"/>
  <c r="B219" i="124"/>
  <c r="L229" i="124"/>
  <c r="Q214" i="124"/>
  <c r="L230" i="124"/>
  <c r="Q215" i="124"/>
  <c r="A239" i="124"/>
  <c r="E102" i="124"/>
  <c r="A524" i="124" s="1"/>
  <c r="A496" i="124" s="1"/>
  <c r="B231" i="124"/>
  <c r="B226" i="124" s="1"/>
  <c r="D226" i="124" s="1"/>
  <c r="D206" i="124"/>
  <c r="B207" i="124"/>
  <c r="G216" i="124"/>
  <c r="C285" i="124"/>
  <c r="K27" i="116"/>
  <c r="K22" i="116" s="1"/>
  <c r="M22" i="116" s="1"/>
  <c r="D2" i="116" s="1"/>
  <c r="J17" i="120" s="1"/>
  <c r="H55" i="115"/>
  <c r="I285" i="124" s="1"/>
  <c r="K27" i="115"/>
  <c r="K22" i="115" s="1"/>
  <c r="M22" i="115" s="1"/>
  <c r="M2" i="115"/>
  <c r="K39" i="115"/>
  <c r="K19" i="115" s="1"/>
  <c r="C3" i="115"/>
  <c r="D3" i="115"/>
  <c r="J39" i="115"/>
  <c r="E4" i="115"/>
  <c r="AN40" i="115" s="1"/>
  <c r="AN12" i="115" s="1"/>
  <c r="F19" i="119"/>
  <c r="H19" i="119"/>
  <c r="J19" i="119"/>
  <c r="L39" i="115"/>
  <c r="L19" i="115" s="1"/>
  <c r="J38" i="115"/>
  <c r="J18" i="115" s="1"/>
  <c r="F18" i="119"/>
  <c r="K39" i="116"/>
  <c r="K19" i="116" s="1"/>
  <c r="J19" i="115" l="1"/>
  <c r="AK4" i="115" s="1"/>
  <c r="K5" i="116"/>
  <c r="J39" i="116"/>
  <c r="J19" i="116" s="1"/>
  <c r="E4" i="116"/>
  <c r="AN40" i="116" s="1"/>
  <c r="AN12" i="116" s="1"/>
  <c r="L39" i="116"/>
  <c r="L19" i="116" s="1"/>
  <c r="AM4" i="116" s="1"/>
  <c r="H55" i="116"/>
  <c r="D285" i="124" s="1"/>
  <c r="C2" i="116"/>
  <c r="H17" i="120" s="1"/>
  <c r="C3" i="116"/>
  <c r="H18" i="120" s="1"/>
  <c r="B3" i="116"/>
  <c r="F18" i="120" s="1"/>
  <c r="D3" i="116"/>
  <c r="J18" i="120" s="1"/>
  <c r="M3" i="116"/>
  <c r="G225" i="124"/>
  <c r="C383" i="124"/>
  <c r="C552" i="124"/>
  <c r="C512" i="124"/>
  <c r="F204" i="124"/>
  <c r="F209" i="124"/>
  <c r="A219" i="124"/>
  <c r="D239" i="124"/>
  <c r="G224" i="124"/>
  <c r="D513" i="124"/>
  <c r="D384" i="124"/>
  <c r="D553" i="124"/>
  <c r="F205" i="124"/>
  <c r="F210" i="124"/>
  <c r="A220" i="124"/>
  <c r="D240" i="124"/>
  <c r="D512" i="124"/>
  <c r="D383" i="124"/>
  <c r="D552" i="124"/>
  <c r="Q230" i="124"/>
  <c r="V215" i="124"/>
  <c r="V230" i="124" s="1"/>
  <c r="C384" i="124"/>
  <c r="C553" i="124"/>
  <c r="C513" i="124"/>
  <c r="Q229" i="124"/>
  <c r="V214" i="124"/>
  <c r="G231" i="124"/>
  <c r="L216" i="124"/>
  <c r="D104" i="124"/>
  <c r="C104" i="124"/>
  <c r="B104" i="124"/>
  <c r="B2" i="116"/>
  <c r="F17" i="120" s="1"/>
  <c r="D2" i="115"/>
  <c r="C2" i="115"/>
  <c r="B2" i="115"/>
  <c r="J18" i="119"/>
  <c r="K38" i="115"/>
  <c r="K18" i="115" s="1"/>
  <c r="AP27" i="115" s="1"/>
  <c r="H18" i="119"/>
  <c r="E3" i="115"/>
  <c r="AN39" i="115" s="1"/>
  <c r="AN11" i="115" s="1"/>
  <c r="L38" i="115"/>
  <c r="L18" i="115" s="1"/>
  <c r="AM3" i="115" s="1"/>
  <c r="AM4" i="115"/>
  <c r="AQ20" i="115"/>
  <c r="AQ24" i="115"/>
  <c r="AQ68" i="115"/>
  <c r="M39" i="115"/>
  <c r="AO27" i="115"/>
  <c r="AK3" i="115"/>
  <c r="AO67" i="115"/>
  <c r="AL4" i="115"/>
  <c r="AP68" i="115"/>
  <c r="AP20" i="115"/>
  <c r="AP24" i="115"/>
  <c r="AP68" i="116"/>
  <c r="AP24" i="116"/>
  <c r="AL4" i="116"/>
  <c r="AP20" i="116"/>
  <c r="L37" i="116"/>
  <c r="C56" i="115" l="1"/>
  <c r="I257" i="124" s="1"/>
  <c r="AO20" i="115"/>
  <c r="AO68" i="115"/>
  <c r="AO24" i="115"/>
  <c r="C57" i="115"/>
  <c r="I258" i="124" s="1"/>
  <c r="D5" i="116"/>
  <c r="D9" i="116" s="1"/>
  <c r="C86" i="8" s="1"/>
  <c r="L86" i="8" s="1"/>
  <c r="K37" i="116"/>
  <c r="K17" i="116" s="1"/>
  <c r="M39" i="116"/>
  <c r="AQ20" i="116"/>
  <c r="AQ68" i="116"/>
  <c r="E2" i="116"/>
  <c r="AN38" i="116" s="1"/>
  <c r="AN10" i="116" s="1"/>
  <c r="C5" i="116"/>
  <c r="C9" i="116" s="1"/>
  <c r="B86" i="8" s="1"/>
  <c r="K86" i="8" s="1"/>
  <c r="J37" i="116"/>
  <c r="J17" i="116" s="1"/>
  <c r="B5" i="116"/>
  <c r="AO83" i="116" s="1"/>
  <c r="AQ24" i="116"/>
  <c r="K38" i="116"/>
  <c r="K18" i="116" s="1"/>
  <c r="AP27" i="116" s="1"/>
  <c r="L38" i="116"/>
  <c r="L18" i="116" s="1"/>
  <c r="J38" i="116"/>
  <c r="J18" i="116" s="1"/>
  <c r="AK3" i="116" s="1"/>
  <c r="E3" i="116"/>
  <c r="AN39" i="116" s="1"/>
  <c r="AN11" i="116" s="1"/>
  <c r="B552" i="124"/>
  <c r="B383" i="124"/>
  <c r="B512" i="124"/>
  <c r="F224" i="124"/>
  <c r="V229" i="124"/>
  <c r="B553" i="124"/>
  <c r="B513" i="124"/>
  <c r="B384" i="124"/>
  <c r="C259" i="124"/>
  <c r="E104" i="124"/>
  <c r="A241" i="124"/>
  <c r="B105" i="124"/>
  <c r="B570" i="124" s="1"/>
  <c r="B241" i="124"/>
  <c r="C105" i="124"/>
  <c r="C570" i="124" s="1"/>
  <c r="C241" i="124"/>
  <c r="D105" i="124"/>
  <c r="D109" i="124" s="1"/>
  <c r="L231" i="124"/>
  <c r="Q216" i="124"/>
  <c r="C5" i="115"/>
  <c r="AP96" i="115" s="1"/>
  <c r="D5" i="115"/>
  <c r="AQ84" i="115" s="1"/>
  <c r="F17" i="119"/>
  <c r="E2" i="115"/>
  <c r="AN38" i="115" s="1"/>
  <c r="AN10" i="115" s="1"/>
  <c r="J37" i="115"/>
  <c r="B5" i="115"/>
  <c r="H17" i="119"/>
  <c r="K37" i="115"/>
  <c r="K17" i="115" s="1"/>
  <c r="J17" i="119"/>
  <c r="L37" i="115"/>
  <c r="L17" i="115" s="1"/>
  <c r="AQ26" i="115" s="1"/>
  <c r="AP67" i="115"/>
  <c r="AL3" i="115"/>
  <c r="AQ27" i="115"/>
  <c r="C58" i="115"/>
  <c r="AQ67" i="115"/>
  <c r="M38" i="115"/>
  <c r="AO24" i="116"/>
  <c r="AK4" i="116"/>
  <c r="AO68" i="116"/>
  <c r="C57" i="116"/>
  <c r="AO20" i="116"/>
  <c r="C56" i="116"/>
  <c r="L17" i="116"/>
  <c r="H56" i="116" l="1"/>
  <c r="M37" i="116"/>
  <c r="AO67" i="116"/>
  <c r="AO27" i="116"/>
  <c r="AQ96" i="116"/>
  <c r="AQ94" i="116"/>
  <c r="AQ95" i="116"/>
  <c r="AQ84" i="116"/>
  <c r="AP96" i="116"/>
  <c r="AP82" i="116"/>
  <c r="AP95" i="116"/>
  <c r="AQ82" i="116"/>
  <c r="AQ83" i="116"/>
  <c r="AP94" i="116"/>
  <c r="J40" i="116"/>
  <c r="L40" i="116"/>
  <c r="H65" i="116"/>
  <c r="D295" i="124" s="1"/>
  <c r="AO82" i="116"/>
  <c r="H2" i="116"/>
  <c r="I12" i="116" s="1"/>
  <c r="H64" i="116"/>
  <c r="AJ97" i="116" s="1"/>
  <c r="AO94" i="116"/>
  <c r="H32" i="116"/>
  <c r="AP84" i="116"/>
  <c r="K40" i="116"/>
  <c r="AO96" i="116"/>
  <c r="AO95" i="116"/>
  <c r="AP83" i="116"/>
  <c r="C58" i="116"/>
  <c r="D259" i="124" s="1"/>
  <c r="H30" i="116"/>
  <c r="I30" i="116" s="1"/>
  <c r="B9" i="116"/>
  <c r="A86" i="8" s="1"/>
  <c r="J86" i="8" s="1"/>
  <c r="M86" i="8" s="1"/>
  <c r="M63" i="116" s="1"/>
  <c r="D324" i="124" s="1"/>
  <c r="AO84" i="116"/>
  <c r="H15" i="116"/>
  <c r="AL3" i="116"/>
  <c r="AP67" i="116"/>
  <c r="M38" i="116"/>
  <c r="AQ67" i="116"/>
  <c r="AM3" i="116"/>
  <c r="AQ27" i="116"/>
  <c r="D570" i="124"/>
  <c r="C183" i="124"/>
  <c r="AB154" i="124"/>
  <c r="AK154" i="124" s="1"/>
  <c r="I107" i="124"/>
  <c r="H211" i="124"/>
  <c r="C221" i="124"/>
  <c r="H206" i="124"/>
  <c r="C242" i="124"/>
  <c r="C181" i="124"/>
  <c r="V216" i="124"/>
  <c r="Q231" i="124"/>
  <c r="C582" i="124"/>
  <c r="C153" i="124"/>
  <c r="B109" i="124"/>
  <c r="C109" i="124"/>
  <c r="C568" i="124"/>
  <c r="C580" i="124"/>
  <c r="C581" i="124"/>
  <c r="C569" i="124"/>
  <c r="B582" i="124"/>
  <c r="D582" i="124"/>
  <c r="G211" i="124"/>
  <c r="G206" i="124"/>
  <c r="B242" i="124"/>
  <c r="B221" i="124"/>
  <c r="B569" i="124"/>
  <c r="B568" i="124"/>
  <c r="B581" i="124"/>
  <c r="B580" i="124"/>
  <c r="C294" i="124"/>
  <c r="F206" i="124"/>
  <c r="D241" i="124"/>
  <c r="F211" i="124"/>
  <c r="A221" i="124"/>
  <c r="A242" i="124"/>
  <c r="D580" i="124"/>
  <c r="D581" i="124"/>
  <c r="D568" i="124"/>
  <c r="D569" i="124"/>
  <c r="C166" i="124"/>
  <c r="A526" i="124"/>
  <c r="A498" i="124" s="1"/>
  <c r="C295" i="124"/>
  <c r="AP95" i="115"/>
  <c r="AP83" i="115"/>
  <c r="AP82" i="115"/>
  <c r="C9" i="115"/>
  <c r="B87" i="8" s="1"/>
  <c r="K87" i="8" s="1"/>
  <c r="AQ83" i="115"/>
  <c r="D9" i="115"/>
  <c r="C87" i="8" s="1"/>
  <c r="L87" i="8" s="1"/>
  <c r="AP84" i="115"/>
  <c r="AQ96" i="115"/>
  <c r="AQ82" i="115"/>
  <c r="AQ94" i="115"/>
  <c r="H15" i="115"/>
  <c r="I26" i="115" s="1"/>
  <c r="AQ95" i="115"/>
  <c r="AP94" i="115"/>
  <c r="H32" i="115"/>
  <c r="H65" i="115"/>
  <c r="I295" i="124" s="1"/>
  <c r="K40" i="115"/>
  <c r="AM2" i="115"/>
  <c r="AQ66" i="115"/>
  <c r="L40" i="115"/>
  <c r="AO96" i="115"/>
  <c r="AO83" i="115"/>
  <c r="AO82" i="115"/>
  <c r="AO84" i="115"/>
  <c r="B9" i="115"/>
  <c r="A87" i="8" s="1"/>
  <c r="J87" i="8" s="1"/>
  <c r="AO94" i="115"/>
  <c r="AO95" i="115"/>
  <c r="AP26" i="115"/>
  <c r="AP66" i="115"/>
  <c r="AL2" i="115"/>
  <c r="I259" i="124"/>
  <c r="J17" i="115"/>
  <c r="J40" i="115"/>
  <c r="M37" i="115"/>
  <c r="H30" i="115"/>
  <c r="I30" i="115" s="1"/>
  <c r="H64" i="115"/>
  <c r="AJ97" i="115" s="1"/>
  <c r="H2" i="115"/>
  <c r="D258" i="124"/>
  <c r="C67" i="116"/>
  <c r="AK2" i="116"/>
  <c r="AO66" i="116"/>
  <c r="R56" i="116"/>
  <c r="AO26" i="116"/>
  <c r="AQ66" i="116"/>
  <c r="AM2" i="116"/>
  <c r="AQ26" i="116"/>
  <c r="D257" i="124"/>
  <c r="AP66" i="116"/>
  <c r="AL2" i="116"/>
  <c r="AP26" i="116"/>
  <c r="H61" i="115" l="1"/>
  <c r="I291" i="124" s="1"/>
  <c r="I2" i="115"/>
  <c r="I55" i="116"/>
  <c r="D294" i="124"/>
  <c r="H61" i="116"/>
  <c r="D291" i="124" s="1"/>
  <c r="I2" i="116"/>
  <c r="H62" i="116"/>
  <c r="AJ89" i="116" s="1"/>
  <c r="A13" i="116"/>
  <c r="C70" i="116" s="1"/>
  <c r="AJ77" i="116" s="1"/>
  <c r="H31" i="116"/>
  <c r="H60" i="116" s="1"/>
  <c r="D290" i="124" s="1"/>
  <c r="I26" i="116"/>
  <c r="I15" i="116"/>
  <c r="A478" i="124"/>
  <c r="J118" i="124"/>
  <c r="J117" i="124"/>
  <c r="V231" i="124"/>
  <c r="G226" i="124"/>
  <c r="G207" i="124"/>
  <c r="AA154" i="124"/>
  <c r="AJ154" i="124" s="1"/>
  <c r="H107" i="124"/>
  <c r="D181" i="124"/>
  <c r="C184" i="124"/>
  <c r="C182" i="124" s="1"/>
  <c r="Z154" i="124"/>
  <c r="AI154" i="124" s="1"/>
  <c r="G107" i="124"/>
  <c r="D163" i="124"/>
  <c r="C291" i="124"/>
  <c r="D153" i="124"/>
  <c r="C292" i="124"/>
  <c r="I162" i="124"/>
  <c r="I161" i="124" s="1"/>
  <c r="H161" i="124" s="1"/>
  <c r="D385" i="124"/>
  <c r="D506" i="124"/>
  <c r="D510" i="124"/>
  <c r="D554" i="124"/>
  <c r="D166" i="124"/>
  <c r="D177" i="124"/>
  <c r="B385" i="124"/>
  <c r="B506" i="124"/>
  <c r="B554" i="124"/>
  <c r="C257" i="124"/>
  <c r="C258" i="124"/>
  <c r="B510" i="124"/>
  <c r="C286" i="124"/>
  <c r="C268" i="124"/>
  <c r="C351" i="124"/>
  <c r="C506" i="124"/>
  <c r="C554" i="124"/>
  <c r="C385" i="124"/>
  <c r="C510" i="124"/>
  <c r="I15" i="115"/>
  <c r="M87" i="8"/>
  <c r="M63" i="115" s="1"/>
  <c r="I324" i="124" s="1"/>
  <c r="H31" i="115"/>
  <c r="H60" i="115" s="1"/>
  <c r="I290" i="124" s="1"/>
  <c r="A13" i="115"/>
  <c r="C70" i="115" s="1"/>
  <c r="I271" i="124" s="1"/>
  <c r="AK2" i="115"/>
  <c r="AO26" i="115"/>
  <c r="H56" i="115"/>
  <c r="AO66" i="115"/>
  <c r="C67" i="115"/>
  <c r="R56" i="115"/>
  <c r="H62" i="115"/>
  <c r="AQ92" i="115" s="1"/>
  <c r="I294" i="124"/>
  <c r="I12" i="115"/>
  <c r="D268" i="124"/>
  <c r="A34" i="116"/>
  <c r="M65" i="116"/>
  <c r="D32" i="116"/>
  <c r="B35" i="116" s="1"/>
  <c r="D286" i="124"/>
  <c r="C59" i="116"/>
  <c r="AJ1" i="116"/>
  <c r="A33" i="116"/>
  <c r="D351" i="124"/>
  <c r="A35" i="116"/>
  <c r="I27" i="116" l="1"/>
  <c r="H63" i="116" s="1"/>
  <c r="AP86" i="116" s="1"/>
  <c r="AO91" i="116"/>
  <c r="AO92" i="116"/>
  <c r="D292" i="124"/>
  <c r="AO90" i="116"/>
  <c r="AP91" i="116"/>
  <c r="AQ90" i="116"/>
  <c r="AP90" i="116"/>
  <c r="AQ91" i="116"/>
  <c r="AP92" i="116"/>
  <c r="AQ92" i="116"/>
  <c r="M64" i="116"/>
  <c r="D325" i="124" s="1"/>
  <c r="E13" i="116"/>
  <c r="E7" i="116"/>
  <c r="E9" i="116"/>
  <c r="D271" i="124"/>
  <c r="D577" i="124"/>
  <c r="C577" i="124"/>
  <c r="D576" i="124"/>
  <c r="J119" i="124"/>
  <c r="D132" i="124"/>
  <c r="B133" i="124" s="1"/>
  <c r="C326" i="124"/>
  <c r="C260" i="124"/>
  <c r="B577" i="124"/>
  <c r="E113" i="124"/>
  <c r="D113" i="124" s="1"/>
  <c r="A470" i="124"/>
  <c r="D178" i="124"/>
  <c r="C293" i="124" s="1"/>
  <c r="C578" i="124"/>
  <c r="D578" i="124"/>
  <c r="B576" i="124"/>
  <c r="A382" i="124"/>
  <c r="A135" i="124"/>
  <c r="A134" i="124"/>
  <c r="A133" i="124"/>
  <c r="C576" i="124"/>
  <c r="B578" i="124"/>
  <c r="AL154" i="124"/>
  <c r="C324" i="124" s="1"/>
  <c r="AJ89" i="115"/>
  <c r="AJ77" i="115"/>
  <c r="M64" i="115"/>
  <c r="I325" i="124" s="1"/>
  <c r="E7" i="115"/>
  <c r="E9" i="115"/>
  <c r="E13" i="115"/>
  <c r="AO91" i="115"/>
  <c r="AO92" i="115"/>
  <c r="AO90" i="115"/>
  <c r="I292" i="124"/>
  <c r="I27" i="115"/>
  <c r="H63" i="115" s="1"/>
  <c r="AO86" i="115" s="1"/>
  <c r="AP91" i="115"/>
  <c r="AJ1" i="115"/>
  <c r="A35" i="115"/>
  <c r="A34" i="115"/>
  <c r="A33" i="115"/>
  <c r="D326" i="124"/>
  <c r="I351" i="124"/>
  <c r="AQ90" i="115"/>
  <c r="I268" i="124"/>
  <c r="AQ91" i="115"/>
  <c r="AP90" i="115"/>
  <c r="AP92" i="115"/>
  <c r="D32" i="115"/>
  <c r="C35" i="115" s="1"/>
  <c r="I286" i="124"/>
  <c r="M65" i="115"/>
  <c r="C59" i="115"/>
  <c r="I55" i="115"/>
  <c r="C35" i="116"/>
  <c r="D33" i="116"/>
  <c r="D35" i="116"/>
  <c r="D34" i="116"/>
  <c r="B33" i="116"/>
  <c r="B34" i="116"/>
  <c r="C34" i="116"/>
  <c r="C33" i="116"/>
  <c r="D260" i="124"/>
  <c r="AJ29" i="116"/>
  <c r="M62" i="116" l="1"/>
  <c r="D323" i="124" s="1"/>
  <c r="AP10" i="116"/>
  <c r="C65" i="116"/>
  <c r="D266" i="124" s="1"/>
  <c r="AQ86" i="116"/>
  <c r="AQ10" i="116" s="1"/>
  <c r="AO87" i="116"/>
  <c r="AO11" i="116" s="1"/>
  <c r="AP87" i="116"/>
  <c r="AP11" i="116" s="1"/>
  <c r="AQ87" i="116"/>
  <c r="AQ11" i="116" s="1"/>
  <c r="AP88" i="116"/>
  <c r="AP12" i="116" s="1"/>
  <c r="D293" i="124"/>
  <c r="AQ88" i="116"/>
  <c r="AQ12" i="116" s="1"/>
  <c r="AO86" i="116"/>
  <c r="AO10" i="116" s="1"/>
  <c r="AO88" i="116"/>
  <c r="AO12" i="116" s="1"/>
  <c r="D135" i="124"/>
  <c r="D134" i="124"/>
  <c r="A410" i="124"/>
  <c r="C133" i="124"/>
  <c r="C134" i="124"/>
  <c r="B134" i="124"/>
  <c r="B135" i="124"/>
  <c r="D133" i="124"/>
  <c r="C135" i="124"/>
  <c r="D574" i="124"/>
  <c r="D498" i="124" s="1"/>
  <c r="B574" i="124"/>
  <c r="B498" i="124" s="1"/>
  <c r="B573" i="124"/>
  <c r="B497" i="124" s="1"/>
  <c r="C574" i="124"/>
  <c r="C498" i="124" s="1"/>
  <c r="C573" i="124"/>
  <c r="C497" i="124" s="1"/>
  <c r="D572" i="124"/>
  <c r="D496" i="124" s="1"/>
  <c r="D573" i="124"/>
  <c r="D497" i="124" s="1"/>
  <c r="C572" i="124"/>
  <c r="C496" i="124" s="1"/>
  <c r="B572" i="124"/>
  <c r="B496" i="124" s="1"/>
  <c r="C323" i="124"/>
  <c r="B113" i="124"/>
  <c r="C113" i="124"/>
  <c r="C360" i="124"/>
  <c r="C318" i="124"/>
  <c r="M62" i="115"/>
  <c r="H66" i="115" s="1"/>
  <c r="C65" i="115"/>
  <c r="AJ57" i="115" s="1"/>
  <c r="AO10" i="115"/>
  <c r="AO87" i="115"/>
  <c r="AO11" i="115" s="1"/>
  <c r="AP87" i="115"/>
  <c r="AP11" i="115" s="1"/>
  <c r="I293" i="124"/>
  <c r="AQ86" i="115"/>
  <c r="AQ10" i="115" s="1"/>
  <c r="AP88" i="115"/>
  <c r="AP12" i="115" s="1"/>
  <c r="AQ87" i="115"/>
  <c r="AQ11" i="115" s="1"/>
  <c r="AP86" i="115"/>
  <c r="AP10" i="115" s="1"/>
  <c r="AO88" i="115"/>
  <c r="AO12" i="115" s="1"/>
  <c r="AQ88" i="115"/>
  <c r="AQ12" i="115" s="1"/>
  <c r="B34" i="115"/>
  <c r="C33" i="115"/>
  <c r="C34" i="115"/>
  <c r="D33" i="115"/>
  <c r="D34" i="115"/>
  <c r="B33" i="115"/>
  <c r="D35" i="115"/>
  <c r="AJ29" i="115"/>
  <c r="I260" i="124"/>
  <c r="B35" i="115"/>
  <c r="I326" i="124"/>
  <c r="H66" i="116" l="1"/>
  <c r="H67" i="116" s="1"/>
  <c r="H68" i="116" s="1"/>
  <c r="C71" i="116"/>
  <c r="I47" i="116" s="1"/>
  <c r="AJ57" i="116"/>
  <c r="AJ9" i="116" s="1"/>
  <c r="AJ5" i="116" s="1"/>
  <c r="M74" i="116"/>
  <c r="D335" i="124" s="1"/>
  <c r="AQ6" i="116"/>
  <c r="D48" i="116" s="1"/>
  <c r="AP7" i="116"/>
  <c r="C49" i="116" s="1"/>
  <c r="AN5" i="116"/>
  <c r="AO7" i="116"/>
  <c r="B49" i="116" s="1"/>
  <c r="AO8" i="116"/>
  <c r="B50" i="116" s="1"/>
  <c r="AP8" i="116"/>
  <c r="C50" i="116" s="1"/>
  <c r="AP6" i="116"/>
  <c r="C48" i="116" s="1"/>
  <c r="AO6" i="116"/>
  <c r="B48" i="116" s="1"/>
  <c r="AQ7" i="116"/>
  <c r="D49" i="116" s="1"/>
  <c r="AQ8" i="116"/>
  <c r="D50" i="116" s="1"/>
  <c r="C320" i="124"/>
  <c r="C361" i="124"/>
  <c r="D493" i="124"/>
  <c r="D149" i="124" s="1"/>
  <c r="D492" i="124"/>
  <c r="D148" i="124" s="1"/>
  <c r="C493" i="124"/>
  <c r="C149" i="124" s="1"/>
  <c r="C494" i="124"/>
  <c r="C150" i="124" s="1"/>
  <c r="B493" i="124"/>
  <c r="B149" i="124" s="1"/>
  <c r="B494" i="124"/>
  <c r="B150" i="124" s="1"/>
  <c r="E109" i="124"/>
  <c r="A113" i="124"/>
  <c r="C271" i="124" s="1"/>
  <c r="E107" i="124"/>
  <c r="A491" i="124"/>
  <c r="B492" i="124"/>
  <c r="B148" i="124" s="1"/>
  <c r="D494" i="124"/>
  <c r="D150" i="124" s="1"/>
  <c r="C492" i="124"/>
  <c r="C148" i="124" s="1"/>
  <c r="I323" i="124"/>
  <c r="AJ9" i="115"/>
  <c r="AJ5" i="115" s="1"/>
  <c r="C71" i="115"/>
  <c r="I47" i="115" s="1"/>
  <c r="M74" i="115"/>
  <c r="I335" i="124" s="1"/>
  <c r="I266" i="124"/>
  <c r="AO6" i="115"/>
  <c r="B48" i="115" s="1"/>
  <c r="AQ8" i="115"/>
  <c r="D50" i="115" s="1"/>
  <c r="AP8" i="115"/>
  <c r="C50" i="115" s="1"/>
  <c r="I296" i="124"/>
  <c r="AQ7" i="115"/>
  <c r="D49" i="115" s="1"/>
  <c r="AP6" i="115"/>
  <c r="C48" i="115" s="1"/>
  <c r="AO7" i="115"/>
  <c r="B49" i="115" s="1"/>
  <c r="AP7" i="115"/>
  <c r="C49" i="115" s="1"/>
  <c r="AQ6" i="115"/>
  <c r="D48" i="115" s="1"/>
  <c r="AN5" i="115"/>
  <c r="AO8" i="115"/>
  <c r="B50" i="115" s="1"/>
  <c r="H67" i="115"/>
  <c r="I272" i="124" l="1"/>
  <c r="D296" i="124"/>
  <c r="D272" i="124"/>
  <c r="H69" i="116"/>
  <c r="D299" i="124" s="1"/>
  <c r="R58" i="116"/>
  <c r="R60" i="116" s="1"/>
  <c r="D11" i="116"/>
  <c r="AO2" i="116"/>
  <c r="AP4" i="116"/>
  <c r="AO3" i="116"/>
  <c r="AQ3" i="116"/>
  <c r="AO4" i="116"/>
  <c r="AP2" i="116"/>
  <c r="AQ4" i="116"/>
  <c r="AP3" i="116"/>
  <c r="AQ2" i="116"/>
  <c r="B11" i="116"/>
  <c r="C11" i="116"/>
  <c r="A458" i="124"/>
  <c r="C266" i="124"/>
  <c r="C488" i="124"/>
  <c r="B490" i="124"/>
  <c r="D490" i="124"/>
  <c r="B488" i="124"/>
  <c r="B489" i="124"/>
  <c r="D111" i="124"/>
  <c r="C111" i="124"/>
  <c r="B111" i="124"/>
  <c r="D489" i="124"/>
  <c r="C490" i="124"/>
  <c r="C489" i="124"/>
  <c r="D488" i="124"/>
  <c r="H69" i="115"/>
  <c r="I299" i="124" s="1"/>
  <c r="R58" i="115"/>
  <c r="I353" i="124" s="1"/>
  <c r="D297" i="124"/>
  <c r="AQ2" i="115"/>
  <c r="B11" i="115"/>
  <c r="D11" i="115"/>
  <c r="AP3" i="115"/>
  <c r="AO3" i="115"/>
  <c r="AO2" i="115"/>
  <c r="AO4" i="115"/>
  <c r="AQ3" i="115"/>
  <c r="AP4" i="115"/>
  <c r="H68" i="115"/>
  <c r="AQ4" i="115"/>
  <c r="C11" i="115"/>
  <c r="AP2" i="115"/>
  <c r="I297" i="124"/>
  <c r="H72" i="116" l="1"/>
  <c r="D353" i="124"/>
  <c r="R84" i="116"/>
  <c r="D379" i="124" s="1"/>
  <c r="AN1" i="116"/>
  <c r="E49" i="116" s="1"/>
  <c r="A438" i="124"/>
  <c r="A390" i="124" s="1"/>
  <c r="A386" i="124" s="1"/>
  <c r="C272" i="124"/>
  <c r="D198" i="124" s="1"/>
  <c r="A487" i="124"/>
  <c r="R60" i="115"/>
  <c r="I355" i="124" s="1"/>
  <c r="R84" i="115"/>
  <c r="I379" i="124" s="1"/>
  <c r="D298" i="124"/>
  <c r="D355" i="124"/>
  <c r="H72" i="115"/>
  <c r="I302" i="124" s="1"/>
  <c r="I298" i="124"/>
  <c r="AN1" i="115"/>
  <c r="E50" i="115" s="1"/>
  <c r="D302" i="124" l="1"/>
  <c r="E50" i="116"/>
  <c r="E48" i="116" s="1"/>
  <c r="M66" i="116"/>
  <c r="D327" i="124" s="1"/>
  <c r="R85" i="116"/>
  <c r="D380" i="124" s="1"/>
  <c r="C299" i="124"/>
  <c r="E149" i="124"/>
  <c r="E150" i="124"/>
  <c r="R85" i="115"/>
  <c r="I380" i="124" s="1"/>
  <c r="M66" i="115"/>
  <c r="I327" i="124" s="1"/>
  <c r="E49" i="115"/>
  <c r="E48" i="115" s="1"/>
  <c r="M76" i="116" l="1"/>
  <c r="D337" i="124" s="1"/>
  <c r="M68" i="116"/>
  <c r="D329" i="124" s="1"/>
  <c r="M75" i="116"/>
  <c r="D336" i="124" s="1"/>
  <c r="E148" i="124"/>
  <c r="M68" i="115"/>
  <c r="I329" i="124" s="1"/>
  <c r="M75" i="115"/>
  <c r="M76" i="115"/>
  <c r="I337" i="124" s="1"/>
  <c r="M70" i="116" l="1"/>
  <c r="D331" i="124" s="1"/>
  <c r="H74" i="116"/>
  <c r="H75" i="116" s="1"/>
  <c r="M70" i="115"/>
  <c r="I331" i="124" s="1"/>
  <c r="H74" i="115"/>
  <c r="H75" i="115" s="1"/>
  <c r="C74" i="115" s="1"/>
  <c r="I336" i="124"/>
  <c r="C76" i="115" l="1"/>
  <c r="I277" i="124" s="1"/>
  <c r="M73" i="115"/>
  <c r="R73" i="116"/>
  <c r="D368" i="124" s="1"/>
  <c r="C74" i="116"/>
  <c r="D304" i="124"/>
  <c r="I304" i="124"/>
  <c r="I305" i="124"/>
  <c r="I275" i="124"/>
  <c r="R73" i="115"/>
  <c r="H76" i="115" l="1"/>
  <c r="I334" i="124"/>
  <c r="M77" i="115"/>
  <c r="R74" i="116"/>
  <c r="D369" i="124" s="1"/>
  <c r="D305" i="124"/>
  <c r="I368" i="124"/>
  <c r="R74" i="115"/>
  <c r="D275" i="124"/>
  <c r="M73" i="116"/>
  <c r="C76" i="116"/>
  <c r="I338" i="124" l="1"/>
  <c r="M80" i="115"/>
  <c r="H18" i="54" s="1"/>
  <c r="H17" i="54" s="1"/>
  <c r="H15" i="54" s="1"/>
  <c r="I306" i="124"/>
  <c r="H77" i="115"/>
  <c r="R76" i="116"/>
  <c r="R78" i="116" s="1"/>
  <c r="I369" i="124"/>
  <c r="R76" i="115"/>
  <c r="D277" i="124"/>
  <c r="D334" i="124"/>
  <c r="H76" i="116"/>
  <c r="M77" i="116"/>
  <c r="O66" i="115" l="1"/>
  <c r="I341" i="124"/>
  <c r="I307" i="124"/>
  <c r="H78" i="115"/>
  <c r="I308" i="124" s="1"/>
  <c r="H81" i="115"/>
  <c r="D371" i="124"/>
  <c r="R78" i="115"/>
  <c r="I373" i="124" s="1"/>
  <c r="I371" i="124"/>
  <c r="D373" i="124"/>
  <c r="M80" i="116"/>
  <c r="G18" i="54" s="1"/>
  <c r="G17" i="54" s="1"/>
  <c r="G15" i="54" s="1"/>
  <c r="D306" i="124"/>
  <c r="H77" i="116"/>
  <c r="H81" i="116" s="1"/>
  <c r="D338" i="124"/>
  <c r="H83" i="115" l="1"/>
  <c r="I311" i="124"/>
  <c r="F28" i="115"/>
  <c r="F36" i="115" s="1"/>
  <c r="D341" i="124"/>
  <c r="O66" i="116"/>
  <c r="D307" i="124"/>
  <c r="H83" i="116"/>
  <c r="H78" i="116"/>
  <c r="I313" i="124" l="1"/>
  <c r="M85" i="115"/>
  <c r="D308" i="124"/>
  <c r="D311" i="124"/>
  <c r="F28" i="116"/>
  <c r="F36" i="116" s="1"/>
  <c r="I346" i="124" l="1"/>
  <c r="M86" i="115"/>
  <c r="I347" i="124" s="1"/>
  <c r="M85" i="116"/>
  <c r="D313" i="124"/>
  <c r="D346" i="124" l="1"/>
  <c r="M86" i="116"/>
  <c r="D347" i="124" l="1"/>
  <c r="H3" i="124" l="1"/>
  <c r="H4" i="124"/>
  <c r="F3" i="124"/>
  <c r="F98" i="124" s="1"/>
  <c r="F4" i="124"/>
  <c r="F99" i="124" s="1"/>
  <c r="H2" i="124"/>
  <c r="F216" i="124" l="1"/>
  <c r="K216" i="124" s="1"/>
  <c r="K231" i="124" s="1"/>
  <c r="H98" i="124"/>
  <c r="H215" i="124" s="1"/>
  <c r="I2" i="124"/>
  <c r="H97" i="124"/>
  <c r="H214" i="124" s="1"/>
  <c r="F215" i="124"/>
  <c r="H99" i="124"/>
  <c r="H216" i="124" s="1"/>
  <c r="H230" i="124" l="1"/>
  <c r="H225" i="124" s="1"/>
  <c r="M215" i="124"/>
  <c r="R215" i="124" s="1"/>
  <c r="I206" i="124"/>
  <c r="F231" i="124"/>
  <c r="F226" i="124" s="1"/>
  <c r="P216" i="124"/>
  <c r="P231" i="124" s="1"/>
  <c r="I204" i="124"/>
  <c r="H229" i="124"/>
  <c r="H224" i="124" s="1"/>
  <c r="I224" i="124" s="1"/>
  <c r="H207" i="124"/>
  <c r="M214" i="124"/>
  <c r="F207" i="124"/>
  <c r="I205" i="124"/>
  <c r="F230" i="124"/>
  <c r="F225" i="124" s="1"/>
  <c r="H285" i="124"/>
  <c r="K215" i="124"/>
  <c r="I97" i="124"/>
  <c r="H231" i="124"/>
  <c r="H226" i="124" s="1"/>
  <c r="M216" i="124"/>
  <c r="M230" i="124" l="1"/>
  <c r="I225" i="124"/>
  <c r="H103" i="124" s="1"/>
  <c r="U216" i="124"/>
  <c r="U231" i="124" s="1"/>
  <c r="I226" i="124"/>
  <c r="I104" i="124" s="1"/>
  <c r="I102" i="124"/>
  <c r="H102" i="124"/>
  <c r="G102" i="124"/>
  <c r="M229" i="124"/>
  <c r="R214" i="124"/>
  <c r="W215" i="124"/>
  <c r="W230" i="124" s="1"/>
  <c r="R230" i="124"/>
  <c r="M285" i="124"/>
  <c r="K230" i="124"/>
  <c r="P215" i="124"/>
  <c r="R216" i="124"/>
  <c r="M231" i="124"/>
  <c r="G103" i="124" l="1"/>
  <c r="F240" i="124" s="1"/>
  <c r="I103" i="124"/>
  <c r="G104" i="124"/>
  <c r="H104" i="124"/>
  <c r="H105" i="124" s="1"/>
  <c r="H580" i="124" s="1"/>
  <c r="H239" i="124"/>
  <c r="G240" i="124"/>
  <c r="W216" i="124"/>
  <c r="R231" i="124"/>
  <c r="P230" i="124"/>
  <c r="R285" i="124"/>
  <c r="U215" i="124"/>
  <c r="R229" i="124"/>
  <c r="W214" i="124"/>
  <c r="J102" i="124"/>
  <c r="F239" i="124"/>
  <c r="H241" i="124"/>
  <c r="G239" i="124"/>
  <c r="G105" i="124" l="1"/>
  <c r="G570" i="124" s="1"/>
  <c r="J103" i="124"/>
  <c r="F525" i="124" s="1"/>
  <c r="F497" i="124" s="1"/>
  <c r="I105" i="124"/>
  <c r="I568" i="124" s="1"/>
  <c r="H240" i="124"/>
  <c r="M210" i="124" s="1"/>
  <c r="G241" i="124"/>
  <c r="L206" i="124" s="1"/>
  <c r="L226" i="124" s="1"/>
  <c r="F241" i="124"/>
  <c r="F221" i="124" s="1"/>
  <c r="J104" i="124"/>
  <c r="F526" i="124" s="1"/>
  <c r="F498" i="124" s="1"/>
  <c r="W231" i="124"/>
  <c r="U230" i="124"/>
  <c r="W285" i="124"/>
  <c r="H582" i="124"/>
  <c r="L210" i="124"/>
  <c r="G220" i="124"/>
  <c r="L205" i="124"/>
  <c r="K205" i="124"/>
  <c r="K210" i="124"/>
  <c r="F220" i="124"/>
  <c r="M204" i="124"/>
  <c r="M209" i="124"/>
  <c r="H219" i="124"/>
  <c r="H581" i="124"/>
  <c r="H109" i="124"/>
  <c r="H570" i="124"/>
  <c r="H569" i="124"/>
  <c r="G219" i="124"/>
  <c r="L204" i="124"/>
  <c r="L209" i="124"/>
  <c r="M206" i="124"/>
  <c r="M226" i="124" s="1"/>
  <c r="M211" i="124"/>
  <c r="H221" i="124"/>
  <c r="H568" i="124"/>
  <c r="I239" i="124"/>
  <c r="F219" i="124"/>
  <c r="K204" i="124"/>
  <c r="K209" i="124"/>
  <c r="W229" i="124"/>
  <c r="F524" i="124"/>
  <c r="F496" i="124" s="1"/>
  <c r="I240" i="124" l="1"/>
  <c r="M205" i="124"/>
  <c r="M207" i="124" s="1"/>
  <c r="H242" i="124"/>
  <c r="H220" i="124"/>
  <c r="I553" i="124" s="1"/>
  <c r="G582" i="124"/>
  <c r="G569" i="124"/>
  <c r="G580" i="124"/>
  <c r="G568" i="124"/>
  <c r="G109" i="124"/>
  <c r="Z155" i="124" s="1"/>
  <c r="AI155" i="124" s="1"/>
  <c r="G581" i="124"/>
  <c r="H295" i="124"/>
  <c r="H153" i="124"/>
  <c r="N162" i="124" s="1"/>
  <c r="N161" i="124" s="1"/>
  <c r="M161" i="124" s="1"/>
  <c r="I582" i="124"/>
  <c r="H166" i="124"/>
  <c r="I166" i="124" s="1"/>
  <c r="H294" i="124"/>
  <c r="F478" i="124" s="1"/>
  <c r="I109" i="124"/>
  <c r="N107" i="124" s="1"/>
  <c r="I580" i="124"/>
  <c r="I570" i="124"/>
  <c r="H183" i="124"/>
  <c r="I581" i="124"/>
  <c r="I569" i="124"/>
  <c r="H181" i="124"/>
  <c r="I181" i="124" s="1"/>
  <c r="K211" i="124"/>
  <c r="G242" i="124"/>
  <c r="G221" i="124"/>
  <c r="H258" i="124" s="1"/>
  <c r="K206" i="124"/>
  <c r="L211" i="124"/>
  <c r="F242" i="124"/>
  <c r="I241" i="124"/>
  <c r="L207" i="124"/>
  <c r="H553" i="124"/>
  <c r="H384" i="124"/>
  <c r="H513" i="124"/>
  <c r="H552" i="124"/>
  <c r="H383" i="124"/>
  <c r="H512" i="124"/>
  <c r="M107" i="124"/>
  <c r="AA155" i="124"/>
  <c r="AJ155" i="124" s="1"/>
  <c r="M224" i="124"/>
  <c r="L225" i="124"/>
  <c r="K224" i="124"/>
  <c r="Z285" i="124"/>
  <c r="I512" i="124"/>
  <c r="I383" i="124"/>
  <c r="I552" i="124"/>
  <c r="N204" i="124"/>
  <c r="I506" i="124"/>
  <c r="I554" i="124"/>
  <c r="I385" i="124"/>
  <c r="I510" i="124"/>
  <c r="G513" i="124"/>
  <c r="G553" i="124"/>
  <c r="G384" i="124"/>
  <c r="G510" i="124"/>
  <c r="G554" i="124"/>
  <c r="G385" i="124"/>
  <c r="G506" i="124"/>
  <c r="G383" i="124"/>
  <c r="G552" i="124"/>
  <c r="G512" i="124"/>
  <c r="K225" i="124"/>
  <c r="L224" i="124"/>
  <c r="O117" i="124" l="1"/>
  <c r="M225" i="124"/>
  <c r="N225" i="124" s="1"/>
  <c r="M103" i="124" s="1"/>
  <c r="N205" i="124"/>
  <c r="I513" i="124"/>
  <c r="H259" i="124"/>
  <c r="I384" i="124"/>
  <c r="L107" i="124"/>
  <c r="C185" i="124"/>
  <c r="I184" i="124" s="1"/>
  <c r="H291" i="124"/>
  <c r="H292" i="124"/>
  <c r="I577" i="124" s="1"/>
  <c r="I163" i="124"/>
  <c r="I153" i="124"/>
  <c r="I177" i="124"/>
  <c r="AB155" i="124"/>
  <c r="AK155" i="124" s="1"/>
  <c r="AL155" i="124" s="1"/>
  <c r="H324" i="124" s="1"/>
  <c r="H385" i="124"/>
  <c r="H286" i="124"/>
  <c r="H260" i="124" s="1"/>
  <c r="H554" i="124"/>
  <c r="H506" i="124"/>
  <c r="H268" i="124"/>
  <c r="H351" i="124"/>
  <c r="H510" i="124"/>
  <c r="H257" i="124"/>
  <c r="K226" i="124"/>
  <c r="N226" i="124" s="1"/>
  <c r="L104" i="124" s="1"/>
  <c r="O118" i="124"/>
  <c r="N206" i="124"/>
  <c r="K207" i="124"/>
  <c r="N224" i="124"/>
  <c r="O119" i="124" l="1"/>
  <c r="F470" i="124"/>
  <c r="F134" i="124"/>
  <c r="I178" i="124"/>
  <c r="H293" i="124" s="1"/>
  <c r="H578" i="124"/>
  <c r="H576" i="124"/>
  <c r="I578" i="124"/>
  <c r="H577" i="124"/>
  <c r="I576" i="124"/>
  <c r="G577" i="124"/>
  <c r="G578" i="124"/>
  <c r="G576" i="124"/>
  <c r="F382" i="124"/>
  <c r="F135" i="124"/>
  <c r="H326" i="124"/>
  <c r="F133" i="124"/>
  <c r="I132" i="124"/>
  <c r="I135" i="124" s="1"/>
  <c r="M104" i="124"/>
  <c r="N104" i="124"/>
  <c r="M241" i="124" s="1"/>
  <c r="L103" i="124"/>
  <c r="N103" i="124"/>
  <c r="M240" i="124" s="1"/>
  <c r="K241" i="124"/>
  <c r="L240" i="124"/>
  <c r="F410" i="124"/>
  <c r="H184" i="124"/>
  <c r="H182" i="124" s="1"/>
  <c r="M102" i="124"/>
  <c r="L102" i="124"/>
  <c r="N102" i="124"/>
  <c r="H574" i="124" l="1"/>
  <c r="H498" i="124" s="1"/>
  <c r="H323" i="124"/>
  <c r="G572" i="124"/>
  <c r="G496" i="124" s="1"/>
  <c r="H572" i="124"/>
  <c r="H496" i="124" s="1"/>
  <c r="G573" i="124"/>
  <c r="G497" i="124" s="1"/>
  <c r="G574" i="124"/>
  <c r="G498" i="124" s="1"/>
  <c r="I574" i="124"/>
  <c r="I498" i="124" s="1"/>
  <c r="I572" i="124"/>
  <c r="I496" i="124" s="1"/>
  <c r="I573" i="124"/>
  <c r="I497" i="124" s="1"/>
  <c r="H573" i="124"/>
  <c r="H497" i="124" s="1"/>
  <c r="H134" i="124"/>
  <c r="I133" i="124"/>
  <c r="H133" i="124"/>
  <c r="H135" i="124"/>
  <c r="G133" i="124"/>
  <c r="G135" i="124"/>
  <c r="G134" i="124"/>
  <c r="I134" i="124"/>
  <c r="O104" i="124"/>
  <c r="K526" i="124" s="1"/>
  <c r="K498" i="124" s="1"/>
  <c r="L241" i="124"/>
  <c r="N241" i="124" s="1"/>
  <c r="O103" i="124"/>
  <c r="K525" i="124" s="1"/>
  <c r="K497" i="124" s="1"/>
  <c r="K240" i="124"/>
  <c r="K220" i="124" s="1"/>
  <c r="O102" i="124"/>
  <c r="K239" i="124"/>
  <c r="L105" i="124"/>
  <c r="R206" i="124"/>
  <c r="R226" i="124" s="1"/>
  <c r="R211" i="124"/>
  <c r="M221" i="124"/>
  <c r="R205" i="124"/>
  <c r="R210" i="124"/>
  <c r="M220" i="124"/>
  <c r="P206" i="124"/>
  <c r="P211" i="124"/>
  <c r="K221" i="124"/>
  <c r="J113" i="124"/>
  <c r="I113" i="124" s="1"/>
  <c r="M105" i="124"/>
  <c r="M580" i="124" s="1"/>
  <c r="L239" i="124"/>
  <c r="N105" i="124"/>
  <c r="M239" i="124"/>
  <c r="Q205" i="124"/>
  <c r="Q210" i="124"/>
  <c r="L220" i="124"/>
  <c r="I493" i="124" l="1"/>
  <c r="I149" i="124" s="1"/>
  <c r="I492" i="124"/>
  <c r="I148" i="124" s="1"/>
  <c r="G494" i="124"/>
  <c r="G150" i="124" s="1"/>
  <c r="H492" i="124"/>
  <c r="H148" i="124" s="1"/>
  <c r="H493" i="124"/>
  <c r="H149" i="124" s="1"/>
  <c r="I494" i="124"/>
  <c r="I150" i="124" s="1"/>
  <c r="G493" i="124"/>
  <c r="G149" i="124" s="1"/>
  <c r="F491" i="124"/>
  <c r="H494" i="124"/>
  <c r="H150" i="124" s="1"/>
  <c r="G492" i="124"/>
  <c r="G148" i="124" s="1"/>
  <c r="P205" i="124"/>
  <c r="S205" i="124" s="1"/>
  <c r="Q211" i="124"/>
  <c r="L221" i="124"/>
  <c r="M510" i="124" s="1"/>
  <c r="Q206" i="124"/>
  <c r="Q226" i="124" s="1"/>
  <c r="P210" i="124"/>
  <c r="N240" i="124"/>
  <c r="M181" i="124"/>
  <c r="N581" i="124"/>
  <c r="N582" i="124"/>
  <c r="N570" i="124"/>
  <c r="N569" i="124"/>
  <c r="K524" i="124"/>
  <c r="K496" i="124" s="1"/>
  <c r="M295" i="124"/>
  <c r="H318" i="124"/>
  <c r="H360" i="124"/>
  <c r="G113" i="124"/>
  <c r="H113" i="124"/>
  <c r="L553" i="124"/>
  <c r="L513" i="124"/>
  <c r="L384" i="124"/>
  <c r="M259" i="124"/>
  <c r="N554" i="124"/>
  <c r="N510" i="124"/>
  <c r="N385" i="124"/>
  <c r="N506" i="124"/>
  <c r="M294" i="124"/>
  <c r="M513" i="124"/>
  <c r="M553" i="124"/>
  <c r="M384" i="124"/>
  <c r="L568" i="124"/>
  <c r="N580" i="124"/>
  <c r="M568" i="124"/>
  <c r="L580" i="124"/>
  <c r="Q204" i="124"/>
  <c r="L242" i="124"/>
  <c r="Q209" i="124"/>
  <c r="L219" i="124"/>
  <c r="M153" i="124"/>
  <c r="L109" i="124"/>
  <c r="M242" i="124"/>
  <c r="R204" i="124"/>
  <c r="R207" i="124" s="1"/>
  <c r="R209" i="124"/>
  <c r="M219" i="124"/>
  <c r="N568" i="124"/>
  <c r="L554" i="124"/>
  <c r="L510" i="124"/>
  <c r="L385" i="124"/>
  <c r="L506" i="124"/>
  <c r="N384" i="124"/>
  <c r="N553" i="124"/>
  <c r="N513" i="124"/>
  <c r="M183" i="124"/>
  <c r="L581" i="124"/>
  <c r="L570" i="124"/>
  <c r="L582" i="124"/>
  <c r="L569" i="124"/>
  <c r="M166" i="124"/>
  <c r="M581" i="124"/>
  <c r="M570" i="124"/>
  <c r="M569" i="124"/>
  <c r="M582" i="124"/>
  <c r="R225" i="124"/>
  <c r="Q225" i="124"/>
  <c r="N109" i="124"/>
  <c r="M109" i="124"/>
  <c r="P226" i="124"/>
  <c r="N239" i="124"/>
  <c r="K242" i="124"/>
  <c r="P204" i="124"/>
  <c r="P209" i="124"/>
  <c r="K219" i="124"/>
  <c r="N181" i="124" l="1"/>
  <c r="C186" i="124"/>
  <c r="H111" i="124"/>
  <c r="G488" i="124"/>
  <c r="I111" i="124"/>
  <c r="H488" i="124"/>
  <c r="G490" i="124"/>
  <c r="I488" i="124"/>
  <c r="G489" i="124"/>
  <c r="I489" i="124"/>
  <c r="H490" i="124"/>
  <c r="G111" i="124"/>
  <c r="H489" i="124"/>
  <c r="I490" i="124"/>
  <c r="P225" i="124"/>
  <c r="S225" i="124" s="1"/>
  <c r="M554" i="124"/>
  <c r="M506" i="124"/>
  <c r="M258" i="124"/>
  <c r="M385" i="124"/>
  <c r="S226" i="124"/>
  <c r="R104" i="124" s="1"/>
  <c r="S206" i="124"/>
  <c r="M257" i="124"/>
  <c r="Q207" i="124"/>
  <c r="R224" i="124"/>
  <c r="K478" i="124"/>
  <c r="J109" i="124"/>
  <c r="J107" i="124"/>
  <c r="F113" i="124"/>
  <c r="H271" i="124" s="1"/>
  <c r="L383" i="124"/>
  <c r="M268" i="124"/>
  <c r="M286" i="124"/>
  <c r="L552" i="124"/>
  <c r="L512" i="124"/>
  <c r="M351" i="124"/>
  <c r="R107" i="124"/>
  <c r="AA156" i="124"/>
  <c r="AJ156" i="124" s="1"/>
  <c r="AB156" i="124"/>
  <c r="AK156" i="124" s="1"/>
  <c r="S107" i="124"/>
  <c r="M383" i="124"/>
  <c r="M552" i="124"/>
  <c r="M512" i="124"/>
  <c r="H361" i="124"/>
  <c r="Q224" i="124"/>
  <c r="H320" i="124"/>
  <c r="T118" i="124"/>
  <c r="T117" i="124"/>
  <c r="S204" i="124"/>
  <c r="P207" i="124"/>
  <c r="S162" i="124"/>
  <c r="S161" i="124" s="1"/>
  <c r="R161" i="124" s="1"/>
  <c r="M291" i="124"/>
  <c r="N163" i="124"/>
  <c r="M292" i="124"/>
  <c r="M578" i="124" s="1"/>
  <c r="N153" i="124"/>
  <c r="P224" i="124"/>
  <c r="N177" i="124"/>
  <c r="N166" i="124"/>
  <c r="N552" i="124"/>
  <c r="N383" i="124"/>
  <c r="N512" i="124"/>
  <c r="Z156" i="124"/>
  <c r="AI156" i="124" s="1"/>
  <c r="Q107" i="124"/>
  <c r="F487" i="124" l="1"/>
  <c r="J149" i="124" s="1"/>
  <c r="K470" i="124"/>
  <c r="Q104" i="124"/>
  <c r="P241" i="124" s="1"/>
  <c r="S104" i="124"/>
  <c r="R241" i="124" s="1"/>
  <c r="AL156" i="124"/>
  <c r="M324" i="124" s="1"/>
  <c r="K134" i="124"/>
  <c r="T119" i="124"/>
  <c r="H266" i="124"/>
  <c r="F438" i="124" s="1"/>
  <c r="S224" i="124"/>
  <c r="R102" i="124" s="1"/>
  <c r="N178" i="124"/>
  <c r="M293" i="124" s="1"/>
  <c r="F458" i="124"/>
  <c r="N577" i="124"/>
  <c r="M577" i="124"/>
  <c r="I185" i="124"/>
  <c r="H185" i="124" s="1"/>
  <c r="C325" i="124"/>
  <c r="C290" i="124"/>
  <c r="K133" i="124"/>
  <c r="K382" i="124"/>
  <c r="N576" i="124"/>
  <c r="N578" i="124"/>
  <c r="K135" i="124"/>
  <c r="R103" i="124"/>
  <c r="Q103" i="124"/>
  <c r="S103" i="124"/>
  <c r="L577" i="124"/>
  <c r="Q241" i="124"/>
  <c r="N132" i="124"/>
  <c r="N135" i="124" s="1"/>
  <c r="M260" i="124"/>
  <c r="M326" i="124"/>
  <c r="L578" i="124"/>
  <c r="L576" i="124"/>
  <c r="M576" i="124"/>
  <c r="T104" i="124" l="1"/>
  <c r="P526" i="124" s="1"/>
  <c r="P498" i="124" s="1"/>
  <c r="Q102" i="124"/>
  <c r="P239" i="124" s="1"/>
  <c r="S102" i="124"/>
  <c r="R239" i="124" s="1"/>
  <c r="L574" i="124"/>
  <c r="L498" i="124" s="1"/>
  <c r="N574" i="124"/>
  <c r="N498" i="124" s="1"/>
  <c r="M574" i="124"/>
  <c r="M498" i="124" s="1"/>
  <c r="N572" i="124"/>
  <c r="N496" i="124" s="1"/>
  <c r="M572" i="124"/>
  <c r="M496" i="124" s="1"/>
  <c r="M573" i="124"/>
  <c r="M497" i="124" s="1"/>
  <c r="L573" i="124"/>
  <c r="L497" i="124" s="1"/>
  <c r="N573" i="124"/>
  <c r="N497" i="124" s="1"/>
  <c r="L572" i="124"/>
  <c r="L496" i="124" s="1"/>
  <c r="M323" i="124"/>
  <c r="Q240" i="124"/>
  <c r="K410" i="124"/>
  <c r="C335" i="124"/>
  <c r="C353" i="124" s="1"/>
  <c r="V206" i="124"/>
  <c r="V226" i="124" s="1"/>
  <c r="V211" i="124"/>
  <c r="Q221" i="124"/>
  <c r="L134" i="124"/>
  <c r="N133" i="124"/>
  <c r="R240" i="124"/>
  <c r="U206" i="124"/>
  <c r="S241" i="124"/>
  <c r="U211" i="124"/>
  <c r="P221" i="124"/>
  <c r="M134" i="124"/>
  <c r="C296" i="124"/>
  <c r="C297" i="124" s="1"/>
  <c r="T103" i="124"/>
  <c r="P525" i="124" s="1"/>
  <c r="P497" i="124" s="1"/>
  <c r="P240" i="124"/>
  <c r="N184" i="124"/>
  <c r="L133" i="124"/>
  <c r="M133" i="124"/>
  <c r="L135" i="124"/>
  <c r="N134" i="124"/>
  <c r="R105" i="124"/>
  <c r="R109" i="124" s="1"/>
  <c r="Q239" i="124"/>
  <c r="W206" i="124"/>
  <c r="W226" i="124" s="1"/>
  <c r="W211" i="124"/>
  <c r="R221" i="124"/>
  <c r="M135" i="124"/>
  <c r="S105" i="124" l="1"/>
  <c r="S580" i="124" s="1"/>
  <c r="T102" i="124"/>
  <c r="R295" i="124" s="1"/>
  <c r="Q105" i="124"/>
  <c r="Q109" i="124" s="1"/>
  <c r="V107" i="124" s="1"/>
  <c r="AA157" i="124"/>
  <c r="AJ157" i="124" s="1"/>
  <c r="W107" i="124"/>
  <c r="L493" i="124"/>
  <c r="L149" i="124" s="1"/>
  <c r="H288" i="124"/>
  <c r="H199" i="124"/>
  <c r="H282" i="124" s="1"/>
  <c r="W205" i="124"/>
  <c r="W210" i="124"/>
  <c r="R220" i="124"/>
  <c r="V205" i="124"/>
  <c r="V210" i="124"/>
  <c r="Q220" i="124"/>
  <c r="M493" i="124"/>
  <c r="M149" i="124" s="1"/>
  <c r="C298" i="124"/>
  <c r="R570" i="124"/>
  <c r="R582" i="124"/>
  <c r="C379" i="124"/>
  <c r="C355" i="124"/>
  <c r="R569" i="124"/>
  <c r="M492" i="124"/>
  <c r="M148" i="124" s="1"/>
  <c r="X206" i="124"/>
  <c r="U226" i="124"/>
  <c r="X226" i="124" s="1"/>
  <c r="S510" i="124"/>
  <c r="S554" i="124"/>
  <c r="S385" i="124"/>
  <c r="S506" i="124"/>
  <c r="R580" i="124"/>
  <c r="R568" i="124"/>
  <c r="M184" i="124"/>
  <c r="M182" i="124" s="1"/>
  <c r="R581" i="124"/>
  <c r="N492" i="124"/>
  <c r="N148" i="124" s="1"/>
  <c r="M494" i="124"/>
  <c r="M150" i="124" s="1"/>
  <c r="U205" i="124"/>
  <c r="S240" i="124"/>
  <c r="U210" i="124"/>
  <c r="P220" i="124"/>
  <c r="Q510" i="124"/>
  <c r="Q554" i="124"/>
  <c r="R258" i="124"/>
  <c r="Q385" i="124"/>
  <c r="R257" i="124"/>
  <c r="Q506" i="124"/>
  <c r="N494" i="124"/>
  <c r="N150" i="124" s="1"/>
  <c r="R554" i="124"/>
  <c r="R385" i="124"/>
  <c r="R510" i="124"/>
  <c r="R506" i="124"/>
  <c r="L492" i="124"/>
  <c r="L148" i="124" s="1"/>
  <c r="K491" i="124"/>
  <c r="L494" i="124"/>
  <c r="L150" i="124" s="1"/>
  <c r="Q242" i="124"/>
  <c r="V204" i="124"/>
  <c r="V209" i="124"/>
  <c r="Q219" i="124"/>
  <c r="R242" i="124"/>
  <c r="W204" i="124"/>
  <c r="W209" i="124"/>
  <c r="R219" i="124"/>
  <c r="S239" i="124"/>
  <c r="P242" i="124"/>
  <c r="U204" i="124"/>
  <c r="U209" i="124"/>
  <c r="P219" i="124"/>
  <c r="N493" i="124"/>
  <c r="N149" i="124" s="1"/>
  <c r="S109" i="124" l="1"/>
  <c r="X107" i="124" s="1"/>
  <c r="S581" i="124"/>
  <c r="S569" i="124"/>
  <c r="S570" i="124"/>
  <c r="S582" i="124"/>
  <c r="S568" i="124"/>
  <c r="V207" i="124"/>
  <c r="R294" i="124"/>
  <c r="P478" i="124" s="1"/>
  <c r="Q581" i="124"/>
  <c r="R153" i="124"/>
  <c r="R292" i="124" s="1"/>
  <c r="R577" i="124" s="1"/>
  <c r="R166" i="124"/>
  <c r="S166" i="124" s="1"/>
  <c r="Q580" i="124"/>
  <c r="R181" i="124"/>
  <c r="S181" i="124" s="1"/>
  <c r="Q568" i="124"/>
  <c r="P524" i="124"/>
  <c r="P496" i="124" s="1"/>
  <c r="Q569" i="124"/>
  <c r="R183" i="124"/>
  <c r="Q582" i="124"/>
  <c r="Q570" i="124"/>
  <c r="Z157" i="124"/>
  <c r="AI157" i="124" s="1"/>
  <c r="M489" i="124"/>
  <c r="O113" i="124"/>
  <c r="N113" i="124" s="1"/>
  <c r="Q552" i="124"/>
  <c r="R268" i="124"/>
  <c r="Q383" i="124"/>
  <c r="R286" i="124"/>
  <c r="R351" i="124"/>
  <c r="Q512" i="124"/>
  <c r="U224" i="124"/>
  <c r="W207" i="124"/>
  <c r="L488" i="124"/>
  <c r="M488" i="124"/>
  <c r="Q384" i="124"/>
  <c r="Q553" i="124"/>
  <c r="Q513" i="124"/>
  <c r="R259" i="124"/>
  <c r="S553" i="124"/>
  <c r="S384" i="124"/>
  <c r="S513" i="124"/>
  <c r="W224" i="124"/>
  <c r="L111" i="124"/>
  <c r="M111" i="124"/>
  <c r="N111" i="124"/>
  <c r="V225" i="124"/>
  <c r="X204" i="124"/>
  <c r="Y118" i="124"/>
  <c r="Y117" i="124"/>
  <c r="U207" i="124"/>
  <c r="R383" i="124"/>
  <c r="R552" i="124"/>
  <c r="R512" i="124"/>
  <c r="N490" i="124"/>
  <c r="U225" i="124"/>
  <c r="N488" i="124"/>
  <c r="W225" i="124"/>
  <c r="L489" i="124"/>
  <c r="W104" i="124"/>
  <c r="X104" i="124"/>
  <c r="V104" i="124"/>
  <c r="C327" i="124"/>
  <c r="C380" i="124"/>
  <c r="N489" i="124"/>
  <c r="X205" i="124"/>
  <c r="C302" i="124"/>
  <c r="V224" i="124"/>
  <c r="H269" i="124"/>
  <c r="H281" i="124"/>
  <c r="S552" i="124"/>
  <c r="S512" i="124"/>
  <c r="S383" i="124"/>
  <c r="L490" i="124"/>
  <c r="M490" i="124"/>
  <c r="R553" i="124"/>
  <c r="R384" i="124"/>
  <c r="R513" i="124"/>
  <c r="AB157" i="124" l="1"/>
  <c r="AK157" i="124" s="1"/>
  <c r="AL157" i="124" s="1"/>
  <c r="R324" i="124" s="1"/>
  <c r="S177" i="124"/>
  <c r="P470" i="124"/>
  <c r="R291" i="124"/>
  <c r="S153" i="124"/>
  <c r="X162" i="124"/>
  <c r="X161" i="124" s="1"/>
  <c r="W161" i="124" s="1"/>
  <c r="S163" i="124"/>
  <c r="H186" i="124"/>
  <c r="N185" i="124" s="1"/>
  <c r="M185" i="124" s="1"/>
  <c r="P135" i="124"/>
  <c r="Y119" i="124"/>
  <c r="S178" i="124"/>
  <c r="S576" i="124"/>
  <c r="K487" i="124"/>
  <c r="W241" i="124"/>
  <c r="W221" i="124" s="1"/>
  <c r="R576" i="124"/>
  <c r="V241" i="124"/>
  <c r="V221" i="124" s="1"/>
  <c r="S577" i="124"/>
  <c r="S578" i="124"/>
  <c r="P134" i="124"/>
  <c r="X224" i="124"/>
  <c r="R578" i="124"/>
  <c r="S132" i="124"/>
  <c r="R133" i="124" s="1"/>
  <c r="R260" i="124"/>
  <c r="R326" i="124"/>
  <c r="H300" i="124"/>
  <c r="Q578" i="124"/>
  <c r="P133" i="124"/>
  <c r="P382" i="124"/>
  <c r="M360" i="124"/>
  <c r="M318" i="124"/>
  <c r="M113" i="124"/>
  <c r="L113" i="124"/>
  <c r="U241" i="124"/>
  <c r="Y104" i="124"/>
  <c r="U526" i="124" s="1"/>
  <c r="U498" i="124" s="1"/>
  <c r="C337" i="124"/>
  <c r="C336" i="124"/>
  <c r="Q577" i="124"/>
  <c r="Q576" i="124"/>
  <c r="F450" i="124"/>
  <c r="F390" i="124" s="1"/>
  <c r="F386" i="124" s="1"/>
  <c r="J150" i="124" s="1"/>
  <c r="J148" i="124" s="1"/>
  <c r="H272" i="124"/>
  <c r="C329" i="124"/>
  <c r="X225" i="124"/>
  <c r="R293" i="124" l="1"/>
  <c r="S574" i="124" s="1"/>
  <c r="S498" i="124" s="1"/>
  <c r="Q133" i="124"/>
  <c r="H325" i="124"/>
  <c r="H296" i="124" s="1"/>
  <c r="H290" i="124"/>
  <c r="H335" i="124" s="1"/>
  <c r="H353" i="124" s="1"/>
  <c r="R134" i="124"/>
  <c r="S134" i="124"/>
  <c r="R135" i="124"/>
  <c r="S133" i="124"/>
  <c r="S184" i="124"/>
  <c r="X241" i="124"/>
  <c r="U221" i="124"/>
  <c r="P410" i="124"/>
  <c r="M361" i="124"/>
  <c r="X554" i="124"/>
  <c r="X510" i="124"/>
  <c r="X385" i="124"/>
  <c r="X506" i="124"/>
  <c r="C304" i="124"/>
  <c r="Q135" i="124"/>
  <c r="S135" i="124"/>
  <c r="K113" i="124"/>
  <c r="M271" i="124" s="1"/>
  <c r="O107" i="124"/>
  <c r="O109" i="124"/>
  <c r="W102" i="124"/>
  <c r="X102" i="124"/>
  <c r="V102" i="124"/>
  <c r="W506" i="124"/>
  <c r="W554" i="124"/>
  <c r="W510" i="124"/>
  <c r="W385" i="124"/>
  <c r="O149" i="124"/>
  <c r="V103" i="124"/>
  <c r="X103" i="124"/>
  <c r="W103" i="124"/>
  <c r="C331" i="124"/>
  <c r="I198" i="124"/>
  <c r="H299" i="124"/>
  <c r="M320" i="124"/>
  <c r="H352" i="124"/>
  <c r="Q134" i="124"/>
  <c r="R574" i="124" l="1"/>
  <c r="R498" i="124" s="1"/>
  <c r="R323" i="124"/>
  <c r="Q574" i="124"/>
  <c r="Q498" i="124" s="1"/>
  <c r="R573" i="124"/>
  <c r="R497" i="124" s="1"/>
  <c r="R572" i="124"/>
  <c r="R496" i="124" s="1"/>
  <c r="Q573" i="124"/>
  <c r="Q497" i="124" s="1"/>
  <c r="S573" i="124"/>
  <c r="S497" i="124" s="1"/>
  <c r="Q572" i="124"/>
  <c r="Q496" i="124" s="1"/>
  <c r="S572" i="124"/>
  <c r="S496" i="124" s="1"/>
  <c r="H297" i="124"/>
  <c r="H298" i="124" s="1"/>
  <c r="M266" i="124"/>
  <c r="K438" i="124" s="1"/>
  <c r="K458" i="124"/>
  <c r="W240" i="124"/>
  <c r="W220" i="124" s="1"/>
  <c r="V105" i="124"/>
  <c r="V109" i="124" s="1"/>
  <c r="Z158" i="124" s="1"/>
  <c r="AI158" i="124" s="1"/>
  <c r="U239" i="124"/>
  <c r="Y102" i="124"/>
  <c r="C368" i="124"/>
  <c r="C305" i="124"/>
  <c r="U240" i="124"/>
  <c r="Y103" i="124"/>
  <c r="U525" i="124" s="1"/>
  <c r="U497" i="124" s="1"/>
  <c r="X105" i="124"/>
  <c r="X580" i="124" s="1"/>
  <c r="W239" i="124"/>
  <c r="V239" i="124"/>
  <c r="W105" i="124"/>
  <c r="W109" i="124" s="1"/>
  <c r="AA158" i="124" s="1"/>
  <c r="AJ158" i="124" s="1"/>
  <c r="V240" i="124"/>
  <c r="V220" i="124" s="1"/>
  <c r="V554" i="124"/>
  <c r="W258" i="124"/>
  <c r="Z258" i="124" s="1"/>
  <c r="V510" i="124"/>
  <c r="V385" i="124"/>
  <c r="V506" i="124"/>
  <c r="W257" i="124"/>
  <c r="R184" i="124"/>
  <c r="R182" i="124" s="1"/>
  <c r="M288" i="124"/>
  <c r="M199" i="124"/>
  <c r="M282" i="124" s="1"/>
  <c r="S492" i="124" l="1"/>
  <c r="S148" i="124" s="1"/>
  <c r="S494" i="124"/>
  <c r="S150" i="124" s="1"/>
  <c r="R493" i="124"/>
  <c r="R149" i="124" s="1"/>
  <c r="R494" i="124"/>
  <c r="R150" i="124" s="1"/>
  <c r="P491" i="124"/>
  <c r="S493" i="124"/>
  <c r="S149" i="124" s="1"/>
  <c r="Q494" i="124"/>
  <c r="Q150" i="124" s="1"/>
  <c r="Q492" i="124"/>
  <c r="Q148" i="124" s="1"/>
  <c r="Q493" i="124"/>
  <c r="Q149" i="124" s="1"/>
  <c r="R492" i="124"/>
  <c r="R148" i="124" s="1"/>
  <c r="W181" i="124"/>
  <c r="X181" i="124" s="1"/>
  <c r="W569" i="124"/>
  <c r="W581" i="124"/>
  <c r="W580" i="124"/>
  <c r="X568" i="124"/>
  <c r="X581" i="124"/>
  <c r="W568" i="124"/>
  <c r="W153" i="124"/>
  <c r="W292" i="124" s="1"/>
  <c r="T113" i="124"/>
  <c r="S113" i="124" s="1"/>
  <c r="V242" i="124"/>
  <c r="V219" i="124"/>
  <c r="H302" i="124"/>
  <c r="V569" i="124"/>
  <c r="C275" i="124"/>
  <c r="C334" i="124" s="1"/>
  <c r="X239" i="124"/>
  <c r="U242" i="124"/>
  <c r="U219" i="124"/>
  <c r="X569" i="124"/>
  <c r="W242" i="124"/>
  <c r="W219" i="124"/>
  <c r="V581" i="124"/>
  <c r="W166" i="124"/>
  <c r="X553" i="124"/>
  <c r="X384" i="124"/>
  <c r="X513" i="124"/>
  <c r="X109" i="124"/>
  <c r="AB158" i="124" s="1"/>
  <c r="AK158" i="124" s="1"/>
  <c r="AL158" i="124" s="1"/>
  <c r="W324" i="124" s="1"/>
  <c r="Z324" i="124" s="1"/>
  <c r="X240" i="124"/>
  <c r="U220" i="124"/>
  <c r="C369" i="124"/>
  <c r="W183" i="124"/>
  <c r="W553" i="124"/>
  <c r="W513" i="124"/>
  <c r="W384" i="124"/>
  <c r="V570" i="124"/>
  <c r="V582" i="124"/>
  <c r="M281" i="124"/>
  <c r="M269" i="124"/>
  <c r="X570" i="124"/>
  <c r="X582" i="124"/>
  <c r="U524" i="124"/>
  <c r="U496" i="124" s="1"/>
  <c r="W295" i="124"/>
  <c r="W294" i="124"/>
  <c r="Z257" i="124"/>
  <c r="W570" i="124"/>
  <c r="W582" i="124"/>
  <c r="V568" i="124"/>
  <c r="V580" i="124"/>
  <c r="H354" i="124" l="1"/>
  <c r="H355" i="124" s="1"/>
  <c r="C306" i="124"/>
  <c r="C307" i="124" s="1"/>
  <c r="C338" i="124"/>
  <c r="C341" i="124" s="1"/>
  <c r="E327" i="124" s="1"/>
  <c r="Q488" i="124"/>
  <c r="R490" i="124"/>
  <c r="Q489" i="124"/>
  <c r="R111" i="124"/>
  <c r="S111" i="124"/>
  <c r="S490" i="124"/>
  <c r="S489" i="124"/>
  <c r="S488" i="124"/>
  <c r="R488" i="124"/>
  <c r="Q111" i="124"/>
  <c r="Q490" i="124"/>
  <c r="R489" i="124"/>
  <c r="X153" i="124"/>
  <c r="W291" i="124"/>
  <c r="Z291" i="124" s="1"/>
  <c r="X163" i="124"/>
  <c r="U470" i="124"/>
  <c r="X576" i="124"/>
  <c r="X577" i="124"/>
  <c r="V577" i="124"/>
  <c r="X578" i="124"/>
  <c r="V576" i="124"/>
  <c r="W552" i="124"/>
  <c r="W383" i="124"/>
  <c r="W512" i="124"/>
  <c r="V578" i="124"/>
  <c r="V553" i="124"/>
  <c r="V513" i="124"/>
  <c r="V384" i="124"/>
  <c r="W259" i="124"/>
  <c r="W268" i="124"/>
  <c r="Z268" i="124" s="1"/>
  <c r="V552" i="124"/>
  <c r="V383" i="124"/>
  <c r="V512" i="124"/>
  <c r="W286" i="124"/>
  <c r="W351" i="124"/>
  <c r="R360" i="124"/>
  <c r="R318" i="124"/>
  <c r="Q113" i="124"/>
  <c r="R113" i="124"/>
  <c r="Z295" i="124"/>
  <c r="K450" i="124"/>
  <c r="K390" i="124" s="1"/>
  <c r="K386" i="124" s="1"/>
  <c r="O150" i="124" s="1"/>
  <c r="O148" i="124" s="1"/>
  <c r="M272" i="124"/>
  <c r="X178" i="124"/>
  <c r="Z292" i="124"/>
  <c r="M300" i="124"/>
  <c r="W577" i="124"/>
  <c r="X177" i="124"/>
  <c r="X166" i="124"/>
  <c r="W578" i="124"/>
  <c r="M186" i="124"/>
  <c r="C277" i="124"/>
  <c r="U478" i="124"/>
  <c r="Z294" i="124"/>
  <c r="X552" i="124"/>
  <c r="X512" i="124"/>
  <c r="X383" i="124"/>
  <c r="W576" i="124"/>
  <c r="C371" i="124"/>
  <c r="C311" i="124" l="1"/>
  <c r="C308" i="124"/>
  <c r="P487" i="124"/>
  <c r="T149" i="124" s="1"/>
  <c r="W293" i="124"/>
  <c r="X574" i="124" s="1"/>
  <c r="X498" i="124" s="1"/>
  <c r="R361" i="124"/>
  <c r="U382" i="124"/>
  <c r="U133" i="124"/>
  <c r="U135" i="124"/>
  <c r="M299" i="124"/>
  <c r="N198" i="124"/>
  <c r="S185" i="124"/>
  <c r="R185" i="124" s="1"/>
  <c r="M325" i="124"/>
  <c r="M290" i="124"/>
  <c r="M352" i="124"/>
  <c r="Z259" i="124"/>
  <c r="R320" i="124"/>
  <c r="H276" i="124"/>
  <c r="U134" i="124"/>
  <c r="P113" i="124"/>
  <c r="R271" i="124" s="1"/>
  <c r="T109" i="124"/>
  <c r="T107" i="124"/>
  <c r="Z351" i="124"/>
  <c r="C373" i="124"/>
  <c r="X132" i="124"/>
  <c r="W134" i="124" s="1"/>
  <c r="W260" i="124"/>
  <c r="Z286" i="124"/>
  <c r="W326" i="124"/>
  <c r="Z326" i="124" s="1"/>
  <c r="A179" i="124" l="1"/>
  <c r="A187" i="124" s="1"/>
  <c r="C313" i="124"/>
  <c r="R266" i="124"/>
  <c r="P438" i="124" s="1"/>
  <c r="W323" i="124"/>
  <c r="Z323" i="124" s="1"/>
  <c r="Z293" i="124"/>
  <c r="W574" i="124"/>
  <c r="W498" i="124" s="1"/>
  <c r="V572" i="124"/>
  <c r="V496" i="124" s="1"/>
  <c r="X572" i="124"/>
  <c r="X496" i="124" s="1"/>
  <c r="W573" i="124"/>
  <c r="W497" i="124" s="1"/>
  <c r="X573" i="124"/>
  <c r="X497" i="124" s="1"/>
  <c r="V574" i="124"/>
  <c r="V498" i="124" s="1"/>
  <c r="W572" i="124"/>
  <c r="W496" i="124" s="1"/>
  <c r="V573" i="124"/>
  <c r="V497" i="124" s="1"/>
  <c r="P458" i="124"/>
  <c r="M335" i="124"/>
  <c r="M353" i="124" s="1"/>
  <c r="M296" i="124"/>
  <c r="M297" i="124" s="1"/>
  <c r="V135" i="124"/>
  <c r="X135" i="124"/>
  <c r="X133" i="124"/>
  <c r="R325" i="124"/>
  <c r="X184" i="124"/>
  <c r="R290" i="124"/>
  <c r="V134" i="124"/>
  <c r="V133" i="124"/>
  <c r="H372" i="124"/>
  <c r="H379" i="124"/>
  <c r="U410" i="124"/>
  <c r="Z260" i="124"/>
  <c r="X134" i="124"/>
  <c r="W135" i="124"/>
  <c r="W133" i="124"/>
  <c r="H312" i="124" l="1"/>
  <c r="C346" i="124"/>
  <c r="C347" i="124" s="1"/>
  <c r="W493" i="124"/>
  <c r="W149" i="124" s="1"/>
  <c r="W494" i="124"/>
  <c r="W150" i="124" s="1"/>
  <c r="X493" i="124"/>
  <c r="X149" i="124" s="1"/>
  <c r="X492" i="124"/>
  <c r="X148" i="124" s="1"/>
  <c r="X494" i="124"/>
  <c r="X150" i="124" s="1"/>
  <c r="U491" i="124"/>
  <c r="V494" i="124"/>
  <c r="V150" i="124" s="1"/>
  <c r="W492" i="124"/>
  <c r="W148" i="124" s="1"/>
  <c r="V492" i="124"/>
  <c r="V148" i="124" s="1"/>
  <c r="V493" i="124"/>
  <c r="V149" i="124" s="1"/>
  <c r="R335" i="124"/>
  <c r="W184" i="124"/>
  <c r="W182" i="124" s="1"/>
  <c r="M298" i="124"/>
  <c r="R296" i="124"/>
  <c r="R288" i="124"/>
  <c r="R199" i="124"/>
  <c r="R282" i="124" s="1"/>
  <c r="H327" i="124"/>
  <c r="H380" i="124"/>
  <c r="X111" i="124" l="1"/>
  <c r="V488" i="124"/>
  <c r="V489" i="124"/>
  <c r="V490" i="124"/>
  <c r="W111" i="124"/>
  <c r="X488" i="124"/>
  <c r="X489" i="124"/>
  <c r="W488" i="124"/>
  <c r="W490" i="124"/>
  <c r="W489" i="124"/>
  <c r="V111" i="124"/>
  <c r="X490" i="124"/>
  <c r="W325" i="124"/>
  <c r="W290" i="124"/>
  <c r="Z290" i="124" s="1"/>
  <c r="Y113" i="124"/>
  <c r="X113" i="124" s="1"/>
  <c r="M302" i="124"/>
  <c r="R281" i="124"/>
  <c r="R269" i="124"/>
  <c r="H337" i="124"/>
  <c r="H336" i="124"/>
  <c r="R297" i="124"/>
  <c r="H329" i="124"/>
  <c r="W199" i="124"/>
  <c r="W282" i="124" s="1"/>
  <c r="Z282" i="124" s="1"/>
  <c r="W288" i="124"/>
  <c r="U487" i="124" l="1"/>
  <c r="Y149" i="124" s="1"/>
  <c r="R298" i="124"/>
  <c r="W360" i="124"/>
  <c r="W318" i="124"/>
  <c r="W113" i="124"/>
  <c r="V113" i="124"/>
  <c r="W296" i="124"/>
  <c r="Z296" i="124" s="1"/>
  <c r="Z325" i="124"/>
  <c r="H331" i="124"/>
  <c r="W281" i="124"/>
  <c r="W300" i="124" s="1"/>
  <c r="W352" i="124" s="1"/>
  <c r="W269" i="124"/>
  <c r="U450" i="124" s="1"/>
  <c r="H304" i="124"/>
  <c r="P450" i="124"/>
  <c r="P390" i="124" s="1"/>
  <c r="P386" i="124" s="1"/>
  <c r="T150" i="124" s="1"/>
  <c r="T148" i="124" s="1"/>
  <c r="R272" i="124"/>
  <c r="Z288" i="124"/>
  <c r="R300" i="124"/>
  <c r="W297" i="124" l="1"/>
  <c r="W298" i="124" s="1"/>
  <c r="Z298" i="124" s="1"/>
  <c r="Z281" i="124"/>
  <c r="W320" i="124"/>
  <c r="Z318" i="124"/>
  <c r="H368" i="124"/>
  <c r="H305" i="124"/>
  <c r="R352" i="124"/>
  <c r="Z300" i="124"/>
  <c r="Z269" i="124"/>
  <c r="Y109" i="124"/>
  <c r="Y107" i="124"/>
  <c r="U113" i="124"/>
  <c r="W271" i="124" s="1"/>
  <c r="W361" i="124"/>
  <c r="Z361" i="124" s="1"/>
  <c r="Z360" i="124"/>
  <c r="R299" i="124"/>
  <c r="S198" i="124"/>
  <c r="R353" i="124"/>
  <c r="W266" i="124" l="1"/>
  <c r="W335" i="124" s="1"/>
  <c r="Z297" i="124"/>
  <c r="U458" i="124"/>
  <c r="Z271" i="124"/>
  <c r="Z352" i="124"/>
  <c r="H369" i="124"/>
  <c r="R302" i="124"/>
  <c r="H275" i="124"/>
  <c r="H334" i="124" s="1"/>
  <c r="Z320" i="124"/>
  <c r="M354" i="124" l="1"/>
  <c r="M355" i="124" s="1"/>
  <c r="H306" i="124"/>
  <c r="H307" i="124" s="1"/>
  <c r="H338" i="124"/>
  <c r="H341" i="124" s="1"/>
  <c r="J327" i="124" s="1"/>
  <c r="U438" i="124"/>
  <c r="U390" i="124" s="1"/>
  <c r="U386" i="124" s="1"/>
  <c r="Y150" i="124" s="1"/>
  <c r="Y148" i="124" s="1"/>
  <c r="W272" i="124"/>
  <c r="W299" i="124" s="1"/>
  <c r="Z266" i="124"/>
  <c r="H371" i="124"/>
  <c r="H277" i="124"/>
  <c r="Z335" i="124"/>
  <c r="H311" i="124" l="1"/>
  <c r="H308" i="124"/>
  <c r="X198" i="124"/>
  <c r="AJ84" i="124" s="1"/>
  <c r="W353" i="124"/>
  <c r="Z353" i="124" s="1"/>
  <c r="Z272" i="124"/>
  <c r="W302" i="124"/>
  <c r="Z299" i="124"/>
  <c r="M276" i="124"/>
  <c r="H373" i="124"/>
  <c r="F179" i="124" l="1"/>
  <c r="F187" i="124" s="1"/>
  <c r="H313" i="124"/>
  <c r="Z302" i="124"/>
  <c r="M372" i="124"/>
  <c r="M379" i="124"/>
  <c r="H346" i="124" l="1"/>
  <c r="H347" i="124" s="1"/>
  <c r="M312" i="124"/>
  <c r="M327" i="124"/>
  <c r="M380" i="124"/>
  <c r="M337" i="124" l="1"/>
  <c r="M336" i="124"/>
  <c r="M329" i="124"/>
  <c r="M331" i="124" l="1"/>
  <c r="M304" i="124"/>
  <c r="M368" i="124" l="1"/>
  <c r="M305" i="124"/>
  <c r="M275" i="124" l="1"/>
  <c r="M369" i="124"/>
  <c r="M371" i="124" l="1"/>
  <c r="M277" i="124"/>
  <c r="M334" i="124"/>
  <c r="R354" i="124" s="1"/>
  <c r="R355" i="124" s="1"/>
  <c r="M338" i="124" l="1"/>
  <c r="M306" i="124"/>
  <c r="R276" i="124"/>
  <c r="M373" i="124"/>
  <c r="M341" i="124" l="1"/>
  <c r="R372" i="124"/>
  <c r="R379" i="124"/>
  <c r="M307" i="124"/>
  <c r="R380" i="124" l="1"/>
  <c r="R327" i="124"/>
  <c r="O327" i="124"/>
  <c r="M308" i="124"/>
  <c r="M311" i="124"/>
  <c r="R337" i="124" l="1"/>
  <c r="R336" i="124"/>
  <c r="R329" i="124"/>
  <c r="M313" i="124"/>
  <c r="K179" i="124"/>
  <c r="K187" i="124" s="1"/>
  <c r="R331" i="124" l="1"/>
  <c r="R304" i="124"/>
  <c r="R312" i="124"/>
  <c r="M346" i="124"/>
  <c r="M347" i="124" l="1"/>
  <c r="R368" i="124"/>
  <c r="R305" i="124"/>
  <c r="R275" i="124" l="1"/>
  <c r="R334" i="124" s="1"/>
  <c r="W354" i="124" s="1"/>
  <c r="R369" i="124"/>
  <c r="Z354" i="124" l="1"/>
  <c r="W355" i="124"/>
  <c r="Z355" i="124" s="1"/>
  <c r="R306" i="124"/>
  <c r="R338" i="124"/>
  <c r="R341" i="124" s="1"/>
  <c r="T327" i="124" s="1"/>
  <c r="R371" i="124"/>
  <c r="R277" i="124"/>
  <c r="R307" i="124" l="1"/>
  <c r="W276" i="124"/>
  <c r="Z276" i="124" s="1"/>
  <c r="R373" i="124"/>
  <c r="R311" i="124" l="1"/>
  <c r="R308" i="124"/>
  <c r="W372" i="124"/>
  <c r="Z372" i="124" s="1"/>
  <c r="W379" i="124"/>
  <c r="R313" i="124" l="1"/>
  <c r="P179" i="124"/>
  <c r="P187" i="124" s="1"/>
  <c r="W380" i="124"/>
  <c r="W327" i="124"/>
  <c r="Z379" i="124"/>
  <c r="W312" i="124" l="1"/>
  <c r="Z312" i="124" s="1"/>
  <c r="R346" i="124"/>
  <c r="R347" i="124" s="1"/>
  <c r="H38" i="54"/>
  <c r="W329" i="124"/>
  <c r="Z327" i="124"/>
  <c r="W337" i="124"/>
  <c r="Z337" i="124" s="1"/>
  <c r="W336" i="124"/>
  <c r="Z380" i="124"/>
  <c r="W304" i="124" l="1"/>
  <c r="Z336" i="124"/>
  <c r="W331" i="124"/>
  <c r="Z329" i="124"/>
  <c r="Z331" i="124" l="1"/>
  <c r="W368" i="124"/>
  <c r="W305" i="124"/>
  <c r="Z304" i="124"/>
  <c r="W275" i="124" l="1"/>
  <c r="W334" i="124" s="1"/>
  <c r="Z305" i="124"/>
  <c r="W369" i="124"/>
  <c r="Z368" i="124"/>
  <c r="Z334" i="124" l="1"/>
  <c r="W306" i="124"/>
  <c r="W338" i="124"/>
  <c r="W371" i="124"/>
  <c r="Z369" i="124"/>
  <c r="W277" i="124"/>
  <c r="Z277" i="124" s="1"/>
  <c r="Z275" i="124"/>
  <c r="Z338" i="124" l="1"/>
  <c r="W341" i="124"/>
  <c r="Z306" i="124"/>
  <c r="W307" i="124"/>
  <c r="W373" i="124"/>
  <c r="Z373" i="124" s="1"/>
  <c r="Z371" i="124"/>
  <c r="Y327" i="124" l="1"/>
  <c r="H39" i="54" s="1"/>
  <c r="H42" i="54" s="1"/>
  <c r="H43" i="54" s="1"/>
  <c r="H44" i="54" s="1"/>
  <c r="Z341" i="124"/>
  <c r="Z307" i="124"/>
  <c r="W311" i="124"/>
  <c r="W308" i="124"/>
  <c r="Z308" i="124" s="1"/>
  <c r="K252" i="124" l="1"/>
  <c r="K202" i="124"/>
  <c r="K151" i="124"/>
  <c r="K100" i="124"/>
  <c r="W313" i="124"/>
  <c r="U179" i="124"/>
  <c r="U187" i="124" s="1"/>
  <c r="Z311" i="124"/>
  <c r="W346" i="124" l="1"/>
  <c r="Z313" i="124"/>
  <c r="Z346" i="124" l="1"/>
  <c r="W347" i="124"/>
  <c r="Z347" i="124" s="1"/>
</calcChain>
</file>

<file path=xl/comments1.xml><?xml version="1.0" encoding="utf-8"?>
<comments xmlns="http://schemas.openxmlformats.org/spreadsheetml/2006/main">
  <authors>
    <author>Фомин Олег Игоревич</author>
    <author>Олег Игоревич</author>
    <author>Олег Фомин</author>
  </authors>
  <commentList>
    <comment ref="D1" authorId="0" shapeId="0">
      <text>
        <r>
          <rPr>
            <sz val="9"/>
            <color indexed="81"/>
            <rFont val="Tahoma"/>
            <family val="2"/>
            <charset val="204"/>
          </rPr>
          <t>0 - Only full load containers
1 - Allow to carry unfilled containers
2 - Actual production plan from management report</t>
        </r>
      </text>
    </comment>
    <comment ref="I6" authorId="1" shapeId="0">
      <text>
        <r>
          <rPr>
            <sz val="9"/>
            <color indexed="81"/>
            <rFont val="Tahoma"/>
            <family val="2"/>
            <charset val="204"/>
          </rPr>
          <t>Minimum hours for details.</t>
        </r>
      </text>
    </comment>
    <comment ref="E7" authorId="0" shapeId="0">
      <text>
        <r>
          <rPr>
            <sz val="9"/>
            <color indexed="81"/>
            <rFont val="Tahoma"/>
            <family val="2"/>
            <charset val="204"/>
          </rPr>
          <t>Space balance with components at the beginning of period.</t>
        </r>
      </text>
    </comment>
    <comment ref="H8" authorId="1" shapeId="0">
      <text>
        <r>
          <rPr>
            <sz val="9"/>
            <color indexed="81"/>
            <rFont val="Tahoma"/>
            <family val="2"/>
            <charset val="204"/>
          </rPr>
          <t>Buying machine - 300 000. Starts to work in next period.</t>
        </r>
      </text>
    </comment>
    <comment ref="E9" authorId="0" shapeId="0">
      <text>
        <r>
          <rPr>
            <sz val="9"/>
            <color indexed="81"/>
            <rFont val="Tahoma"/>
            <family val="2"/>
            <charset val="204"/>
          </rPr>
          <t>Space balance with components at the end of period.</t>
        </r>
      </text>
    </comment>
    <comment ref="H9" authorId="1" shapeId="0">
      <text>
        <r>
          <rPr>
            <sz val="9"/>
            <color indexed="81"/>
            <rFont val="Tahoma"/>
            <family val="2"/>
            <charset val="204"/>
          </rPr>
          <t>Machine sale tax 60,000.</t>
        </r>
      </text>
    </comment>
    <comment ref="I10" authorId="1" shapeId="0">
      <text>
        <r>
          <rPr>
            <sz val="9"/>
            <color indexed="81"/>
            <rFont val="Tahoma"/>
            <family val="2"/>
            <charset val="204"/>
          </rPr>
          <t>Forecast efficiency.</t>
        </r>
      </text>
    </comment>
    <comment ref="H11" authorId="1" shapeId="0">
      <text>
        <r>
          <rPr>
            <sz val="9"/>
            <color indexed="81"/>
            <rFont val="Tahoma"/>
            <family val="2"/>
            <charset val="204"/>
          </rPr>
          <t>For high wage rate is profitable fewer shifts. With wage rate 10.00 is no difference between 1 and 2 shifts.</t>
        </r>
      </text>
    </comment>
    <comment ref="I11" authorId="0" shapeId="0">
      <text>
        <r>
          <rPr>
            <sz val="9"/>
            <color indexed="81"/>
            <rFont val="Tahoma"/>
            <family val="2"/>
            <charset val="204"/>
          </rPr>
          <t>Norm maintenance in prev period.</t>
        </r>
      </text>
    </comment>
    <comment ref="H12" authorId="1" shapeId="0">
      <text>
        <r>
          <rPr>
            <sz val="9"/>
            <color indexed="81"/>
            <rFont val="Tahoma"/>
            <family val="2"/>
            <charset val="204"/>
          </rPr>
          <t xml:space="preserve">Optimum efficiency is 92%. </t>
        </r>
      </text>
    </comment>
    <comment ref="I12" authorId="1" shapeId="0">
      <text>
        <r>
          <rPr>
            <sz val="9"/>
            <color indexed="81"/>
            <rFont val="Tahoma"/>
            <family val="2"/>
            <charset val="204"/>
          </rPr>
          <t>Norm maintenance</t>
        </r>
      </text>
    </comment>
    <comment ref="E13" authorId="2" shapeId="0">
      <text>
        <r>
          <rPr>
            <sz val="9"/>
            <color indexed="81"/>
            <rFont val="Tahoma"/>
            <family val="2"/>
            <charset val="204"/>
          </rPr>
          <t>Space balance for production only (without components).</t>
        </r>
      </text>
    </comment>
    <comment ref="A15" authorId="1" shapeId="0">
      <text>
        <r>
          <rPr>
            <sz val="9"/>
            <color indexed="81"/>
            <rFont val="Tahoma"/>
            <family val="2"/>
            <charset val="204"/>
          </rPr>
          <t>Implement R&amp;D developments if warehouse stocks are low. Product priority 1, 2, 3.
R&amp;D investment itself do not affect demand and goodwill. Impact have only received r&amp;d development. If development is not implemented, its effect on demand will be saved for future.</t>
        </r>
      </text>
    </comment>
    <comment ref="I15" authorId="1" shapeId="0">
      <text>
        <r>
          <rPr>
            <sz val="9"/>
            <color indexed="81"/>
            <rFont val="Tahoma"/>
            <family val="2"/>
            <charset val="204"/>
          </rPr>
          <t>Reasons for strike:
- Salary less than 80% of max or less than 112% load
- Recruiting less than 20% of the total in group
- Active recruitment in the group, competitive market</t>
        </r>
      </text>
    </comment>
    <comment ref="E17" authorId="2" shapeId="0">
      <text>
        <r>
          <rPr>
            <sz val="9"/>
            <color indexed="81"/>
            <rFont val="Tahoma"/>
            <family val="2"/>
            <charset val="204"/>
          </rPr>
          <t>To simplify calculation we use component price</t>
        </r>
      </text>
    </comment>
    <comment ref="B18" authorId="1" shapeId="0">
      <text>
        <r>
          <rPr>
            <sz val="9"/>
            <color indexed="81"/>
            <rFont val="Tahoma"/>
            <family val="2"/>
            <charset val="204"/>
          </rPr>
          <t>Be sure to implement r&amp;d if warehouse stocks are 0. Sometimes there can be hidden r&amp;d.</t>
        </r>
      </text>
    </comment>
    <comment ref="C18" authorId="1" shapeId="0">
      <text>
        <r>
          <rPr>
            <sz val="9"/>
            <color indexed="81"/>
            <rFont val="Tahoma"/>
            <family val="2"/>
            <charset val="204"/>
          </rPr>
          <t>Be sure to implement r&amp;d if warehouse stocks are 0. Sometimes there can be hidden r&amp;d.</t>
        </r>
      </text>
    </comment>
    <comment ref="D18" authorId="1" shapeId="0">
      <text>
        <r>
          <rPr>
            <sz val="9"/>
            <color indexed="81"/>
            <rFont val="Tahoma"/>
            <family val="2"/>
            <charset val="204"/>
          </rPr>
          <t>Be sure to implement r&amp;d if warehouse stocks are 0. Sometimes there can be hidden r&amp;d.</t>
        </r>
      </text>
    </comment>
    <comment ref="E19" authorId="1" shapeId="0">
      <text>
        <r>
          <rPr>
            <sz val="9"/>
            <color indexed="81"/>
            <rFont val="Tahoma"/>
            <family val="2"/>
            <charset val="204"/>
          </rPr>
          <t>Net loss from extinguishment of warehouse stocks</t>
        </r>
      </text>
    </comment>
    <comment ref="A20" authorId="1" shapeId="0">
      <text>
        <r>
          <rPr>
            <sz val="9"/>
            <color indexed="81"/>
            <rFont val="Tahoma"/>
            <family val="2"/>
            <charset val="204"/>
          </rPr>
          <t>Optimum is about 115-120%. Priority product assembly 1, 2, 3. 
In 1 period maximize assembly for full effect till the end of the game.</t>
        </r>
      </text>
    </comment>
    <comment ref="E20" authorId="1" shapeId="0">
      <text>
        <r>
          <rPr>
            <sz val="9"/>
            <color indexed="81"/>
            <rFont val="Tahoma"/>
            <family val="2"/>
            <charset val="204"/>
          </rPr>
          <t>Number of major implements.</t>
        </r>
      </text>
    </comment>
    <comment ref="I20" authorId="1" shapeId="0">
      <text>
        <r>
          <rPr>
            <sz val="9"/>
            <color indexed="81"/>
            <rFont val="Tahoma"/>
            <family val="2"/>
            <charset val="204"/>
          </rPr>
          <t>5.5% from total number of workers.
Useful to have a little bit more than this number, to avoid strikes.</t>
        </r>
      </text>
    </comment>
    <comment ref="I21" authorId="0" shapeId="0">
      <text>
        <r>
          <rPr>
            <sz val="9"/>
            <color indexed="81"/>
            <rFont val="Tahoma"/>
            <family val="2"/>
            <charset val="204"/>
          </rPr>
          <t>Number of fired workers:
1 week - 5.5%
2 weeks - 12.5%
3 weeks - 18.5%
4 weeks - 23.5%
To decrease number of fired workers, you need to increase hours for assembly or wage rate.
Reason for dissmisal:
1 - Reducing wage rate.
2 - Small workers market size.
3 - Low salary.
4 - Low % of unemployment workers.</t>
        </r>
      </text>
    </comment>
    <comment ref="H23" authorId="1" shapeId="0">
      <text>
        <r>
          <rPr>
            <sz val="9"/>
            <color indexed="81"/>
            <rFont val="Tahoma"/>
            <family val="2"/>
            <charset val="204"/>
          </rPr>
          <t>Affects on demand, recruit, marriage, hours sickness.</t>
        </r>
      </text>
    </comment>
    <comment ref="I24" authorId="2" shapeId="0">
      <text>
        <r>
          <rPr>
            <sz val="9"/>
            <color indexed="81"/>
            <rFont val="Tahoma"/>
            <family val="2"/>
            <charset val="204"/>
          </rPr>
          <t>Mechanics fired (reduction).</t>
        </r>
      </text>
    </comment>
    <comment ref="I25" authorId="2" shapeId="0">
      <text>
        <r>
          <rPr>
            <sz val="9"/>
            <color indexed="81"/>
            <rFont val="Tahoma"/>
            <family val="2"/>
            <charset val="204"/>
          </rPr>
          <t>Mechanics fired at their own request.</t>
        </r>
      </text>
    </comment>
    <comment ref="B26" authorId="0" shapeId="0">
      <text>
        <r>
          <rPr>
            <sz val="9"/>
            <color indexed="81"/>
            <rFont val="Tahoma"/>
            <family val="2"/>
            <charset val="204"/>
          </rPr>
          <t>Estimated quality, deviation +/- 0,01</t>
        </r>
      </text>
    </comment>
    <comment ref="H26" authorId="0" shapeId="0">
      <text>
        <r>
          <rPr>
            <sz val="9"/>
            <color indexed="81"/>
            <rFont val="Tahoma"/>
            <family val="2"/>
            <charset val="204"/>
          </rPr>
          <t>Maximum increasing is 15% by quarter, decreasing impossible.
Minimum wage rate is 9,00.</t>
        </r>
      </text>
    </comment>
    <comment ref="I26" authorId="1" shapeId="0">
      <text>
        <r>
          <rPr>
            <sz val="9"/>
            <color indexed="81"/>
            <rFont val="Tahoma"/>
            <family val="2"/>
            <charset val="204"/>
          </rPr>
          <t>Maximum salary in 1 period, provoke strikes.</t>
        </r>
      </text>
    </comment>
    <comment ref="A27" authorId="0" shapeId="0">
      <text>
        <r>
          <rPr>
            <sz val="9"/>
            <color indexed="81"/>
            <rFont val="Tahoma"/>
            <family val="2"/>
            <charset val="204"/>
          </rPr>
          <t>Never leave market because of negative impact on goodwill.
Hire agents only for optimum profit. Goodwill from hiring agents does not depend on market, only on total number of agents change.
Change commission only in 1 period, when calculate payments use maximum commission and support from current and previous periods.</t>
        </r>
      </text>
    </comment>
    <comment ref="I27" authorId="0" shapeId="0">
      <text>
        <r>
          <rPr>
            <sz val="9"/>
            <color indexed="81"/>
            <rFont val="Tahoma"/>
            <family val="2"/>
            <charset val="204"/>
          </rPr>
          <t>Mechanics salary</t>
        </r>
      </text>
    </comment>
    <comment ref="E28" authorId="0" shapeId="0">
      <text>
        <r>
          <rPr>
            <sz val="9"/>
            <color indexed="81"/>
            <rFont val="Tahoma"/>
            <family val="2"/>
            <charset val="204"/>
          </rPr>
          <t>Number of agents in next period</t>
        </r>
      </text>
    </comment>
    <comment ref="F29" authorId="0" shapeId="0">
      <text>
        <r>
          <rPr>
            <sz val="9"/>
            <color indexed="81"/>
            <rFont val="Tahoma"/>
            <family val="2"/>
            <charset val="204"/>
          </rPr>
          <t>Always buy raw materials with reserve. Automatic purchase reduces goodwill about 0.002.</t>
        </r>
      </text>
    </comment>
    <comment ref="B30" authorId="1" shapeId="0">
      <text>
        <r>
          <rPr>
            <sz val="9"/>
            <color indexed="81"/>
            <rFont val="Tahoma"/>
            <family val="2"/>
            <charset val="204"/>
          </rPr>
          <t>When enter into market:
- Agent will be automatically hired in next period when you purchase ports.
- In 1 period market demand is about 2 times lower than in 2 period.
- Before entering market buy more than 1 port and invest money in corporate advertisment and web-site development.</t>
        </r>
      </text>
    </comment>
    <comment ref="C30" authorId="1" shapeId="0">
      <text>
        <r>
          <rPr>
            <sz val="9"/>
            <color indexed="81"/>
            <rFont val="Tahoma"/>
            <family val="2"/>
            <charset val="204"/>
          </rPr>
          <t>Depends on market size, optimum is about 15-25. Minimum 5.</t>
        </r>
      </text>
    </comment>
    <comment ref="I30" authorId="0" shapeId="0">
      <text>
        <r>
          <rPr>
            <sz val="9"/>
            <color indexed="81"/>
            <rFont val="Tahoma"/>
            <family val="2"/>
            <charset val="204"/>
          </rPr>
          <t>Use of raw materials compared to previous period.</t>
        </r>
      </text>
    </comment>
    <comment ref="J31" authorId="1" shapeId="0">
      <text>
        <r>
          <rPr>
            <sz val="9"/>
            <color indexed="81"/>
            <rFont val="Tahoma"/>
            <family val="2"/>
            <charset val="204"/>
          </rPr>
          <t>Percentage of warehouse stocks for each product.</t>
        </r>
      </text>
    </comment>
    <comment ref="D32" authorId="1" shapeId="0">
      <text>
        <r>
          <rPr>
            <sz val="9"/>
            <color indexed="81"/>
            <rFont val="Tahoma"/>
            <family val="2"/>
            <charset val="204"/>
          </rPr>
          <t>Share from total income. In first periods use 10-11% to capture market shares. In last periods use 8-9% for more profit.</t>
        </r>
      </text>
    </comment>
    <comment ref="H39" authorId="0" shapeId="0">
      <text>
        <r>
          <rPr>
            <sz val="9"/>
            <color indexed="81"/>
            <rFont val="Tahoma"/>
            <family val="2"/>
            <charset val="204"/>
          </rPr>
          <t>Affects:
- Raw materials prices, the lower rate, the better.
- EU demand, the lower rate, the lower demand.</t>
        </r>
      </text>
    </comment>
    <comment ref="J41" authorId="0" shapeId="0">
      <text>
        <r>
          <rPr>
            <sz val="9"/>
            <color indexed="81"/>
            <rFont val="Tahoma"/>
            <family val="2"/>
            <charset val="204"/>
          </rPr>
          <t>Small influence on demand, only on  number of orders.</t>
        </r>
      </text>
    </comment>
    <comment ref="D42" authorId="0" shapeId="0">
      <text>
        <r>
          <rPr>
            <sz val="9"/>
            <color indexed="81"/>
            <rFont val="Tahoma"/>
            <family val="2"/>
            <charset val="204"/>
          </rPr>
          <t>Additional deviation for market shares in current period.</t>
        </r>
      </text>
    </comment>
    <comment ref="H42" authorId="1" shapeId="0">
      <text>
        <r>
          <rPr>
            <sz val="9"/>
            <color indexed="81"/>
            <rFont val="Tahoma"/>
            <family val="2"/>
            <charset val="204"/>
          </rPr>
          <t>Pay when reserves more than 0 in previous period. First payment no more than 1% just to minimize goodwill loss.
If you do not pay dividends in current period, but payed in previous, it will seriously reduce goodwill by 0.1</t>
        </r>
      </text>
    </comment>
    <comment ref="H43" authorId="1" shapeId="0">
      <text>
        <r>
          <rPr>
            <sz val="9"/>
            <color indexed="81"/>
            <rFont val="Tahoma"/>
            <family val="2"/>
            <charset val="204"/>
          </rPr>
          <t>It is impossible to invest profit from next period, because it will make a gap in cash flow and credit.
Does not affect goodwill.</t>
        </r>
      </text>
    </comment>
    <comment ref="H44" authorId="0" shapeId="0">
      <text>
        <r>
          <rPr>
            <sz val="9"/>
            <color indexed="81"/>
            <rFont val="Tahoma"/>
            <family val="2"/>
            <charset val="204"/>
          </rPr>
          <t>Credit is more profitable than overdraft when you can not pay overdraft for 5 periods (start-up company). Do not use credit, if you can pay overdraft till the end of the game.
No effect on goodwill if you take term loan, but it decreases profit due to finance expense.</t>
        </r>
      </text>
    </comment>
    <comment ref="H45" authorId="1" shapeId="0">
      <text>
        <r>
          <rPr>
            <sz val="9"/>
            <color indexed="81"/>
            <rFont val="Tahoma"/>
            <family val="2"/>
            <charset val="204"/>
          </rPr>
          <t>Number of ports with 0.1% failed visits. Visits depends on:
- Corporate advertising
- Commission internet distributor</t>
        </r>
      </text>
    </comment>
    <comment ref="I45" authorId="1" shapeId="0">
      <text>
        <r>
          <rPr>
            <sz val="9"/>
            <color indexed="81"/>
            <rFont val="Tahoma"/>
            <family val="2"/>
            <charset val="204"/>
          </rPr>
          <t>Calculate minimum number of ports with 0.1% failed visits.</t>
        </r>
      </text>
    </comment>
    <comment ref="H46" authorId="1" shapeId="0">
      <text>
        <r>
          <rPr>
            <sz val="9"/>
            <color indexed="81"/>
            <rFont val="Tahoma"/>
            <family val="2"/>
            <charset val="204"/>
          </rPr>
          <t>Minimums:
*5 - 39
*4 - 15
*3 - 6
*2 - 2
*1 - 1</t>
        </r>
      </text>
    </comment>
    <comment ref="T46" authorId="0" shapeId="0">
      <text>
        <r>
          <rPr>
            <sz val="9"/>
            <color indexed="81"/>
            <rFont val="Tahoma"/>
            <family val="2"/>
            <charset val="204"/>
          </rPr>
          <t>Turn on deviation for actual demand:
0 - no
1 - yes</t>
        </r>
      </text>
    </comment>
    <comment ref="H47" authorId="1" shapeId="0">
      <text>
        <r>
          <rPr>
            <sz val="9"/>
            <color indexed="81"/>
            <rFont val="Tahoma"/>
            <family val="2"/>
            <charset val="204"/>
          </rPr>
          <t>Optimal 14% from administrative expenses.
Negative effect from reducing management budget impacts immediately. Effect from increasing management budget takes place over period. Affects:
- Demand (1% in 10% from budget)
- Marriage (0.1% in 10% from budget)
- Accelerate R&amp;D. Increasing of 8-10 gives reduction plan R&amp;D by 1.</t>
        </r>
      </text>
    </comment>
    <comment ref="E48" authorId="1" shapeId="0">
      <text>
        <r>
          <rPr>
            <sz val="9"/>
            <color indexed="81"/>
            <rFont val="Tahoma"/>
            <family val="2"/>
            <charset val="204"/>
          </rPr>
          <t>Profitability of production.</t>
        </r>
      </text>
    </comment>
    <comment ref="H48" authorId="1" shapeId="0">
      <text>
        <r>
          <rPr>
            <sz val="9"/>
            <color indexed="81"/>
            <rFont val="Tahoma"/>
            <family val="2"/>
            <charset val="204"/>
          </rPr>
          <t>Insurance plans benefit 0 &gt; 4 &gt; 3 &gt; 2 &gt; 1
You need to compare insurance premium and the expected damage.</t>
        </r>
      </text>
    </comment>
    <comment ref="E49" authorId="1" shapeId="0">
      <text>
        <r>
          <rPr>
            <sz val="9"/>
            <color indexed="81"/>
            <rFont val="Tahoma"/>
            <family val="2"/>
            <charset val="204"/>
          </rPr>
          <t>Variable costs.</t>
        </r>
      </text>
    </comment>
    <comment ref="I49" authorId="1" shapeId="0">
      <text>
        <r>
          <rPr>
            <sz val="9"/>
            <color indexed="81"/>
            <rFont val="Tahoma"/>
            <family val="2"/>
            <charset val="204"/>
          </rPr>
          <t>Calculate visits in next period, there is no influence from competitors.</t>
        </r>
      </text>
    </comment>
    <comment ref="E50" authorId="1" shapeId="0">
      <text>
        <r>
          <rPr>
            <sz val="9"/>
            <color indexed="81"/>
            <rFont val="Tahoma"/>
            <family val="2"/>
            <charset val="204"/>
          </rPr>
          <t>Fixed costs.</t>
        </r>
      </text>
    </comment>
    <comment ref="H50" authorId="0" shapeId="0">
      <text>
        <r>
          <rPr>
            <sz val="9"/>
            <color indexed="81"/>
            <rFont val="Tahoma"/>
            <family val="2"/>
            <charset val="204"/>
          </rPr>
          <t>Model needs information about market shares for better forecost of demand.</t>
        </r>
      </text>
    </comment>
    <comment ref="I50" authorId="0" shapeId="0">
      <text>
        <r>
          <rPr>
            <sz val="9"/>
            <color indexed="81"/>
            <rFont val="Tahoma"/>
            <family val="2"/>
            <charset val="204"/>
          </rPr>
          <t>Visits in previous period</t>
        </r>
      </text>
    </comment>
    <comment ref="O66" authorId="0" shapeId="0">
      <text>
        <r>
          <rPr>
            <sz val="9"/>
            <color indexed="81"/>
            <rFont val="Tahoma"/>
            <family val="2"/>
            <charset val="204"/>
          </rPr>
          <t>Liquid assets.</t>
        </r>
      </text>
    </comment>
    <comment ref="B88" authorId="0" shapeId="0">
      <text>
        <r>
          <rPr>
            <sz val="9"/>
            <color indexed="81"/>
            <rFont val="Tahoma"/>
            <family val="2"/>
            <charset val="204"/>
          </rPr>
          <t>Calculate block with optimal direct advertising.</t>
        </r>
      </text>
    </comment>
    <comment ref="D88" authorId="0" shapeId="0">
      <text>
        <r>
          <rPr>
            <sz val="9"/>
            <color indexed="81"/>
            <rFont val="Tahoma"/>
            <family val="2"/>
            <charset val="204"/>
          </rPr>
          <t>Copy decision to this sheet from any management report.</t>
        </r>
      </text>
    </comment>
    <comment ref="G88" authorId="2" shapeId="0">
      <text>
        <r>
          <rPr>
            <sz val="9"/>
            <color indexed="81"/>
            <rFont val="Tahoma"/>
            <family val="2"/>
            <charset val="204"/>
          </rPr>
          <t>Copy decision from sheet strategy.</t>
        </r>
      </text>
    </comment>
    <comment ref="O88" authorId="0" shapeId="0">
      <text>
        <r>
          <rPr>
            <sz val="9"/>
            <color indexed="81"/>
            <rFont val="Tahoma"/>
            <family val="2"/>
            <charset val="204"/>
          </rPr>
          <t>Insert decisions (sheet W) from files 6.xls, 7.xls, 8.xls, 9.xls, 10.xls in same folder with excel model.</t>
        </r>
      </text>
    </comment>
    <comment ref="R88" authorId="0" shapeId="0">
      <text>
        <r>
          <rPr>
            <sz val="9"/>
            <color indexed="81"/>
            <rFont val="Tahoma"/>
            <family val="2"/>
            <charset val="204"/>
          </rPr>
          <t>Insert history (sheet W) from files 1Quarter.xls, 2Quarter.xls, 3Quarter.xls, 4Quarter.xls, 5Quarter.xls in same folder with excel model.</t>
        </r>
      </text>
    </comment>
    <comment ref="O91" authorId="1" shapeId="0">
      <text>
        <r>
          <rPr>
            <sz val="9"/>
            <color indexed="81"/>
            <rFont val="Tahoma"/>
            <family val="2"/>
            <charset val="204"/>
          </rPr>
          <t>Set all config to 0, model does not use fact data from management reports.</t>
        </r>
      </text>
    </comment>
    <comment ref="R91" authorId="0" shapeId="0">
      <text>
        <r>
          <rPr>
            <sz val="9"/>
            <color indexed="81"/>
            <rFont val="Tahoma"/>
            <family val="2"/>
            <charset val="204"/>
          </rPr>
          <t>Show worksheets 11 - 55 (11, 12, 13, 14, 15, etc)</t>
        </r>
      </text>
    </comment>
    <comment ref="L92" authorId="0" shapeId="0">
      <text>
        <r>
          <rPr>
            <sz val="9"/>
            <color indexed="81"/>
            <rFont val="Tahoma"/>
            <family val="2"/>
            <charset val="204"/>
          </rPr>
          <t>Calculation step in %</t>
        </r>
      </text>
    </comment>
    <comment ref="O94" authorId="0" shapeId="0">
      <text>
        <r>
          <rPr>
            <sz val="9"/>
            <color indexed="81"/>
            <rFont val="Tahoma"/>
            <family val="2"/>
            <charset val="204"/>
          </rPr>
          <t>Copy all decisions to sheets 1, 2, 3, 4, 5 from management reports 61, 71, 81, 91, 101.</t>
        </r>
      </text>
    </comment>
    <comment ref="R94" authorId="0" shapeId="0">
      <text>
        <r>
          <rPr>
            <sz val="9"/>
            <color indexed="81"/>
            <rFont val="Tahoma"/>
            <family val="2"/>
            <charset val="204"/>
          </rPr>
          <t>Hide worksheets 11 - 55 (11, 12, 13, 14, 15, etc)</t>
        </r>
      </text>
    </comment>
    <comment ref="O97" authorId="0" shapeId="0">
      <text>
        <r>
          <rPr>
            <sz val="9"/>
            <color indexed="81"/>
            <rFont val="Tahoma"/>
            <family val="2"/>
            <charset val="204"/>
          </rPr>
          <t>Set manual correction for demand forecost from Deviation for all 5 periods.</t>
        </r>
      </text>
    </comment>
  </commentList>
</comments>
</file>

<file path=xl/comments2.xml><?xml version="1.0" encoding="utf-8"?>
<comments xmlns="http://schemas.openxmlformats.org/spreadsheetml/2006/main">
  <authors>
    <author>Фомин Олег Игоревич</author>
    <author>Олег Игоревич</author>
  </authors>
  <commentList>
    <comment ref="A1" authorId="0" shapeId="0">
      <text>
        <r>
          <rPr>
            <sz val="9"/>
            <color indexed="81"/>
            <rFont val="Tahoma"/>
            <family val="2"/>
            <charset val="204"/>
          </rPr>
          <t>Goodwill does not depend on previous periods. Depends only on dividends.</t>
        </r>
      </text>
    </comment>
    <comment ref="L3" authorId="1" shapeId="0">
      <text>
        <r>
          <rPr>
            <sz val="9"/>
            <color indexed="81"/>
            <rFont val="Tahoma"/>
            <family val="2"/>
            <charset val="204"/>
          </rPr>
          <t>Maximum profit in 5 period.</t>
        </r>
      </text>
    </comment>
    <comment ref="L4" authorId="0" shapeId="0">
      <text>
        <r>
          <rPr>
            <sz val="9"/>
            <color indexed="81"/>
            <rFont val="Tahoma"/>
            <family val="2"/>
            <charset val="204"/>
          </rPr>
          <t>Minimum liquid assets.</t>
        </r>
      </text>
    </comment>
    <comment ref="L5" authorId="1" shapeId="0">
      <text>
        <r>
          <rPr>
            <sz val="9"/>
            <color indexed="81"/>
            <rFont val="Tahoma"/>
            <family val="2"/>
            <charset val="204"/>
          </rPr>
          <t>Recruit 2 agents or distributors for minimum price.</t>
        </r>
      </text>
    </comment>
    <comment ref="L6" authorId="1" shapeId="0">
      <text>
        <r>
          <rPr>
            <sz val="9"/>
            <color indexed="81"/>
            <rFont val="Tahoma"/>
            <family val="2"/>
            <charset val="204"/>
          </rPr>
          <t>Recruit 10-20 workers.
Do not get strikes.</t>
        </r>
      </text>
    </comment>
    <comment ref="L7" authorId="1" shapeId="0">
      <text>
        <r>
          <rPr>
            <sz val="9"/>
            <color indexed="81"/>
            <rFont val="Tahoma"/>
            <family val="2"/>
            <charset val="204"/>
          </rPr>
          <t>Bye 2 or 4 machines if you have extra cash.</t>
        </r>
      </text>
    </comment>
    <comment ref="L9" authorId="1" shapeId="0">
      <text>
        <r>
          <rPr>
            <sz val="9"/>
            <color indexed="81"/>
            <rFont val="Tahoma"/>
            <family val="2"/>
            <charset val="204"/>
          </rPr>
          <t>Maximum market shares in 5 period.</t>
        </r>
      </text>
    </comment>
    <comment ref="L10" authorId="1" shapeId="0">
      <text>
        <r>
          <rPr>
            <sz val="9"/>
            <color indexed="81"/>
            <rFont val="Tahoma"/>
            <family val="2"/>
            <charset val="204"/>
          </rPr>
          <t>Get maxmum R&amp;D in 5 period.</t>
        </r>
      </text>
    </comment>
  </commentList>
</comments>
</file>

<file path=xl/comments3.xml><?xml version="1.0" encoding="utf-8"?>
<comments xmlns="http://schemas.openxmlformats.org/spreadsheetml/2006/main">
  <authors>
    <author>Фомин Олег Игоревич</author>
    <author>Олег Фомин</author>
  </authors>
  <commentList>
    <comment ref="AE42" authorId="0" shapeId="0">
      <text>
        <r>
          <rPr>
            <sz val="9"/>
            <color indexed="81"/>
            <rFont val="Tahoma"/>
            <family val="2"/>
            <charset val="204"/>
          </rPr>
          <t>Copy decision from actual report - 61, 71, 81, 91 or 101.</t>
        </r>
      </text>
    </comment>
    <comment ref="AH42" authorId="0" shapeId="0">
      <text>
        <r>
          <rPr>
            <sz val="9"/>
            <color indexed="81"/>
            <rFont val="Tahoma"/>
            <family val="2"/>
            <charset val="204"/>
          </rPr>
          <t>Copy all decisions from actual reports 61, 71, 81, 91, 101.</t>
        </r>
      </text>
    </comment>
    <comment ref="AJ42" authorId="0" shapeId="0">
      <text>
        <r>
          <rPr>
            <sz val="9"/>
            <color indexed="81"/>
            <rFont val="Tahoma"/>
            <family val="2"/>
            <charset val="204"/>
          </rPr>
          <t>Set manual correction for demand forecost from Deviation for all 5 periods.</t>
        </r>
      </text>
    </comment>
    <comment ref="AE46" authorId="1" shapeId="0">
      <text>
        <r>
          <rPr>
            <sz val="9"/>
            <color indexed="81"/>
            <rFont val="Tahoma"/>
            <family val="2"/>
            <charset val="204"/>
          </rPr>
          <t>Copy decision from sheet 1, 2, 3, 4 or 5.</t>
        </r>
      </text>
    </comment>
  </commentList>
</comments>
</file>

<file path=xl/comments4.xml><?xml version="1.0" encoding="utf-8"?>
<comments xmlns="http://schemas.openxmlformats.org/spreadsheetml/2006/main">
  <authors>
    <author>Автор</author>
  </authors>
  <commentList>
    <comment ref="D28" authorId="0" shapeId="0">
      <text>
        <r>
          <rPr>
            <sz val="9"/>
            <color indexed="81"/>
            <rFont val="Tahoma"/>
            <family val="2"/>
            <charset val="204"/>
          </rPr>
          <t>Minimum management budget</t>
        </r>
      </text>
    </comment>
    <comment ref="D29" authorId="0" shapeId="0">
      <text>
        <r>
          <rPr>
            <sz val="9"/>
            <color indexed="81"/>
            <rFont val="Tahoma"/>
            <family val="2"/>
            <charset val="204"/>
          </rPr>
          <t>Minimum training</t>
        </r>
      </text>
    </comment>
    <comment ref="D33" authorId="0" shapeId="0">
      <text>
        <r>
          <rPr>
            <sz val="9"/>
            <color indexed="81"/>
            <rFont val="Tahoma"/>
            <family val="2"/>
            <charset val="204"/>
          </rPr>
          <t>Minimum management budget</t>
        </r>
      </text>
    </comment>
    <comment ref="D34" authorId="0" shapeId="0">
      <text>
        <r>
          <rPr>
            <sz val="9"/>
            <color indexed="81"/>
            <rFont val="Tahoma"/>
            <family val="2"/>
            <charset val="204"/>
          </rPr>
          <t>Minimum training</t>
        </r>
      </text>
    </comment>
    <comment ref="D38" authorId="0" shapeId="0">
      <text>
        <r>
          <rPr>
            <sz val="9"/>
            <color indexed="81"/>
            <rFont val="Tahoma"/>
            <family val="2"/>
            <charset val="204"/>
          </rPr>
          <t>Minimum management budget</t>
        </r>
      </text>
    </comment>
    <comment ref="D39" authorId="0" shapeId="0">
      <text>
        <r>
          <rPr>
            <sz val="9"/>
            <color indexed="81"/>
            <rFont val="Tahoma"/>
            <family val="2"/>
            <charset val="204"/>
          </rPr>
          <t>Minimum training</t>
        </r>
      </text>
    </comment>
  </commentList>
</comments>
</file>

<file path=xl/connections.xml><?xml version="1.0" encoding="utf-8"?>
<connections xmlns="http://schemas.openxmlformats.org/spreadsheetml/2006/main">
  <connection id="1" name="W013131" type="6" refreshedVersion="4" background="1" saveData="1">
    <textPr prompt="0" sourceFile="C:\GMC\KHANTYMANSIYSKFINAL_12C1\RUN_12C1\Wfiles\131\W013131.txt" decimal="," thousands=" ">
      <textFields>
        <textField/>
      </textFields>
    </textPr>
  </connection>
  <connection id="2" name="W013132" type="6" refreshedVersion="4" background="1" saveData="1">
    <textPr prompt="0" sourceFile="C:\GMC\KHANTYMANSIYSKFINAL_12C1\RUN_12C1\Wfiles\132\W013132.txt" decimal="," thousands=" ">
      <textFields>
        <textField/>
      </textFields>
    </textPr>
  </connection>
  <connection id="3" name="W013133" type="6" refreshedVersion="4" background="1" saveData="1">
    <textPr prompt="0" sourceFile="C:\GMC\KHANTYMANSIYSKFINAL_12C1\RUN_12C1\Wfiles\133\W013133.txt" decimal="," thousands=" ">
      <textFields>
        <textField/>
      </textFields>
    </textPr>
  </connection>
  <connection id="4" name="W013134" type="6" refreshedVersion="4" background="1" saveData="1">
    <textPr prompt="0" sourceFile="C:\GMC\KHANTYMANSIYSKFINAL_12C1\RUN_12C1\Wfiles\134\W013134.txt" decimal="," thousands=" ">
      <textFields>
        <textField/>
      </textFields>
    </textPr>
  </connection>
  <connection id="5" name="W015131" type="6" refreshedVersion="4" background="1" saveData="1">
    <textPr prompt="0" codePage="850" sourceFile="C:\GMC\TR1_12C1\RUN_12C1\Wfiles\131\W015131.txt" decimal="," thousands=" ">
      <textFields>
        <textField/>
      </textFields>
    </textPr>
  </connection>
  <connection id="6" name="W0151311" type="6" refreshedVersion="4" background="1" saveData="1">
    <textPr prompt="0" codePage="850" sourceFile="C:\GMC\TR1_12C1\RUN_12C1\Wfiles\131\W015131.txt" decimal="," thousands=" ">
      <textFields>
        <textField/>
      </textFields>
    </textPr>
  </connection>
  <connection id="7" name="W01513111" type="6" refreshedVersion="4" background="1" saveData="1">
    <textPr prompt="0" codePage="850" sourceFile="C:\GMC\TR1_12C1\RUN_12C1\Wfiles\131\W015131.txt" decimal="," thousands=" ">
      <textFields>
        <textField/>
      </textFields>
    </textPr>
  </connection>
  <connection id="8" name="W01513112" type="6" refreshedVersion="4" background="1" saveData="1">
    <textPr prompt="0" codePage="850" sourceFile="C:\GMC\TR1_12C1\RUN_12C1\Wfiles\131\W015131.txt" decimal="," thousands=" ">
      <textFields>
        <textField/>
      </textFields>
    </textPr>
  </connection>
  <connection id="9" name="W0151312" type="6" refreshedVersion="4" background="1" saveData="1">
    <textPr prompt="0" codePage="850" sourceFile="C:\GMC\TR1_12C1\RUN_12C1\Wfiles\131\W015131.txt" decimal="," thousands=" ">
      <textFields>
        <textField/>
      </textFields>
    </textPr>
  </connection>
  <connection id="10" name="W01513121" type="6" refreshedVersion="4" background="1" saveData="1">
    <textPr prompt="0" codePage="850" sourceFile="C:\GMC\TR1_12C1\RUN_12C1\Wfiles\131\W015131.txt" decimal="," thousands=" ">
      <textFields>
        <textField/>
      </textFields>
    </textPr>
  </connection>
  <connection id="11" name="W033131" type="6" refreshedVersion="4" background="1" saveData="1">
    <textPr prompt="0" sourceFile="C:\GMC\MOSCOWFINAL_12C1\RUN_12C1\Wfiles\131\W033131.txt" decimal="," thousands=" ">
      <textFields>
        <textField/>
      </textFields>
    </textPr>
  </connection>
</connections>
</file>

<file path=xl/sharedStrings.xml><?xml version="1.0" encoding="utf-8"?>
<sst xmlns="http://schemas.openxmlformats.org/spreadsheetml/2006/main" count="5657" uniqueCount="748">
  <si>
    <t xml:space="preserve"> </t>
  </si>
  <si>
    <t xml:space="preserve">       </t>
  </si>
  <si>
    <t>Goodwill</t>
  </si>
  <si>
    <t>max</t>
  </si>
  <si>
    <t>%</t>
  </si>
  <si>
    <t>Nafta</t>
  </si>
  <si>
    <t>Internet</t>
  </si>
  <si>
    <t>!</t>
  </si>
  <si>
    <t xml:space="preserve"> (€'000)</t>
  </si>
  <si>
    <t>)</t>
  </si>
  <si>
    <t>Minor</t>
  </si>
  <si>
    <t>Major</t>
  </si>
  <si>
    <t>CO2</t>
  </si>
  <si>
    <t>Not requested</t>
  </si>
  <si>
    <t xml:space="preserve"> Free info</t>
  </si>
  <si>
    <t xml:space="preserve">      your decisions</t>
  </si>
  <si>
    <t>The Global Management Challenge is a business simulation designed by Edit Systems Ltd. (www.edit515.co.uk) and organised by SDG S.A.  (www.worldgmc.com)</t>
  </si>
  <si>
    <t>World Copyright © 2013 - EDIT 515 Ltd, UK and SDG - Simuladores e Modelos de Gestão, S.A.</t>
  </si>
  <si>
    <t xml:space="preserve">  Internet</t>
  </si>
  <si>
    <t xml:space="preserve">  Nafta </t>
  </si>
  <si>
    <t xml:space="preserve">  Internet </t>
  </si>
  <si>
    <t xml:space="preserve">  The Global Management Challenge is a business simulation designed by Edit Systems Ltd.  (www.edit515.co.uk)</t>
  </si>
  <si>
    <t>and organised worldwide by SDG - Simuladores e Modelos de Gestão, S.A. Lisboa, Portugal  (www.worldgmc.com)</t>
  </si>
  <si>
    <t xml:space="preserve"> Nafta</t>
  </si>
  <si>
    <t xml:space="preserve"> Internet</t>
  </si>
  <si>
    <t xml:space="preserve"> Internet </t>
  </si>
  <si>
    <r>
      <t xml:space="preserve"> </t>
    </r>
    <r>
      <rPr>
        <sz val="8"/>
        <rFont val="Arial"/>
        <family val="2"/>
      </rPr>
      <t>The Global Management Challenge is a business simulation designed by Edit Systems Ltd. (www.edit515.co.uk) and organised by SDG - Simuladores e Modelos de Gestão S.A. Portugal</t>
    </r>
  </si>
  <si>
    <t>*</t>
  </si>
  <si>
    <t>Product</t>
  </si>
  <si>
    <t>R&amp;D</t>
  </si>
  <si>
    <t>Decision</t>
  </si>
  <si>
    <t>Corporate</t>
  </si>
  <si>
    <t>Advertising: (€'000)</t>
  </si>
  <si>
    <t>Europe</t>
  </si>
  <si>
    <t>Prices (€):</t>
  </si>
  <si>
    <t>Quantities to deliver to:</t>
  </si>
  <si>
    <t>European agents</t>
  </si>
  <si>
    <t>(Not in full</t>
  </si>
  <si>
    <t>Nafta distributors</t>
  </si>
  <si>
    <t xml:space="preserve"> if starred)</t>
  </si>
  <si>
    <t>Internet distributor</t>
  </si>
  <si>
    <t>Quality:</t>
  </si>
  <si>
    <t>Take up product improvements</t>
  </si>
  <si>
    <t>Product development (€'000)</t>
  </si>
  <si>
    <t>Assembly times (minutes)</t>
  </si>
  <si>
    <t>Premium materials (%)</t>
  </si>
  <si>
    <t>Subcontracting:</t>
  </si>
  <si>
    <t>Components to order (units)</t>
  </si>
  <si>
    <t>Agents and distributors:</t>
  </si>
  <si>
    <t>Operations:</t>
  </si>
  <si>
    <t>Materials to buy ('000)</t>
  </si>
  <si>
    <t>Spot</t>
  </si>
  <si>
    <t>Maintenance hours/machine</t>
  </si>
  <si>
    <t>Number of ports operated</t>
  </si>
  <si>
    <t>Personnel:</t>
  </si>
  <si>
    <t>Assembly workers to recruit</t>
  </si>
  <si>
    <t>Hourly wage rate (€.c)</t>
  </si>
  <si>
    <t>Management budget (€'000)</t>
  </si>
  <si>
    <t>Finance:</t>
  </si>
  <si>
    <t>Shares to issue/repurchase</t>
  </si>
  <si>
    <t>Term loans (€'000)</t>
  </si>
  <si>
    <t>Machines to buy</t>
  </si>
  <si>
    <t>Factory extension (sq. m.)</t>
  </si>
  <si>
    <t>Information:</t>
  </si>
  <si>
    <t>Market shares</t>
  </si>
  <si>
    <t>Shift level</t>
  </si>
  <si>
    <t>Web-site development</t>
  </si>
  <si>
    <t>Number to train</t>
  </si>
  <si>
    <t>Staff training (days)</t>
  </si>
  <si>
    <t>Dividend (cents/share)</t>
  </si>
  <si>
    <t>Term deposit (€'000)</t>
  </si>
  <si>
    <t>Machines to sell</t>
  </si>
  <si>
    <t>Insurance plan</t>
  </si>
  <si>
    <t>Corporate activity</t>
  </si>
  <si>
    <t>3mth</t>
  </si>
  <si>
    <t>6mth</t>
  </si>
  <si>
    <t>Number</t>
  </si>
  <si>
    <t>Support</t>
  </si>
  <si>
    <t>Commn.</t>
  </si>
  <si>
    <t>needed</t>
  </si>
  <si>
    <t>Qtr</t>
  </si>
  <si>
    <t xml:space="preserve">Year </t>
  </si>
  <si>
    <t>Management Report</t>
  </si>
  <si>
    <t>Code:</t>
  </si>
  <si>
    <t xml:space="preserve">        Company</t>
  </si>
  <si>
    <t>for       Group</t>
  </si>
  <si>
    <t xml:space="preserve">Group </t>
  </si>
  <si>
    <t xml:space="preserve">      Company</t>
  </si>
  <si>
    <t>Resources and Products</t>
  </si>
  <si>
    <t>PHYSICAL RESOURCES:  Usage and availability</t>
  </si>
  <si>
    <t>Space:</t>
  </si>
  <si>
    <t xml:space="preserve">  Land owned</t>
  </si>
  <si>
    <t xml:space="preserve">   Access/parking etc</t>
  </si>
  <si>
    <t xml:space="preserve">   Unused land</t>
  </si>
  <si>
    <t xml:space="preserve">  Factory size next quarter</t>
  </si>
  <si>
    <t xml:space="preserve">   Circulation and access</t>
  </si>
  <si>
    <t xml:space="preserve">   Machining operations</t>
  </si>
  <si>
    <t xml:space="preserve">   Assembly operations</t>
  </si>
  <si>
    <t xml:space="preserve">   Material and component stocks</t>
  </si>
  <si>
    <t xml:space="preserve">   Available space (overflow if negative)</t>
  </si>
  <si>
    <t>Machines:</t>
  </si>
  <si>
    <t xml:space="preserve">  Number decommissioned</t>
  </si>
  <si>
    <t xml:space="preserve">  Machines in use last quarter</t>
  </si>
  <si>
    <t xml:space="preserve">  Number bought and installed</t>
  </si>
  <si>
    <t xml:space="preserve">  Machines available for next quarter</t>
  </si>
  <si>
    <t xml:space="preserve">  Theoretical hours available</t>
  </si>
  <si>
    <t xml:space="preserve">  Hours breakdown</t>
  </si>
  <si>
    <t xml:space="preserve">  Hours worked </t>
  </si>
  <si>
    <t xml:space="preserve">  Hours planned maintenance</t>
  </si>
  <si>
    <t xml:space="preserve">  Average machine efficiency %</t>
  </si>
  <si>
    <t>Materials:</t>
  </si>
  <si>
    <t xml:space="preserve">  Opening stock available</t>
  </si>
  <si>
    <t xml:space="preserve">   Bought spot </t>
  </si>
  <si>
    <t xml:space="preserve">   Bought default</t>
  </si>
  <si>
    <t xml:space="preserve">   Lost or destroyed</t>
  </si>
  <si>
    <t xml:space="preserve">   Used</t>
  </si>
  <si>
    <t xml:space="preserve">  Closing stock</t>
  </si>
  <si>
    <t xml:space="preserve">  For delivery next quarter:</t>
  </si>
  <si>
    <t xml:space="preserve">     Bought last quarter</t>
  </si>
  <si>
    <t xml:space="preserve">     Bought quarter before last</t>
  </si>
  <si>
    <t xml:space="preserve">  For delivery quarter after next:</t>
  </si>
  <si>
    <r>
      <t>Internet statistics</t>
    </r>
    <r>
      <rPr>
        <b/>
        <sz val="9"/>
        <rFont val="Arial"/>
        <family val="2"/>
      </rPr>
      <t>:</t>
    </r>
  </si>
  <si>
    <t xml:space="preserve">  Number of web-site ports operated</t>
  </si>
  <si>
    <t xml:space="preserve">  Number of visits to your web-site</t>
  </si>
  <si>
    <t xml:space="preserve">  Estimated level of failed visits (%)</t>
  </si>
  <si>
    <t xml:space="preserve">  Number of internet service complaints</t>
  </si>
  <si>
    <t>Sq. m.</t>
  </si>
  <si>
    <t>HUMAN RESOURCES:</t>
  </si>
  <si>
    <t>Production personnel:</t>
  </si>
  <si>
    <t xml:space="preserve">  At start of last quarter</t>
  </si>
  <si>
    <t xml:space="preserve">  Recruited</t>
  </si>
  <si>
    <t xml:space="preserve">  Trained</t>
  </si>
  <si>
    <t xml:space="preserve">  Dismissed</t>
  </si>
  <si>
    <t xml:space="preserve">  Left</t>
  </si>
  <si>
    <t xml:space="preserve">  Available for next quarter</t>
  </si>
  <si>
    <t>Assembly workers:</t>
  </si>
  <si>
    <t xml:space="preserve">  Hours available </t>
  </si>
  <si>
    <t xml:space="preserve">  Absenteeism/sickness (hours)</t>
  </si>
  <si>
    <t xml:space="preserve">  Notice of strike weeks for next quarter</t>
  </si>
  <si>
    <t>Assembly</t>
  </si>
  <si>
    <t>Machining</t>
  </si>
  <si>
    <t>Agents/distributors:</t>
  </si>
  <si>
    <t xml:space="preserve"> Active last quarter</t>
  </si>
  <si>
    <t xml:space="preserve"> Resigned</t>
  </si>
  <si>
    <t xml:space="preserve"> Dismissed</t>
  </si>
  <si>
    <t xml:space="preserve"> Appointed</t>
  </si>
  <si>
    <t xml:space="preserve"> Active next quarter</t>
  </si>
  <si>
    <t>Transport:</t>
  </si>
  <si>
    <t xml:space="preserve"> Journey length (km)</t>
  </si>
  <si>
    <t xml:space="preserve"> Number of loads</t>
  </si>
  <si>
    <t>Carbon footprint (CO2e):</t>
  </si>
  <si>
    <t xml:space="preserve">  Factory heating and lighting</t>
  </si>
  <si>
    <t xml:space="preserve">  Energy used in production</t>
  </si>
  <si>
    <t>Total primary CO2e</t>
  </si>
  <si>
    <t>Tonnes</t>
  </si>
  <si>
    <t>PRODUCT DATA:</t>
  </si>
  <si>
    <t>Product 1</t>
  </si>
  <si>
    <t>Product 2</t>
  </si>
  <si>
    <t>Product 3</t>
  </si>
  <si>
    <t>Quantities:</t>
  </si>
  <si>
    <t xml:space="preserve">  Scheduled</t>
  </si>
  <si>
    <t xml:space="preserve">  Produced</t>
  </si>
  <si>
    <t xml:space="preserve">  Rejected</t>
  </si>
  <si>
    <t xml:space="preserve">  Lost or destroyed</t>
  </si>
  <si>
    <t>Delivered to:</t>
  </si>
  <si>
    <t xml:space="preserve">  European agents</t>
  </si>
  <si>
    <r>
      <t xml:space="preserve">  </t>
    </r>
    <r>
      <rPr>
        <sz val="9"/>
        <rFont val="Arial"/>
        <family val="2"/>
      </rPr>
      <t>Nafta distributors</t>
    </r>
  </si>
  <si>
    <t xml:space="preserve">  Internet distributor</t>
  </si>
  <si>
    <t>Orders from:</t>
  </si>
  <si>
    <t xml:space="preserve">  Europe</t>
  </si>
  <si>
    <r>
      <t xml:space="preserve">  </t>
    </r>
    <r>
      <rPr>
        <sz val="9"/>
        <rFont val="Arial"/>
        <family val="2"/>
      </rPr>
      <t>Nafta</t>
    </r>
  </si>
  <si>
    <t>Sold to:</t>
  </si>
  <si>
    <t>Backlog of orders:</t>
  </si>
  <si>
    <t>Warehouse stocks:</t>
  </si>
  <si>
    <t>Guarantee services</t>
  </si>
  <si>
    <t>Product improvements</t>
  </si>
  <si>
    <t>Product components:</t>
  </si>
  <si>
    <t xml:space="preserve"> Assembled last quarter</t>
  </si>
  <si>
    <t xml:space="preserve"> Ordered last quarter</t>
  </si>
  <si>
    <t xml:space="preserve"> Closing stock</t>
  </si>
  <si>
    <t xml:space="preserve"> Available for assembly</t>
  </si>
  <si>
    <t>FINANCIAL STATEMENTS</t>
  </si>
  <si>
    <t>ADMINISTRATIVE EXPENSES</t>
  </si>
  <si>
    <t xml:space="preserve">  Advertising</t>
  </si>
  <si>
    <r>
      <t xml:space="preserve">  </t>
    </r>
    <r>
      <rPr>
        <sz val="8"/>
        <rFont val="Arial"/>
        <family val="2"/>
      </rPr>
      <t>Internet distributor</t>
    </r>
  </si>
  <si>
    <t xml:space="preserve">  Internet service provider</t>
  </si>
  <si>
    <t xml:space="preserve">  Agents and distributors</t>
  </si>
  <si>
    <t xml:space="preserve">  Sales office</t>
  </si>
  <si>
    <t xml:space="preserve">  Guarantee servicing</t>
  </si>
  <si>
    <t xml:space="preserve">  Product development</t>
  </si>
  <si>
    <r>
      <t xml:space="preserve">  </t>
    </r>
    <r>
      <rPr>
        <sz val="8"/>
        <rFont val="Arial"/>
        <family val="2"/>
      </rPr>
      <t>Web-site development</t>
    </r>
  </si>
  <si>
    <t xml:space="preserve">  Personnel department</t>
  </si>
  <si>
    <t xml:space="preserve">  Machine maintenance</t>
  </si>
  <si>
    <t xml:space="preserve">  Purchasing and warehousing </t>
  </si>
  <si>
    <t xml:space="preserve">  Business intelligence</t>
  </si>
  <si>
    <t xml:space="preserve">  Credit control</t>
  </si>
  <si>
    <t xml:space="preserve">  Insurance premiums</t>
  </si>
  <si>
    <t xml:space="preserve">  Management salaries</t>
  </si>
  <si>
    <t xml:space="preserve">  Other costs</t>
  </si>
  <si>
    <t>Total administrative expenses</t>
  </si>
  <si>
    <t>Accumulated taxable profit:</t>
  </si>
  <si>
    <t xml:space="preserve">  Profit/loss before tax</t>
  </si>
  <si>
    <t xml:space="preserve">  Previous taxable profit/loss</t>
  </si>
  <si>
    <t xml:space="preserve">  Taxable profit/loss</t>
  </si>
  <si>
    <t>Insurance claimed</t>
  </si>
  <si>
    <t>Primary non-insured risk</t>
  </si>
  <si>
    <t>INCOME STATEMENT</t>
  </si>
  <si>
    <t>Sales revenue</t>
  </si>
  <si>
    <t xml:space="preserve">  Opening inventory values</t>
  </si>
  <si>
    <t xml:space="preserve">  Components purchased</t>
  </si>
  <si>
    <t xml:space="preserve">  Materials purchased</t>
  </si>
  <si>
    <t xml:space="preserve">  Machine running costs</t>
  </si>
  <si>
    <t xml:space="preserve">  Machinists wages</t>
  </si>
  <si>
    <t xml:space="preserve">  Assembly wages</t>
  </si>
  <si>
    <t xml:space="preserve">  Quality control</t>
  </si>
  <si>
    <t xml:space="preserve">  Hired transport</t>
  </si>
  <si>
    <t xml:space="preserve">  Less closing inventory values</t>
  </si>
  <si>
    <t>Cost of sales</t>
  </si>
  <si>
    <t>Gross profit</t>
  </si>
  <si>
    <t xml:space="preserve">  Administrative expenses</t>
  </si>
  <si>
    <t xml:space="preserve">  Insurance receipts</t>
  </si>
  <si>
    <t xml:space="preserve">  Depreciation</t>
  </si>
  <si>
    <t>Operating profit/loss</t>
  </si>
  <si>
    <t xml:space="preserve">  Finance income</t>
  </si>
  <si>
    <t xml:space="preserve">  Finance expense</t>
  </si>
  <si>
    <t>Profit/loss before tax</t>
  </si>
  <si>
    <t xml:space="preserve">  Tax assessed</t>
  </si>
  <si>
    <t>Profit/loss for the period</t>
  </si>
  <si>
    <t>Earnings per share (cents)</t>
  </si>
  <si>
    <t>Dividends paid</t>
  </si>
  <si>
    <t>Transferred to retained earnings</t>
  </si>
  <si>
    <t>Previous retained earnings</t>
  </si>
  <si>
    <t>Retained earnings</t>
  </si>
  <si>
    <t>BALANCE SHEET</t>
  </si>
  <si>
    <t>Non-current assets:</t>
  </si>
  <si>
    <t xml:space="preserve">  Land</t>
  </si>
  <si>
    <t xml:space="preserve">  Buildings</t>
  </si>
  <si>
    <t xml:space="preserve">  Machinery</t>
  </si>
  <si>
    <t>Property, plant and equipment</t>
  </si>
  <si>
    <t>Current assets:</t>
  </si>
  <si>
    <t xml:space="preserve">  Product inventories</t>
  </si>
  <si>
    <t xml:space="preserve">  Component inventories</t>
  </si>
  <si>
    <t xml:space="preserve">  Materials inventory</t>
  </si>
  <si>
    <t xml:space="preserve">  Trade receivables </t>
  </si>
  <si>
    <t xml:space="preserve">  Cash and cash equivalents</t>
  </si>
  <si>
    <t>Current assets</t>
  </si>
  <si>
    <t>Total assets</t>
  </si>
  <si>
    <t>Liabilities:</t>
  </si>
  <si>
    <t xml:space="preserve">  Tax due</t>
  </si>
  <si>
    <r>
      <t xml:space="preserve">  </t>
    </r>
    <r>
      <rPr>
        <sz val="8"/>
        <rFont val="Arial"/>
        <family val="2"/>
      </rPr>
      <t>Trade payables</t>
    </r>
  </si>
  <si>
    <t xml:space="preserve">  Bank overdraft</t>
  </si>
  <si>
    <t>Current liabilities</t>
  </si>
  <si>
    <t>Term loans</t>
  </si>
  <si>
    <t>Net assets</t>
  </si>
  <si>
    <t>Equity:</t>
  </si>
  <si>
    <t xml:space="preserve">  Share capital</t>
  </si>
  <si>
    <t xml:space="preserve">  Share premium account</t>
  </si>
  <si>
    <t xml:space="preserve">  Retained earnings </t>
  </si>
  <si>
    <t>Total equity</t>
  </si>
  <si>
    <t>CASH FLOW STATEMENT</t>
  </si>
  <si>
    <t>Operating activities:</t>
  </si>
  <si>
    <t xml:space="preserve">  Trading receipts</t>
  </si>
  <si>
    <t xml:space="preserve">  Trading payments</t>
  </si>
  <si>
    <t xml:space="preserve">  Tax paid</t>
  </si>
  <si>
    <t>Net cash flow from operations</t>
  </si>
  <si>
    <t>Investing activities:</t>
  </si>
  <si>
    <t xml:space="preserve">  Interest received</t>
  </si>
  <si>
    <t xml:space="preserve">  Asset sales</t>
  </si>
  <si>
    <t xml:space="preserve">  Assets purchased</t>
  </si>
  <si>
    <t>Net cash flow from investing</t>
  </si>
  <si>
    <t>Financing activities:</t>
  </si>
  <si>
    <t xml:space="preserve">  Shares issued</t>
  </si>
  <si>
    <t xml:space="preserve">  Shares repurchased</t>
  </si>
  <si>
    <t xml:space="preserve">  Dividends paid</t>
  </si>
  <si>
    <t xml:space="preserve">  Additional loans</t>
  </si>
  <si>
    <t xml:space="preserve">  Interest paid</t>
  </si>
  <si>
    <t>Net cash flow from financing</t>
  </si>
  <si>
    <t>Net cash flow</t>
  </si>
  <si>
    <t>Previous cash balance</t>
  </si>
  <si>
    <t>Cash balance</t>
  </si>
  <si>
    <t>(including a term deposit of -</t>
  </si>
  <si>
    <t xml:space="preserve">Overdraft limit for next quarter </t>
  </si>
  <si>
    <t xml:space="preserve">Borrowing power next quarter </t>
  </si>
  <si>
    <t>€</t>
  </si>
  <si>
    <t>Financial Statements</t>
  </si>
  <si>
    <t>Company</t>
  </si>
  <si>
    <t xml:space="preserve">MANAGEMENT REPORT -  </t>
  </si>
  <si>
    <t>Group Information Pg 1</t>
  </si>
  <si>
    <t>Group</t>
  </si>
  <si>
    <t xml:space="preserve">Qtr </t>
  </si>
  <si>
    <t>ECONOMIC INTELLIGENCE</t>
  </si>
  <si>
    <r>
      <t xml:space="preserve"> </t>
    </r>
    <r>
      <rPr>
        <sz val="9"/>
        <rFont val="Arial"/>
        <family val="2"/>
      </rPr>
      <t>Gross domestic product (de-seasonalised)</t>
    </r>
  </si>
  <si>
    <r>
      <t xml:space="preserve">  </t>
    </r>
    <r>
      <rPr>
        <sz val="9"/>
        <rFont val="Arial"/>
        <family val="2"/>
      </rPr>
      <t>% Unemployment rate (de-seasonalised)</t>
    </r>
  </si>
  <si>
    <t xml:space="preserve">  Balance of external trade</t>
  </si>
  <si>
    <t>Information about next quarter:</t>
  </si>
  <si>
    <r>
      <t xml:space="preserve">  </t>
    </r>
    <r>
      <rPr>
        <sz val="9"/>
        <rFont val="Arial"/>
        <family val="2"/>
      </rPr>
      <t>Central Bank base rate (% p.a.)</t>
    </r>
  </si>
  <si>
    <t xml:space="preserve">  Building cost (€ per square metre)</t>
  </si>
  <si>
    <t xml:space="preserve">  Component cost (€ per unit)</t>
  </si>
  <si>
    <t xml:space="preserve">   from ( no premium materials)</t>
  </si>
  <si>
    <t xml:space="preserve">   to (100% premium materials)</t>
  </si>
  <si>
    <t xml:space="preserve">  Material prices ($ per '000 units)</t>
  </si>
  <si>
    <t xml:space="preserve">   Rest (of developed world)</t>
  </si>
  <si>
    <t xml:space="preserve">    Exchange rate in € per $ (USD)</t>
  </si>
  <si>
    <t>Spot price</t>
  </si>
  <si>
    <t>3 month</t>
  </si>
  <si>
    <t>6 month</t>
  </si>
  <si>
    <t>BUSINESS REPORT:</t>
  </si>
  <si>
    <t>FREE INFORMATION</t>
  </si>
  <si>
    <t>Stock market data:</t>
  </si>
  <si>
    <t xml:space="preserve">  Share price (cents)</t>
  </si>
  <si>
    <t xml:space="preserve">  Market valuation (€)</t>
  </si>
  <si>
    <t xml:space="preserve">  Dividend paid (cents/share)</t>
  </si>
  <si>
    <t xml:space="preserve">  Investment performance (€)</t>
  </si>
  <si>
    <t>Business intelligence:</t>
  </si>
  <si>
    <t xml:space="preserve"> Product prices (€)</t>
  </si>
  <si>
    <t xml:space="preserve">  Product 1:  Europe      </t>
  </si>
  <si>
    <t xml:space="preserve">  Product 2:  Europe</t>
  </si>
  <si>
    <t xml:space="preserve">  Product 3:  Europe </t>
  </si>
  <si>
    <t xml:space="preserve">  Production employees</t>
  </si>
  <si>
    <r>
      <t xml:space="preserve">  </t>
    </r>
    <r>
      <rPr>
        <sz val="9"/>
        <rFont val="Arial"/>
        <family val="2"/>
      </rPr>
      <t>Assembly wage rate (cents/hr)</t>
    </r>
  </si>
  <si>
    <t xml:space="preserve">  Number of agents/distributors</t>
  </si>
  <si>
    <t>Group Information Pg 2</t>
  </si>
  <si>
    <t>COMPANY BALANCE SHEETS</t>
  </si>
  <si>
    <t xml:space="preserve">            for Company:</t>
  </si>
  <si>
    <t>Assets</t>
  </si>
  <si>
    <t xml:space="preserve"> Property, plant and equipment</t>
  </si>
  <si>
    <t xml:space="preserve"> Inventories</t>
  </si>
  <si>
    <t xml:space="preserve"> Trade receivables </t>
  </si>
  <si>
    <t xml:space="preserve"> Cash and cash equivalents</t>
  </si>
  <si>
    <t>Liabilities</t>
  </si>
  <si>
    <t xml:space="preserve"> Tax assessed and due</t>
  </si>
  <si>
    <t xml:space="preserve"> Trade payables</t>
  </si>
  <si>
    <t xml:space="preserve"> Bank overdraft</t>
  </si>
  <si>
    <t xml:space="preserve"> Long term loans</t>
  </si>
  <si>
    <t>Equity</t>
  </si>
  <si>
    <t xml:space="preserve"> Ordinary capital</t>
  </si>
  <si>
    <t xml:space="preserve"> Share premium account</t>
  </si>
  <si>
    <t xml:space="preserve"> Retained earnings</t>
  </si>
  <si>
    <t>Net Worth</t>
  </si>
  <si>
    <t>PURCHASED INFORMATION</t>
  </si>
  <si>
    <t xml:space="preserve">      Company number:</t>
  </si>
  <si>
    <t xml:space="preserve">Market shares (% by volume sold) </t>
  </si>
  <si>
    <t xml:space="preserve">  Product 1: Europe</t>
  </si>
  <si>
    <t xml:space="preserve">  Product 2: Europe</t>
  </si>
  <si>
    <t xml:space="preserve">  Product 3: Europe</t>
  </si>
  <si>
    <t xml:space="preserve">Competitors' business activity </t>
  </si>
  <si>
    <t xml:space="preserve">    Company number:</t>
  </si>
  <si>
    <t xml:space="preserve">  Total advertising expenditure (€)</t>
  </si>
  <si>
    <t xml:space="preserve">  Total product development (€)</t>
  </si>
  <si>
    <t xml:space="preserve">  Consumer star ratings:</t>
  </si>
  <si>
    <t xml:space="preserve">     Product 1</t>
  </si>
  <si>
    <t xml:space="preserve">     Product 2</t>
  </si>
  <si>
    <t xml:space="preserve">     Product 3</t>
  </si>
  <si>
    <t xml:space="preserve">     Web-site </t>
  </si>
  <si>
    <t>Quarter</t>
  </si>
  <si>
    <t>Orders revenue</t>
  </si>
  <si>
    <t>Balance</t>
  </si>
  <si>
    <t>Credit</t>
  </si>
  <si>
    <t>Advertising</t>
  </si>
  <si>
    <t>Optimal advertising</t>
  </si>
  <si>
    <t>Agents and distributors</t>
  </si>
  <si>
    <t>Production plan</t>
  </si>
  <si>
    <t>Rejected</t>
  </si>
  <si>
    <t>Guarantee</t>
  </si>
  <si>
    <t>Components</t>
  </si>
  <si>
    <t>Subcontracting</t>
  </si>
  <si>
    <t>Factory</t>
  </si>
  <si>
    <t>Available space</t>
  </si>
  <si>
    <t>Space</t>
  </si>
  <si>
    <t>Price components</t>
  </si>
  <si>
    <t>Price production</t>
  </si>
  <si>
    <t>Quality</t>
  </si>
  <si>
    <t>Premium materials</t>
  </si>
  <si>
    <t>Variable costs in price</t>
  </si>
  <si>
    <t>Production details</t>
  </si>
  <si>
    <t>Hours breakdown</t>
  </si>
  <si>
    <t>Machines</t>
  </si>
  <si>
    <t>Maintenance hours</t>
  </si>
  <si>
    <t>Hours for details</t>
  </si>
  <si>
    <t>Assembly details</t>
  </si>
  <si>
    <t>Hours for assembly</t>
  </si>
  <si>
    <t>Hours sickness</t>
  </si>
  <si>
    <t>Raw materials</t>
  </si>
  <si>
    <t>Additional materials</t>
  </si>
  <si>
    <t>Required materials</t>
  </si>
  <si>
    <t>Materials will remain</t>
  </si>
  <si>
    <t>Spot - 1, 2, 3, 4, 5</t>
  </si>
  <si>
    <t>3 mth - 1, 2, 3, 4</t>
  </si>
  <si>
    <t>6 mth - 1, 2, 3</t>
  </si>
  <si>
    <t>Operations</t>
  </si>
  <si>
    <t>Share price</t>
  </si>
  <si>
    <t>Exchange rate</t>
  </si>
  <si>
    <t>Bank base rate</t>
  </si>
  <si>
    <t>Issue/repurchase shares</t>
  </si>
  <si>
    <t>Dividends</t>
  </si>
  <si>
    <t>Term deposit</t>
  </si>
  <si>
    <t>Management budget</t>
  </si>
  <si>
    <t>Backlog of orders</t>
  </si>
  <si>
    <t>Prices</t>
  </si>
  <si>
    <t>Total demand</t>
  </si>
  <si>
    <t>Seasonality</t>
  </si>
  <si>
    <t>Corporate advertising</t>
  </si>
  <si>
    <t>Direct advertising</t>
  </si>
  <si>
    <t>Average prices</t>
  </si>
  <si>
    <t>Ports</t>
  </si>
  <si>
    <t>Deviation</t>
  </si>
  <si>
    <t>Prices analysis</t>
  </si>
  <si>
    <t>Advertising analysis</t>
  </si>
  <si>
    <t>Profit</t>
  </si>
  <si>
    <t>Nafta 1</t>
  </si>
  <si>
    <t>Nafta 2</t>
  </si>
  <si>
    <t>Nafta 3</t>
  </si>
  <si>
    <t>Internet service provider</t>
  </si>
  <si>
    <t>Sales office</t>
  </si>
  <si>
    <t>Transport</t>
  </si>
  <si>
    <t>Personnel department</t>
  </si>
  <si>
    <t>Business intelligence</t>
  </si>
  <si>
    <t>Credit control</t>
  </si>
  <si>
    <t>Insurance</t>
  </si>
  <si>
    <t>Other costs</t>
  </si>
  <si>
    <t>Materials purchased</t>
  </si>
  <si>
    <t>Machinists wages</t>
  </si>
  <si>
    <t>Assembly wages</t>
  </si>
  <si>
    <t>Machine running costs</t>
  </si>
  <si>
    <t>Quality control</t>
  </si>
  <si>
    <t>Depreciation</t>
  </si>
  <si>
    <t>Revenues, marginal costs</t>
  </si>
  <si>
    <t>Costs per products</t>
  </si>
  <si>
    <t>Non-current assets</t>
  </si>
  <si>
    <t>Cash and cash equivalents</t>
  </si>
  <si>
    <t>Tax assessed and due</t>
  </si>
  <si>
    <t>Bank overdraft</t>
  </si>
  <si>
    <t>Share capital</t>
  </si>
  <si>
    <t>Share premium account</t>
  </si>
  <si>
    <t>Long term loans</t>
  </si>
  <si>
    <t>Expenses</t>
  </si>
  <si>
    <t>Investment performance</t>
  </si>
  <si>
    <t>Internet 1</t>
  </si>
  <si>
    <t>Internet 2</t>
  </si>
  <si>
    <t>Internet 3</t>
  </si>
  <si>
    <t>Revenue</t>
  </si>
  <si>
    <t>Shares</t>
  </si>
  <si>
    <t>Amount</t>
  </si>
  <si>
    <t>Sales</t>
  </si>
  <si>
    <t>Market</t>
  </si>
  <si>
    <t>Europe 1</t>
  </si>
  <si>
    <t>Europe 2</t>
  </si>
  <si>
    <t>Europe 3</t>
  </si>
  <si>
    <t>Inventories</t>
  </si>
  <si>
    <t>Workers</t>
  </si>
  <si>
    <t>Mechanics</t>
  </si>
  <si>
    <t>Total</t>
  </si>
  <si>
    <t>Left</t>
  </si>
  <si>
    <t>Load</t>
  </si>
  <si>
    <t>Left, %</t>
  </si>
  <si>
    <t>Assembly, %</t>
  </si>
  <si>
    <t>Actual</t>
  </si>
  <si>
    <t>Plan</t>
  </si>
  <si>
    <t>Number needed</t>
  </si>
  <si>
    <t>Commission</t>
  </si>
  <si>
    <t>6 mth</t>
  </si>
  <si>
    <t>3 mth</t>
  </si>
  <si>
    <t>Web-site</t>
  </si>
  <si>
    <t>Star rating</t>
  </si>
  <si>
    <t>Development</t>
  </si>
  <si>
    <t>Visits</t>
  </si>
  <si>
    <t>Unemployment rate</t>
  </si>
  <si>
    <t>Finance</t>
  </si>
  <si>
    <t>Component cost</t>
  </si>
  <si>
    <t>Warehouse</t>
  </si>
  <si>
    <t>Stocks</t>
  </si>
  <si>
    <t>Order</t>
  </si>
  <si>
    <t>Profitability</t>
  </si>
  <si>
    <t>Liquid assets/Bank overdraft</t>
  </si>
  <si>
    <t>R&amp;D 1</t>
  </si>
  <si>
    <t>R&amp;D 2</t>
  </si>
  <si>
    <t>R&amp;D 3</t>
  </si>
  <si>
    <t>IP plan</t>
  </si>
  <si>
    <t>IP actual</t>
  </si>
  <si>
    <t>Net assets (IP)</t>
  </si>
  <si>
    <t>Shares (IP)</t>
  </si>
  <si>
    <t>Dividends (IP)</t>
  </si>
  <si>
    <t>Calculate dividends</t>
  </si>
  <si>
    <t>Percents</t>
  </si>
  <si>
    <t>Proportions</t>
  </si>
  <si>
    <t>Cash in 5 period</t>
  </si>
  <si>
    <t>Liquid assets in 5 period</t>
  </si>
  <si>
    <t>Total dividends for 5 periods</t>
  </si>
  <si>
    <t>"Extra" cash</t>
  </si>
  <si>
    <t>"Extra" dividends</t>
  </si>
  <si>
    <t>Production hours limit</t>
  </si>
  <si>
    <t>Recruit</t>
  </si>
  <si>
    <t>Cost</t>
  </si>
  <si>
    <t>R&amp;D obsolescence</t>
  </si>
  <si>
    <t>Premium materials quality</t>
  </si>
  <si>
    <t>Management budget ^x</t>
  </si>
  <si>
    <t>None</t>
  </si>
  <si>
    <t>Weeks of strike</t>
  </si>
  <si>
    <t>Manual correction</t>
  </si>
  <si>
    <t>Scenario 15C1, 16C1 and new</t>
  </si>
  <si>
    <t>Scenario 12C1, 12C3, 14C1, 14C3</t>
  </si>
  <si>
    <t>Premium materials x1</t>
  </si>
  <si>
    <t>Premium materials elasticity</t>
  </si>
  <si>
    <t>R&amp;D х1</t>
  </si>
  <si>
    <t>R&amp;D elasticity</t>
  </si>
  <si>
    <t>Prices k/x</t>
  </si>
  <si>
    <t>Prices elasticity</t>
  </si>
  <si>
    <t>Web-site ^x</t>
  </si>
  <si>
    <t>Corporate x1</t>
  </si>
  <si>
    <t>Assembly k^x</t>
  </si>
  <si>
    <t>Assembly elasticity</t>
  </si>
  <si>
    <t>Direct advertising x1</t>
  </si>
  <si>
    <t>Training</t>
  </si>
  <si>
    <t>Train workers</t>
  </si>
  <si>
    <t>Training ^x</t>
  </si>
  <si>
    <t>Staff Training (days)</t>
  </si>
  <si>
    <t>Trade receivables</t>
  </si>
  <si>
    <t>Guarantee servicing</t>
  </si>
  <si>
    <t>Product development</t>
  </si>
  <si>
    <t>Machine maintenance</t>
  </si>
  <si>
    <t>Insurance premiums</t>
  </si>
  <si>
    <t>Previous taxable profit/loss</t>
  </si>
  <si>
    <t>Taxable profit/loss</t>
  </si>
  <si>
    <t>Opening inventory values</t>
  </si>
  <si>
    <t>Components purchased</t>
  </si>
  <si>
    <t>Hired transport</t>
  </si>
  <si>
    <t>Less closing inventory values</t>
  </si>
  <si>
    <t>Administrative expenses</t>
  </si>
  <si>
    <t>Insurance receipts</t>
  </si>
  <si>
    <t>Finance income</t>
  </si>
  <si>
    <t>Finance expense</t>
  </si>
  <si>
    <t>Tax assessed</t>
  </si>
  <si>
    <t>Land</t>
  </si>
  <si>
    <t>Buildings</t>
  </si>
  <si>
    <t>Machinery</t>
  </si>
  <si>
    <t>Product inventories</t>
  </si>
  <si>
    <t>Component inventories</t>
  </si>
  <si>
    <t>Materials inventory</t>
  </si>
  <si>
    <t>Cash</t>
  </si>
  <si>
    <t>Cash equivalents</t>
  </si>
  <si>
    <t>Tax due</t>
  </si>
  <si>
    <t>Trade payables</t>
  </si>
  <si>
    <t>Borrowing power</t>
  </si>
  <si>
    <t>Trading receipts</t>
  </si>
  <si>
    <t>Trading payments</t>
  </si>
  <si>
    <t>Tax paid</t>
  </si>
  <si>
    <t>Interest received</t>
  </si>
  <si>
    <t>Asset sales</t>
  </si>
  <si>
    <t>Assets purchased</t>
  </si>
  <si>
    <t>Shares issued</t>
  </si>
  <si>
    <t>Shares repurchased</t>
  </si>
  <si>
    <t>Additional loans</t>
  </si>
  <si>
    <t>Interest paid</t>
  </si>
  <si>
    <t>Overdraft limit for next quarter</t>
  </si>
  <si>
    <t>Borrowing power next quarter</t>
  </si>
  <si>
    <t>Quantities to deliver to</t>
  </si>
  <si>
    <t>Personnel</t>
  </si>
  <si>
    <t>Information</t>
  </si>
  <si>
    <t>Costs per items</t>
  </si>
  <si>
    <t>Operating activities</t>
  </si>
  <si>
    <t>Investing activities</t>
  </si>
  <si>
    <t>Financing activities</t>
  </si>
  <si>
    <t>Accumulated taxable profit</t>
  </si>
  <si>
    <t xml:space="preserve">Purchasing and warehousing </t>
  </si>
  <si>
    <t xml:space="preserve">Retained earnings </t>
  </si>
  <si>
    <t>Including a term deposit</t>
  </si>
  <si>
    <t>A&amp;D - commission</t>
  </si>
  <si>
    <t>7 days</t>
  </si>
  <si>
    <t>6 days</t>
  </si>
  <si>
    <t>5 days</t>
  </si>
  <si>
    <t>A&amp;D - support</t>
  </si>
  <si>
    <t>Components next quarter</t>
  </si>
  <si>
    <t>Efficiency, %</t>
  </si>
  <si>
    <t>Orders next quarter</t>
  </si>
  <si>
    <t>Next quarter</t>
  </si>
  <si>
    <t>Workers next quarter</t>
  </si>
  <si>
    <t>Production plan next quarter</t>
  </si>
  <si>
    <t>Mechanics next quarter</t>
  </si>
  <si>
    <t>Sales next quarter</t>
  </si>
  <si>
    <t>Previous quarter</t>
  </si>
  <si>
    <t>Prices previous quarter</t>
  </si>
  <si>
    <t>Average prices previous quarter</t>
  </si>
  <si>
    <t>Optimum cash</t>
  </si>
  <si>
    <t>A&amp;D - recruit</t>
  </si>
  <si>
    <t>A&amp;D - support ^x</t>
  </si>
  <si>
    <t>A&amp;D - number ^x</t>
  </si>
  <si>
    <t>A&amp;D - commission ^x</t>
  </si>
  <si>
    <t>Materials to buy</t>
  </si>
  <si>
    <t>Assembly time</t>
  </si>
  <si>
    <t>Earnings per share</t>
  </si>
  <si>
    <t>Factory extension</t>
  </si>
  <si>
    <t>Recruit workers</t>
  </si>
  <si>
    <t>Recruit mechanics</t>
  </si>
  <si>
    <t>Machinists wage rate</t>
  </si>
  <si>
    <t>Workers wage rate</t>
  </si>
  <si>
    <t>Stocks previous quarter</t>
  </si>
  <si>
    <t>Stocks next quarter</t>
  </si>
  <si>
    <t>Get MINOR</t>
  </si>
  <si>
    <t>Implement MAJOR</t>
  </si>
  <si>
    <t>Get MAJOR</t>
  </si>
  <si>
    <t xml:space="preserve"> This is a history quarter</t>
  </si>
  <si>
    <t xml:space="preserve">  ***</t>
  </si>
  <si>
    <t xml:space="preserve">   **</t>
  </si>
  <si>
    <t xml:space="preserve">   1.75</t>
  </si>
  <si>
    <t xml:space="preserve">   1.76</t>
  </si>
  <si>
    <t xml:space="preserve">   1.53</t>
  </si>
  <si>
    <t xml:space="preserve">   1.58</t>
  </si>
  <si>
    <t xml:space="preserve">   1.63</t>
  </si>
  <si>
    <t xml:space="preserve">    *</t>
  </si>
  <si>
    <t xml:space="preserve">   2.63</t>
  </si>
  <si>
    <t xml:space="preserve">   1.68</t>
  </si>
  <si>
    <t xml:space="preserve">   1.73</t>
  </si>
  <si>
    <t xml:space="preserve">  2.7</t>
  </si>
  <si>
    <t xml:space="preserve">  5.8</t>
  </si>
  <si>
    <t xml:space="preserve">  1.4</t>
  </si>
  <si>
    <t xml:space="preserve">  3.4</t>
  </si>
  <si>
    <t xml:space="preserve">  7.2</t>
  </si>
  <si>
    <t xml:space="preserve">  2.4</t>
  </si>
  <si>
    <t xml:space="preserve">  5.2</t>
  </si>
  <si>
    <t xml:space="preserve">  1.2</t>
  </si>
  <si>
    <t xml:space="preserve">  8.6</t>
  </si>
  <si>
    <t xml:space="preserve">  3.1</t>
  </si>
  <si>
    <t xml:space="preserve">  4.4</t>
  </si>
  <si>
    <t xml:space="preserve">  2.9</t>
  </si>
  <si>
    <t xml:space="preserve">  5.4</t>
  </si>
  <si>
    <t xml:space="preserve">  2.0</t>
  </si>
  <si>
    <t xml:space="preserve">  4.2</t>
  </si>
  <si>
    <t xml:space="preserve">  7.1</t>
  </si>
  <si>
    <t xml:space="preserve">  4.8</t>
  </si>
  <si>
    <t xml:space="preserve">  1.1</t>
  </si>
  <si>
    <t xml:space="preserve">  4.0</t>
  </si>
  <si>
    <t xml:space="preserve">  5.6</t>
  </si>
  <si>
    <t xml:space="preserve">  1.9</t>
  </si>
  <si>
    <t xml:space="preserve">  6.5</t>
  </si>
  <si>
    <t xml:space="preserve">  2.8</t>
  </si>
  <si>
    <t xml:space="preserve">  5.1</t>
  </si>
  <si>
    <t xml:space="preserve">  1.0</t>
  </si>
  <si>
    <t xml:space="preserve">  2.2</t>
  </si>
  <si>
    <t xml:space="preserve">  2.6</t>
  </si>
  <si>
    <t xml:space="preserve">  5.3</t>
  </si>
  <si>
    <t xml:space="preserve">  6.3</t>
  </si>
  <si>
    <t xml:space="preserve">  7.0</t>
  </si>
  <si>
    <t xml:space="preserve">  3.6</t>
  </si>
  <si>
    <t xml:space="preserve">   1.78</t>
  </si>
  <si>
    <t xml:space="preserve">  1.7</t>
  </si>
  <si>
    <t xml:space="preserve">  3.8</t>
  </si>
  <si>
    <t xml:space="preserve">  8.0</t>
  </si>
  <si>
    <t xml:space="preserve">  4.1</t>
  </si>
  <si>
    <t xml:space="preserve">  6.4</t>
  </si>
  <si>
    <t xml:space="preserve">  4.3</t>
  </si>
  <si>
    <t xml:space="preserve">  4.5</t>
  </si>
  <si>
    <t xml:space="preserve">  4.7</t>
  </si>
  <si>
    <t xml:space="preserve">  6.6</t>
  </si>
  <si>
    <t xml:space="preserve">  6.7</t>
  </si>
  <si>
    <t xml:space="preserve">  7.6</t>
  </si>
  <si>
    <t xml:space="preserve">  1.3</t>
  </si>
  <si>
    <t xml:space="preserve">  6.0</t>
  </si>
  <si>
    <t xml:space="preserve">  6.2</t>
  </si>
  <si>
    <t xml:space="preserve">  8.7</t>
  </si>
  <si>
    <t xml:space="preserve">  7.7</t>
  </si>
  <si>
    <t xml:space="preserve">  5.7</t>
  </si>
  <si>
    <t xml:space="preserve">  4.9</t>
  </si>
  <si>
    <t xml:space="preserve">  4.6</t>
  </si>
  <si>
    <t xml:space="preserve">  8.8</t>
  </si>
  <si>
    <t xml:space="preserve">  6.1</t>
  </si>
  <si>
    <t xml:space="preserve">  3.2</t>
  </si>
  <si>
    <t xml:space="preserve">  5.9</t>
  </si>
  <si>
    <t>16C1</t>
  </si>
  <si>
    <t xml:space="preserve">   1.45</t>
  </si>
  <si>
    <t xml:space="preserve">  5.5</t>
  </si>
  <si>
    <t xml:space="preserve">  7.9</t>
  </si>
  <si>
    <t xml:space="preserve"> 10.0</t>
  </si>
  <si>
    <t xml:space="preserve"> 032 17/06/2016</t>
  </si>
  <si>
    <t xml:space="preserve">   1.55</t>
  </si>
  <si>
    <t xml:space="preserve">   1.60</t>
  </si>
  <si>
    <t xml:space="preserve">   1.65</t>
  </si>
  <si>
    <t xml:space="preserve">   1.70</t>
  </si>
  <si>
    <t>17С1</t>
  </si>
  <si>
    <t>A&amp;D support ^x</t>
  </si>
  <si>
    <t>A&amp;D number ^x</t>
  </si>
  <si>
    <t>A&amp;D commission ^x</t>
  </si>
  <si>
    <t>Backlog</t>
  </si>
  <si>
    <t xml:space="preserve">  17C1</t>
  </si>
  <si>
    <t>The European economy is starting to improve. Unemployment</t>
  </si>
  <si>
    <t>has dropped. However many jobs are part time or temporary.</t>
  </si>
  <si>
    <t>Growing levels of investment in Europe are signs that management</t>
  </si>
  <si>
    <t>of companies are regaining confidence. Manufacturing firms are</t>
  </si>
  <si>
    <t>spending on items such as renewable energy. There is confidence</t>
  </si>
  <si>
    <t>that there will be positive returns on projects.</t>
  </si>
  <si>
    <t>The European Union thinks that it is too risky to increase interest</t>
  </si>
  <si>
    <t>rates. Inflation is increasing but past experience has shown that</t>
  </si>
  <si>
    <t>if interest rates are increased too soon this can slow down the</t>
  </si>
  <si>
    <t>the economy.</t>
  </si>
  <si>
    <t>The use of fossil fuels is under threat from social acceptability</t>
  </si>
  <si>
    <t>trends. Companies in this sector are facing a growing resistance</t>
  </si>
  <si>
    <t>from users. Regulators and investors are showing concern that</t>
  </si>
  <si>
    <t>the companies may end up with unusable assets in future.</t>
  </si>
  <si>
    <t>Cyber security attacks have increased and are causing serious concerns.</t>
  </si>
  <si>
    <t>Public and private companies are being attacked and these cause both</t>
  </si>
  <si>
    <t>social and economic disturbances and high costs.</t>
  </si>
  <si>
    <t xml:space="preserve">  3.0</t>
  </si>
  <si>
    <t xml:space="preserve">  9.1</t>
  </si>
  <si>
    <t xml:space="preserve">  3.7</t>
  </si>
  <si>
    <t>The International Monetory Fund is optimistic that</t>
  </si>
  <si>
    <t>the global economy has turned a corner. They think</t>
  </si>
  <si>
    <t>that growth is broad based with not only the eurozone</t>
  </si>
  <si>
    <t>picking up but the global economy as well.</t>
  </si>
  <si>
    <t xml:space="preserve"> 032 20/10/2017</t>
  </si>
  <si>
    <t xml:space="preserve"> GBR 181122170122</t>
  </si>
  <si>
    <t>Carlos  Sanz Garz≤n</t>
  </si>
  <si>
    <t>Acme</t>
  </si>
  <si>
    <t xml:space="preserve">   1.50</t>
  </si>
  <si>
    <t xml:space="preserve">  0.9</t>
  </si>
  <si>
    <t xml:space="preserve"> 11.2</t>
  </si>
  <si>
    <t xml:space="preserve">  9.2</t>
  </si>
  <si>
    <t>US shale developments are likely to have a long term impact</t>
  </si>
  <si>
    <t>on energy provision.American exports are reducing prices of</t>
  </si>
  <si>
    <t>oil and gas globally. This is having political as well as</t>
  </si>
  <si>
    <t>economic effects.</t>
  </si>
  <si>
    <t xml:space="preserve"> GBR 181129182516</t>
  </si>
  <si>
    <t>NOTA:Uso la desviación de la anterior para aproximar</t>
  </si>
  <si>
    <t xml:space="preserve">NO </t>
  </si>
  <si>
    <t xml:space="preserve">   3.47</t>
  </si>
  <si>
    <t xml:space="preserve">   3.60</t>
  </si>
  <si>
    <t xml:space="preserve">   2.80</t>
  </si>
  <si>
    <t xml:space="preserve">  3.5</t>
  </si>
  <si>
    <t xml:space="preserve">  9.8</t>
  </si>
  <si>
    <t xml:space="preserve">  7.3</t>
  </si>
  <si>
    <t xml:space="preserve">  9.7</t>
  </si>
  <si>
    <t xml:space="preserve">  8.3</t>
  </si>
  <si>
    <t xml:space="preserve"> 11.1</t>
  </si>
  <si>
    <t xml:space="preserve">  9.6</t>
  </si>
  <si>
    <t xml:space="preserve">  7.5</t>
  </si>
  <si>
    <t xml:space="preserve">  6.9</t>
  </si>
  <si>
    <t xml:space="preserve">  9.9</t>
  </si>
  <si>
    <t xml:space="preserve">  9.3</t>
  </si>
  <si>
    <t xml:space="preserve">  8.4</t>
  </si>
  <si>
    <t xml:space="preserve"> 11.5</t>
  </si>
  <si>
    <t xml:space="preserve">  7.8</t>
  </si>
  <si>
    <t xml:space="preserve">  8.2</t>
  </si>
  <si>
    <t xml:space="preserve">  9.0</t>
  </si>
  <si>
    <t xml:space="preserve"> 10.3</t>
  </si>
  <si>
    <t xml:space="preserve"> ****</t>
  </si>
  <si>
    <t>Sales are beginning to tighten up as previous forecasts look</t>
  </si>
  <si>
    <t>too optimistic. Companies are hoping that the improvements</t>
  </si>
  <si>
    <t>they made in reducing costs and targetting marketing</t>
  </si>
  <si>
    <t>will now prove worthwhile.</t>
  </si>
  <si>
    <t xml:space="preserve"> GBR 181206173614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</si>
</sst>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7">
    <numFmt numFmtId="43" formatCode="_-* #,##0.00\ _€_-;\-* #,##0.00\ _€_-;_-* &quot;-&quot;??\ _€_-;_-@_-"/>
    <numFmt numFmtId="164" formatCode="_-* #,##0.00_р_._-;\-* #,##0.00_р_._-;_-* &quot;-&quot;??_р_._-;_-@_-"/>
    <numFmt numFmtId="165" formatCode="0.0"/>
    <numFmt numFmtId="166" formatCode="0;\-0;;@"/>
    <numFmt numFmtId="167" formatCode="0;\-;;@"/>
    <numFmt numFmtId="168" formatCode="#,##0_ ;[Red]\-#,##0\ "/>
    <numFmt numFmtId="169" formatCode="0_ ;[Red]\-0\ "/>
    <numFmt numFmtId="170" formatCode="0.0%"/>
    <numFmt numFmtId="171" formatCode="#,##0.0"/>
    <numFmt numFmtId="172" formatCode="0.000"/>
    <numFmt numFmtId="173" formatCode="#,##0_ ;\-#,##0\ "/>
    <numFmt numFmtId="174" formatCode="#,##0.0000"/>
    <numFmt numFmtId="175" formatCode="0.00000"/>
    <numFmt numFmtId="176" formatCode="#,##0.0_ ;\-#,##0.0\ "/>
    <numFmt numFmtId="177" formatCode="#"/>
    <numFmt numFmtId="178" formatCode="#,##0.00000"/>
    <numFmt numFmtId="179" formatCode="0.0000"/>
  </numFmts>
  <fonts count="49" x14ac:knownFonts="1">
    <font>
      <sz val="10"/>
      <name val="Arial"/>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i/>
      <sz val="8"/>
      <name val="Arial"/>
      <family val="2"/>
    </font>
    <font>
      <sz val="10"/>
      <name val="Arial"/>
      <family val="2"/>
    </font>
    <font>
      <b/>
      <sz val="9"/>
      <name val="Arial"/>
      <family val="2"/>
    </font>
    <font>
      <sz val="9"/>
      <name val="Arial"/>
      <family val="2"/>
    </font>
    <font>
      <sz val="8"/>
      <name val="Arial"/>
      <family val="2"/>
    </font>
    <font>
      <sz val="10"/>
      <name val="Arial"/>
      <family val="2"/>
      <charset val="204"/>
    </font>
    <font>
      <sz val="10"/>
      <color indexed="10"/>
      <name val="Arial"/>
      <family val="2"/>
      <charset val="204"/>
    </font>
    <font>
      <sz val="10"/>
      <color rgb="FF0070C0"/>
      <name val="Arial"/>
      <family val="2"/>
      <charset val="204"/>
    </font>
    <font>
      <sz val="10"/>
      <color rgb="FFFF0000"/>
      <name val="Arial"/>
      <family val="2"/>
      <charset val="204"/>
    </font>
    <font>
      <sz val="10"/>
      <name val="Arial"/>
      <family val="2"/>
      <charset val="204"/>
    </font>
    <font>
      <sz val="10"/>
      <color rgb="FF00B050"/>
      <name val="Arial"/>
      <family val="2"/>
      <charset val="204"/>
    </font>
    <font>
      <sz val="8"/>
      <name val="Arial"/>
      <family val="2"/>
      <charset val="204"/>
    </font>
    <font>
      <sz val="9"/>
      <color indexed="81"/>
      <name val="Tahoma"/>
      <family val="2"/>
      <charset val="204"/>
    </font>
    <font>
      <b/>
      <sz val="10"/>
      <name val="Arial"/>
      <family val="2"/>
      <charset val="204"/>
    </font>
    <font>
      <b/>
      <sz val="12"/>
      <name val="Arial"/>
      <family val="2"/>
    </font>
    <font>
      <sz val="9"/>
      <name val="Arial"/>
      <family val="2"/>
      <charset val="204"/>
    </font>
    <font>
      <sz val="11"/>
      <color theme="1"/>
      <name val="Calibri"/>
      <family val="2"/>
      <scheme val="minor"/>
    </font>
    <font>
      <b/>
      <sz val="26"/>
      <color rgb="FF008080"/>
      <name val="Arial"/>
      <family val="2"/>
    </font>
    <font>
      <b/>
      <sz val="26"/>
      <color indexed="21"/>
      <name val="Arial"/>
      <family val="2"/>
    </font>
    <font>
      <sz val="10"/>
      <color indexed="21"/>
      <name val="Arial"/>
      <family val="2"/>
    </font>
    <font>
      <b/>
      <sz val="14"/>
      <color indexed="21"/>
      <name val="Arial"/>
      <family val="2"/>
    </font>
    <font>
      <b/>
      <sz val="11"/>
      <name val="Arial"/>
      <family val="2"/>
    </font>
    <font>
      <b/>
      <sz val="20"/>
      <color indexed="21"/>
      <name val="Arial"/>
      <family val="2"/>
    </font>
    <font>
      <b/>
      <sz val="12"/>
      <color indexed="21"/>
      <name val="Arial"/>
      <family val="2"/>
    </font>
    <font>
      <b/>
      <sz val="11"/>
      <color rgb="FF008080"/>
      <name val="Arial"/>
      <family val="2"/>
    </font>
    <font>
      <b/>
      <sz val="9"/>
      <color indexed="21"/>
      <name val="Arial"/>
      <family val="2"/>
    </font>
    <font>
      <sz val="9"/>
      <name val="Arial Unicode MS"/>
      <family val="2"/>
    </font>
    <font>
      <b/>
      <sz val="9"/>
      <name val="Arial Unicode MS"/>
      <family val="2"/>
    </font>
    <font>
      <sz val="8"/>
      <name val="Arial Unicode MS"/>
      <family val="2"/>
    </font>
    <font>
      <b/>
      <sz val="8"/>
      <name val="Arial"/>
      <family val="2"/>
    </font>
    <font>
      <b/>
      <sz val="10"/>
      <color indexed="21"/>
      <name val="Arial"/>
      <family val="2"/>
    </font>
    <font>
      <sz val="9"/>
      <color indexed="12"/>
      <name val="Arial"/>
      <family val="2"/>
    </font>
    <font>
      <i/>
      <sz val="9"/>
      <name val="Arial"/>
      <family val="2"/>
    </font>
    <font>
      <sz val="9"/>
      <name val="Arial"/>
      <family val="2"/>
      <charset val="1"/>
    </font>
    <font>
      <b/>
      <sz val="11"/>
      <color indexed="21"/>
      <name val="Arial"/>
      <family val="2"/>
    </font>
    <font>
      <sz val="10"/>
      <color theme="1"/>
      <name val="Arial"/>
      <family val="2"/>
      <charset val="204"/>
    </font>
    <font>
      <sz val="8"/>
      <color theme="3"/>
      <name val="Arial"/>
      <family val="2"/>
      <charset val="204"/>
    </font>
    <font>
      <sz val="10"/>
      <color theme="4"/>
      <name val="Arial"/>
      <family val="2"/>
      <charset val="204"/>
    </font>
    <font>
      <b/>
      <sz val="9"/>
      <color indexed="21"/>
      <name val="Arial"/>
      <family val="2"/>
      <charset val="204"/>
    </font>
    <font>
      <b/>
      <sz val="9"/>
      <name val="Arial"/>
      <family val="2"/>
      <charset val="204"/>
    </font>
    <font>
      <i/>
      <sz val="9"/>
      <name val="Arial"/>
      <family val="2"/>
      <charset val="204"/>
    </font>
    <font>
      <sz val="10"/>
      <color rgb="FF000000"/>
      <name val="Arial"/>
      <family val="2"/>
    </font>
  </fonts>
  <fills count="9">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99"/>
        <bgColor indexed="64"/>
      </patternFill>
    </fill>
    <fill>
      <patternFill patternType="solid">
        <fgColor rgb="FFFFFF00"/>
        <bgColor indexed="64"/>
      </patternFill>
    </fill>
    <fill>
      <patternFill patternType="solid">
        <fgColor rgb="FF92D050"/>
        <bgColor indexed="64"/>
      </patternFill>
    </fill>
    <fill>
      <patternFill patternType="solid">
        <fgColor rgb="FFFFFFCC"/>
        <bgColor indexed="64"/>
      </patternFill>
    </fill>
  </fills>
  <borders count="8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style="thin">
        <color indexed="8"/>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thin">
        <color indexed="8"/>
      </left>
      <right/>
      <top style="thin">
        <color indexed="8"/>
      </top>
      <bottom style="thin">
        <color indexed="8"/>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style="thin">
        <color indexed="64"/>
      </left>
      <right style="thin">
        <color indexed="64"/>
      </right>
      <top/>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29">
    <xf numFmtId="0" fontId="0" fillId="0" borderId="0"/>
    <xf numFmtId="9" fontId="16" fillId="0" borderId="0" applyFont="0" applyFill="0" applyBorder="0" applyAlignment="0" applyProtection="0"/>
    <xf numFmtId="9" fontId="12" fillId="0" borderId="0" applyFont="0" applyFill="0" applyBorder="0" applyAlignment="0" applyProtection="0"/>
    <xf numFmtId="0" fontId="12" fillId="0" borderId="0"/>
    <xf numFmtId="0" fontId="6" fillId="0" borderId="0"/>
    <xf numFmtId="0" fontId="23" fillId="0" borderId="0"/>
    <xf numFmtId="9" fontId="23" fillId="0" borderId="0" applyFont="0" applyFill="0" applyBorder="0" applyAlignment="0" applyProtection="0"/>
    <xf numFmtId="0" fontId="5" fillId="0" borderId="0"/>
    <xf numFmtId="43" fontId="12" fillId="0" borderId="0" applyFont="0" applyFill="0" applyBorder="0" applyAlignment="0" applyProtection="0"/>
    <xf numFmtId="0" fontId="4" fillId="0" borderId="0"/>
    <xf numFmtId="0" fontId="4" fillId="0" borderId="0"/>
    <xf numFmtId="0" fontId="3" fillId="0" borderId="0"/>
    <xf numFmtId="0" fontId="12" fillId="0" borderId="0"/>
    <xf numFmtId="0" fontId="2" fillId="0" borderId="0"/>
    <xf numFmtId="0" fontId="2" fillId="0" borderId="0"/>
    <xf numFmtId="0" fontId="2" fillId="0" borderId="0"/>
    <xf numFmtId="0" fontId="2" fillId="0" borderId="0"/>
    <xf numFmtId="164" fontId="12" fillId="0" borderId="0" applyFont="0" applyFill="0" applyBorder="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1206">
    <xf numFmtId="0" fontId="0" fillId="0" borderId="0" xfId="0"/>
    <xf numFmtId="0" fontId="12" fillId="0" borderId="0" xfId="0" applyFont="1" applyFill="1" applyBorder="1" applyAlignment="1">
      <alignment horizontal="center" vertical="center"/>
    </xf>
    <xf numFmtId="0" fontId="12" fillId="0" borderId="0" xfId="0" applyFont="1" applyFill="1" applyBorder="1" applyAlignment="1">
      <alignment vertical="center"/>
    </xf>
    <xf numFmtId="0" fontId="12" fillId="0" borderId="0" xfId="0" applyFont="1" applyAlignment="1">
      <alignment vertical="center"/>
    </xf>
    <xf numFmtId="0" fontId="12" fillId="0" borderId="20" xfId="0" applyFont="1" applyFill="1" applyBorder="1" applyAlignment="1">
      <alignment vertical="center"/>
    </xf>
    <xf numFmtId="3" fontId="12" fillId="0" borderId="20" xfId="0" applyNumberFormat="1" applyFont="1" applyBorder="1" applyAlignment="1">
      <alignment vertical="center"/>
    </xf>
    <xf numFmtId="3" fontId="12" fillId="0" borderId="18" xfId="0" applyNumberFormat="1" applyFont="1" applyBorder="1" applyAlignment="1">
      <alignment vertical="center"/>
    </xf>
    <xf numFmtId="3" fontId="12" fillId="0" borderId="21" xfId="0" applyNumberFormat="1" applyFont="1" applyBorder="1" applyAlignment="1">
      <alignment vertical="center"/>
    </xf>
    <xf numFmtId="0" fontId="12" fillId="0" borderId="0" xfId="0" applyFont="1" applyFill="1" applyAlignment="1">
      <alignment vertical="center"/>
    </xf>
    <xf numFmtId="3" fontId="12" fillId="0" borderId="24" xfId="0" applyNumberFormat="1" applyFont="1" applyBorder="1" applyAlignment="1">
      <alignment vertical="center"/>
    </xf>
    <xf numFmtId="3" fontId="12" fillId="0" borderId="22" xfId="0" applyNumberFormat="1" applyFont="1" applyBorder="1" applyAlignment="1">
      <alignment vertical="center"/>
    </xf>
    <xf numFmtId="3" fontId="12" fillId="0" borderId="23" xfId="0" applyNumberFormat="1" applyFont="1" applyBorder="1" applyAlignment="1">
      <alignment vertical="center"/>
    </xf>
    <xf numFmtId="0" fontId="12" fillId="0" borderId="24" xfId="0" applyFont="1" applyFill="1" applyBorder="1" applyAlignment="1">
      <alignment vertical="center"/>
    </xf>
    <xf numFmtId="0" fontId="12" fillId="0" borderId="20" xfId="0" applyFont="1" applyBorder="1" applyAlignment="1">
      <alignment vertical="center"/>
    </xf>
    <xf numFmtId="0" fontId="12" fillId="0" borderId="18" xfId="0" applyFont="1" applyBorder="1" applyAlignment="1">
      <alignment vertical="center"/>
    </xf>
    <xf numFmtId="0" fontId="12" fillId="0" borderId="24" xfId="0" applyFont="1" applyBorder="1" applyAlignment="1">
      <alignment vertical="center"/>
    </xf>
    <xf numFmtId="0" fontId="12" fillId="0" borderId="22" xfId="0" applyFont="1" applyBorder="1" applyAlignment="1">
      <alignment vertical="center"/>
    </xf>
    <xf numFmtId="3" fontId="12" fillId="0" borderId="0" xfId="0" applyNumberFormat="1" applyFont="1" applyFill="1" applyBorder="1" applyAlignment="1">
      <alignment horizontal="center" vertical="center"/>
    </xf>
    <xf numFmtId="3" fontId="14" fillId="0" borderId="0" xfId="0" applyNumberFormat="1" applyFont="1" applyFill="1" applyBorder="1" applyAlignment="1">
      <alignment horizontal="center" vertical="center"/>
    </xf>
    <xf numFmtId="168" fontId="12" fillId="2" borderId="0" xfId="0" applyNumberFormat="1" applyFont="1" applyFill="1" applyBorder="1" applyAlignment="1">
      <alignment horizontal="right" vertical="center"/>
    </xf>
    <xf numFmtId="0" fontId="12" fillId="0" borderId="0" xfId="0" applyFont="1" applyBorder="1" applyAlignment="1">
      <alignment vertical="center"/>
    </xf>
    <xf numFmtId="0" fontId="12" fillId="0" borderId="4" xfId="0" applyFont="1" applyBorder="1" applyAlignment="1">
      <alignment vertical="center"/>
    </xf>
    <xf numFmtId="168" fontId="14" fillId="0" borderId="0" xfId="0" applyNumberFormat="1" applyFont="1" applyBorder="1" applyAlignment="1">
      <alignment horizontal="right" vertical="center"/>
    </xf>
    <xf numFmtId="3" fontId="12" fillId="0" borderId="0" xfId="0" applyNumberFormat="1" applyFont="1" applyAlignment="1">
      <alignment vertical="center"/>
    </xf>
    <xf numFmtId="3" fontId="0" fillId="0" borderId="21" xfId="0" applyNumberFormat="1" applyBorder="1" applyAlignment="1">
      <alignment horizontal="right" vertical="center"/>
    </xf>
    <xf numFmtId="1" fontId="12" fillId="0" borderId="0" xfId="0" applyNumberFormat="1" applyFont="1" applyAlignment="1">
      <alignment vertical="center"/>
    </xf>
    <xf numFmtId="3" fontId="12" fillId="0" borderId="28" xfId="0" applyNumberFormat="1" applyFont="1" applyBorder="1" applyAlignment="1">
      <alignment vertical="center"/>
    </xf>
    <xf numFmtId="3" fontId="12" fillId="0" borderId="29" xfId="0" applyNumberFormat="1" applyFont="1" applyBorder="1" applyAlignment="1">
      <alignment vertical="center"/>
    </xf>
    <xf numFmtId="171" fontId="12" fillId="0" borderId="18" xfId="0" applyNumberFormat="1" applyFont="1" applyBorder="1" applyAlignment="1">
      <alignment vertical="center"/>
    </xf>
    <xf numFmtId="3" fontId="12" fillId="0" borderId="0" xfId="1" applyNumberFormat="1" applyFont="1" applyAlignment="1">
      <alignment vertical="center"/>
    </xf>
    <xf numFmtId="2" fontId="12" fillId="0" borderId="0" xfId="0" applyNumberFormat="1" applyFont="1" applyAlignment="1">
      <alignment vertical="center"/>
    </xf>
    <xf numFmtId="168" fontId="12" fillId="0" borderId="20" xfId="0" applyNumberFormat="1" applyFont="1" applyBorder="1" applyAlignment="1">
      <alignment horizontal="left" vertical="center"/>
    </xf>
    <xf numFmtId="3" fontId="12" fillId="0" borderId="0" xfId="0" applyNumberFormat="1" applyFont="1" applyFill="1" applyBorder="1" applyAlignment="1">
      <alignment vertical="center"/>
    </xf>
    <xf numFmtId="9" fontId="12" fillId="0" borderId="18" xfId="1" applyFont="1" applyBorder="1" applyAlignment="1">
      <alignment vertical="center"/>
    </xf>
    <xf numFmtId="3" fontId="12" fillId="0" borderId="18" xfId="0" applyNumberFormat="1" applyFont="1" applyFill="1" applyBorder="1" applyAlignment="1">
      <alignment horizontal="right" vertical="center"/>
    </xf>
    <xf numFmtId="3" fontId="12" fillId="0" borderId="21" xfId="0" applyNumberFormat="1" applyFont="1" applyFill="1" applyBorder="1" applyAlignment="1">
      <alignment horizontal="right" vertical="center"/>
    </xf>
    <xf numFmtId="3" fontId="12" fillId="0" borderId="22" xfId="0" applyNumberFormat="1" applyFont="1" applyFill="1" applyBorder="1" applyAlignment="1">
      <alignment horizontal="right" vertical="center"/>
    </xf>
    <xf numFmtId="3" fontId="12" fillId="0" borderId="23" xfId="0" applyNumberFormat="1" applyFont="1" applyFill="1" applyBorder="1" applyAlignment="1">
      <alignment horizontal="right" vertical="center"/>
    </xf>
    <xf numFmtId="0" fontId="0" fillId="0" borderId="0" xfId="0" applyBorder="1"/>
    <xf numFmtId="0" fontId="0" fillId="0" borderId="0" xfId="0" applyBorder="1" applyAlignment="1">
      <alignment horizontal="right"/>
    </xf>
    <xf numFmtId="0" fontId="10" fillId="0" borderId="0" xfId="0" applyFont="1" applyBorder="1"/>
    <xf numFmtId="166" fontId="0" fillId="0" borderId="0" xfId="0" applyNumberFormat="1" applyBorder="1"/>
    <xf numFmtId="166" fontId="0" fillId="0" borderId="0" xfId="0" applyNumberFormat="1" applyBorder="1" applyAlignment="1">
      <alignment horizontal="right"/>
    </xf>
    <xf numFmtId="0" fontId="11" fillId="0" borderId="0" xfId="0" applyFont="1" applyBorder="1" applyAlignment="1">
      <alignment horizontal="left"/>
    </xf>
    <xf numFmtId="0" fontId="10" fillId="0" borderId="0" xfId="0" applyFont="1" applyFill="1" applyBorder="1" applyAlignment="1">
      <alignment horizontal="left"/>
    </xf>
    <xf numFmtId="0" fontId="11" fillId="0" borderId="0" xfId="0" applyFont="1" applyBorder="1"/>
    <xf numFmtId="0" fontId="8" fillId="0" borderId="0" xfId="0" applyFont="1"/>
    <xf numFmtId="9" fontId="12" fillId="0" borderId="18" xfId="1" applyNumberFormat="1" applyFont="1" applyBorder="1" applyAlignment="1">
      <alignment vertical="center"/>
    </xf>
    <xf numFmtId="9" fontId="12" fillId="0" borderId="22" xfId="1" applyNumberFormat="1" applyFont="1" applyBorder="1" applyAlignment="1">
      <alignment vertical="center"/>
    </xf>
    <xf numFmtId="165" fontId="12" fillId="0" borderId="18" xfId="0" applyNumberFormat="1" applyFont="1" applyBorder="1" applyAlignment="1">
      <alignment vertical="center"/>
    </xf>
    <xf numFmtId="165" fontId="12" fillId="0" borderId="22" xfId="0" applyNumberFormat="1" applyFont="1" applyBorder="1" applyAlignment="1">
      <alignment vertical="center"/>
    </xf>
    <xf numFmtId="165" fontId="12" fillId="0" borderId="21" xfId="0" applyNumberFormat="1" applyFont="1" applyBorder="1" applyAlignment="1">
      <alignment vertical="center"/>
    </xf>
    <xf numFmtId="165" fontId="12" fillId="0" borderId="23" xfId="0" applyNumberFormat="1" applyFont="1" applyBorder="1" applyAlignment="1">
      <alignment vertical="center"/>
    </xf>
    <xf numFmtId="3" fontId="12" fillId="0" borderId="18" xfId="1" applyNumberFormat="1" applyFont="1" applyBorder="1" applyAlignment="1">
      <alignment vertical="center"/>
    </xf>
    <xf numFmtId="3" fontId="12" fillId="0" borderId="22" xfId="1" applyNumberFormat="1" applyFont="1" applyBorder="1" applyAlignment="1">
      <alignment vertical="center"/>
    </xf>
    <xf numFmtId="1" fontId="12" fillId="0" borderId="20" xfId="0" applyNumberFormat="1" applyFont="1" applyBorder="1" applyAlignment="1">
      <alignment vertical="center"/>
    </xf>
    <xf numFmtId="1" fontId="12" fillId="0" borderId="18" xfId="0" applyNumberFormat="1" applyFont="1" applyBorder="1" applyAlignment="1">
      <alignment vertical="center"/>
    </xf>
    <xf numFmtId="1" fontId="12" fillId="0" borderId="21" xfId="0" applyNumberFormat="1" applyFont="1" applyBorder="1" applyAlignment="1">
      <alignment vertical="center"/>
    </xf>
    <xf numFmtId="1" fontId="12" fillId="0" borderId="24" xfId="0" applyNumberFormat="1" applyFont="1" applyBorder="1" applyAlignment="1">
      <alignment vertical="center"/>
    </xf>
    <xf numFmtId="1" fontId="12" fillId="0" borderId="22" xfId="0" applyNumberFormat="1" applyFont="1" applyBorder="1" applyAlignment="1">
      <alignment vertical="center"/>
    </xf>
    <xf numFmtId="1" fontId="12" fillId="0" borderId="23" xfId="0" applyNumberFormat="1" applyFont="1" applyBorder="1" applyAlignment="1">
      <alignment vertical="center"/>
    </xf>
    <xf numFmtId="9" fontId="12" fillId="0" borderId="0" xfId="1" applyFont="1" applyAlignment="1">
      <alignment horizontal="center" vertical="center"/>
    </xf>
    <xf numFmtId="3" fontId="12" fillId="0" borderId="18" xfId="0" applyNumberFormat="1" applyFont="1" applyFill="1" applyBorder="1" applyAlignment="1">
      <alignment horizontal="center" vertical="center"/>
    </xf>
    <xf numFmtId="170" fontId="12" fillId="0" borderId="18" xfId="1" applyNumberFormat="1" applyFont="1" applyBorder="1" applyAlignment="1">
      <alignment vertical="center"/>
    </xf>
    <xf numFmtId="170" fontId="12" fillId="0" borderId="21" xfId="1" applyNumberFormat="1" applyFont="1" applyBorder="1" applyAlignment="1">
      <alignment vertical="center"/>
    </xf>
    <xf numFmtId="170" fontId="12" fillId="0" borderId="22" xfId="1" applyNumberFormat="1" applyFont="1" applyBorder="1" applyAlignment="1">
      <alignment vertical="center"/>
    </xf>
    <xf numFmtId="170" fontId="12" fillId="0" borderId="23" xfId="1" applyNumberFormat="1" applyFont="1" applyBorder="1" applyAlignment="1">
      <alignment vertical="center"/>
    </xf>
    <xf numFmtId="0" fontId="12" fillId="0" borderId="24" xfId="0" applyFont="1" applyBorder="1" applyAlignment="1">
      <alignment horizontal="left" vertical="center"/>
    </xf>
    <xf numFmtId="0" fontId="0" fillId="0" borderId="0" xfId="0" applyAlignment="1">
      <alignment vertical="center"/>
    </xf>
    <xf numFmtId="1" fontId="15" fillId="3" borderId="29" xfId="1" applyNumberFormat="1" applyFont="1" applyFill="1" applyBorder="1" applyAlignment="1">
      <alignment horizontal="center" vertical="center"/>
    </xf>
    <xf numFmtId="0" fontId="12" fillId="0" borderId="0" xfId="0" applyFont="1" applyBorder="1" applyAlignment="1">
      <alignment horizontal="center" vertical="center"/>
    </xf>
    <xf numFmtId="0" fontId="12" fillId="0" borderId="12" xfId="0" applyFont="1" applyBorder="1" applyAlignment="1">
      <alignment vertical="center"/>
    </xf>
    <xf numFmtId="0" fontId="12" fillId="0" borderId="12" xfId="0" applyFont="1" applyBorder="1" applyAlignment="1">
      <alignment horizontal="center" vertical="center"/>
    </xf>
    <xf numFmtId="0" fontId="12" fillId="0" borderId="9" xfId="0" applyFont="1" applyBorder="1" applyAlignment="1">
      <alignment vertical="center"/>
    </xf>
    <xf numFmtId="0" fontId="12" fillId="0" borderId="9" xfId="0" applyFont="1" applyBorder="1" applyAlignment="1">
      <alignment horizontal="center" vertical="center"/>
    </xf>
    <xf numFmtId="0" fontId="12" fillId="0" borderId="7" xfId="0" applyFont="1" applyBorder="1" applyAlignment="1">
      <alignment vertical="center"/>
    </xf>
    <xf numFmtId="0" fontId="12" fillId="0" borderId="7" xfId="0" applyFont="1" applyBorder="1" applyAlignment="1">
      <alignment horizontal="center" vertical="center"/>
    </xf>
    <xf numFmtId="9" fontId="12" fillId="0" borderId="21" xfId="1" applyFont="1" applyBorder="1" applyAlignment="1">
      <alignment vertical="center"/>
    </xf>
    <xf numFmtId="171" fontId="12" fillId="0" borderId="18" xfId="1" applyNumberFormat="1" applyFont="1" applyBorder="1" applyAlignment="1">
      <alignment vertical="center"/>
    </xf>
    <xf numFmtId="171" fontId="12" fillId="0" borderId="22" xfId="1" applyNumberFormat="1" applyFont="1" applyBorder="1" applyAlignment="1">
      <alignment vertical="center"/>
    </xf>
    <xf numFmtId="0" fontId="12" fillId="0" borderId="18" xfId="0" applyFont="1" applyBorder="1" applyAlignment="1">
      <alignment horizontal="right" vertical="center"/>
    </xf>
    <xf numFmtId="0" fontId="12" fillId="0" borderId="22" xfId="0" applyFont="1" applyBorder="1" applyAlignment="1">
      <alignment horizontal="right" vertical="center"/>
    </xf>
    <xf numFmtId="1" fontId="12" fillId="0" borderId="18" xfId="0" applyNumberFormat="1" applyFont="1" applyFill="1" applyBorder="1" applyAlignment="1">
      <alignment vertical="center"/>
    </xf>
    <xf numFmtId="1" fontId="12" fillId="5" borderId="18" xfId="0" applyNumberFormat="1" applyFont="1" applyFill="1" applyBorder="1" applyAlignment="1">
      <alignment vertical="center"/>
    </xf>
    <xf numFmtId="1" fontId="12" fillId="5" borderId="21" xfId="0" applyNumberFormat="1" applyFont="1" applyFill="1" applyBorder="1" applyAlignment="1">
      <alignment vertical="center"/>
    </xf>
    <xf numFmtId="1" fontId="12" fillId="0" borderId="21" xfId="0" applyNumberFormat="1" applyFont="1" applyFill="1" applyBorder="1" applyAlignment="1">
      <alignment vertical="center"/>
    </xf>
    <xf numFmtId="0" fontId="0" fillId="0" borderId="18" xfId="0" applyBorder="1" applyAlignment="1">
      <alignment vertical="center"/>
    </xf>
    <xf numFmtId="170" fontId="0" fillId="0" borderId="18" xfId="1" applyNumberFormat="1" applyFont="1" applyBorder="1" applyAlignment="1">
      <alignment vertical="center"/>
    </xf>
    <xf numFmtId="170" fontId="0" fillId="0" borderId="21" xfId="1" applyNumberFormat="1" applyFont="1" applyBorder="1" applyAlignment="1">
      <alignment vertical="center"/>
    </xf>
    <xf numFmtId="0" fontId="0" fillId="0" borderId="21" xfId="0" applyBorder="1" applyAlignment="1">
      <alignment vertical="center"/>
    </xf>
    <xf numFmtId="3" fontId="0" fillId="2" borderId="28" xfId="0" applyNumberFormat="1" applyFill="1" applyBorder="1" applyAlignment="1">
      <alignment horizontal="center" vertical="center"/>
    </xf>
    <xf numFmtId="3" fontId="0" fillId="2" borderId="29" xfId="0" applyNumberFormat="1" applyFill="1" applyBorder="1" applyAlignment="1">
      <alignment horizontal="center" vertical="center"/>
    </xf>
    <xf numFmtId="0" fontId="12" fillId="0" borderId="27" xfId="0" applyFont="1" applyBorder="1" applyAlignment="1">
      <alignment vertical="center"/>
    </xf>
    <xf numFmtId="1" fontId="12" fillId="0" borderId="28" xfId="0" applyNumberFormat="1" applyFont="1" applyBorder="1" applyAlignment="1">
      <alignment vertical="center"/>
    </xf>
    <xf numFmtId="1" fontId="12" fillId="0" borderId="29" xfId="0" applyNumberFormat="1" applyFont="1" applyBorder="1" applyAlignment="1">
      <alignment vertical="center"/>
    </xf>
    <xf numFmtId="9" fontId="12" fillId="0" borderId="0" xfId="1" applyFont="1" applyAlignment="1">
      <alignment vertical="center"/>
    </xf>
    <xf numFmtId="10" fontId="12" fillId="0" borderId="0" xfId="0" applyNumberFormat="1" applyFont="1" applyAlignment="1">
      <alignment vertical="center"/>
    </xf>
    <xf numFmtId="173" fontId="12" fillId="0" borderId="0" xfId="0" applyNumberFormat="1" applyFont="1" applyAlignment="1">
      <alignment vertical="center"/>
    </xf>
    <xf numFmtId="0" fontId="12" fillId="2" borderId="0" xfId="0" applyFont="1" applyFill="1" applyAlignment="1">
      <alignment horizontal="center" vertical="center"/>
    </xf>
    <xf numFmtId="0" fontId="18" fillId="2" borderId="0" xfId="0" applyFont="1" applyFill="1" applyBorder="1" applyAlignment="1">
      <alignment horizontal="center" vertical="center" wrapText="1"/>
    </xf>
    <xf numFmtId="0" fontId="12" fillId="0" borderId="20" xfId="0" quotePrefix="1" applyFont="1" applyBorder="1" applyAlignment="1">
      <alignment vertical="center"/>
    </xf>
    <xf numFmtId="0" fontId="12" fillId="0" borderId="24" xfId="0" quotePrefix="1" applyFont="1" applyBorder="1" applyAlignment="1">
      <alignment vertical="center"/>
    </xf>
    <xf numFmtId="170" fontId="15" fillId="3" borderId="29" xfId="1" applyNumberFormat="1" applyFont="1" applyFill="1" applyBorder="1" applyAlignment="1">
      <alignment horizontal="center" vertical="center"/>
    </xf>
    <xf numFmtId="9" fontId="12" fillId="0" borderId="21" xfId="1" applyFont="1" applyFill="1" applyBorder="1" applyAlignment="1">
      <alignment vertical="center"/>
    </xf>
    <xf numFmtId="9" fontId="12" fillId="0" borderId="18" xfId="1" applyFont="1" applyFill="1" applyBorder="1" applyAlignment="1">
      <alignment vertical="center"/>
    </xf>
    <xf numFmtId="9" fontId="12" fillId="0" borderId="22" xfId="1" applyFont="1" applyFill="1" applyBorder="1" applyAlignment="1">
      <alignment vertical="center"/>
    </xf>
    <xf numFmtId="9" fontId="12" fillId="0" borderId="23" xfId="1" applyFont="1" applyFill="1" applyBorder="1" applyAlignment="1">
      <alignment vertical="center"/>
    </xf>
    <xf numFmtId="170" fontId="12" fillId="0" borderId="0" xfId="1" applyNumberFormat="1" applyFont="1" applyAlignment="1">
      <alignment vertical="center"/>
    </xf>
    <xf numFmtId="170" fontId="12" fillId="0" borderId="0" xfId="1" applyNumberFormat="1" applyFont="1" applyFill="1" applyBorder="1" applyAlignment="1">
      <alignment horizontal="center" vertical="center"/>
    </xf>
    <xf numFmtId="0" fontId="12" fillId="0" borderId="14" xfId="0" applyFont="1" applyBorder="1" applyAlignment="1">
      <alignment horizontal="left" vertical="center"/>
    </xf>
    <xf numFmtId="0" fontId="12" fillId="0" borderId="5" xfId="0" applyFont="1" applyBorder="1" applyAlignment="1">
      <alignment horizontal="left" vertical="center"/>
    </xf>
    <xf numFmtId="0" fontId="12" fillId="0" borderId="16" xfId="0" applyFont="1" applyBorder="1" applyAlignment="1">
      <alignment horizontal="left" vertical="center"/>
    </xf>
    <xf numFmtId="10" fontId="12" fillId="0" borderId="0" xfId="0" applyNumberFormat="1" applyFont="1" applyFill="1" applyBorder="1" applyAlignment="1">
      <alignment vertical="center"/>
    </xf>
    <xf numFmtId="170" fontId="12" fillId="0" borderId="0" xfId="0" applyNumberFormat="1" applyFont="1" applyAlignment="1">
      <alignment vertical="center"/>
    </xf>
    <xf numFmtId="10" fontId="12" fillId="0" borderId="18" xfId="1" applyNumberFormat="1" applyFont="1" applyBorder="1" applyAlignment="1">
      <alignment vertical="center"/>
    </xf>
    <xf numFmtId="10" fontId="12" fillId="0" borderId="22" xfId="1" applyNumberFormat="1" applyFont="1" applyBorder="1" applyAlignment="1">
      <alignment vertical="center"/>
    </xf>
    <xf numFmtId="1" fontId="12" fillId="0" borderId="10" xfId="0" applyNumberFormat="1" applyFont="1" applyBorder="1" applyAlignment="1">
      <alignment vertical="center"/>
    </xf>
    <xf numFmtId="1" fontId="12" fillId="0" borderId="43" xfId="0" applyNumberFormat="1" applyFont="1" applyBorder="1" applyAlignment="1">
      <alignment vertical="center"/>
    </xf>
    <xf numFmtId="0" fontId="12" fillId="0" borderId="18" xfId="1" applyNumberFormat="1" applyFont="1" applyBorder="1" applyAlignment="1">
      <alignment vertical="center"/>
    </xf>
    <xf numFmtId="0" fontId="12" fillId="0" borderId="22" xfId="1" applyNumberFormat="1" applyFont="1" applyBorder="1" applyAlignment="1">
      <alignment vertical="center"/>
    </xf>
    <xf numFmtId="0" fontId="12" fillId="0" borderId="21" xfId="1" applyNumberFormat="1" applyFont="1" applyBorder="1" applyAlignment="1">
      <alignment vertical="center"/>
    </xf>
    <xf numFmtId="1" fontId="14" fillId="0" borderId="0" xfId="0" applyNumberFormat="1" applyFont="1" applyAlignment="1">
      <alignment horizontal="center" vertical="center"/>
    </xf>
    <xf numFmtId="165" fontId="12" fillId="0" borderId="0" xfId="0" applyNumberFormat="1" applyFont="1" applyAlignment="1">
      <alignment vertical="center"/>
    </xf>
    <xf numFmtId="0" fontId="12" fillId="0" borderId="20" xfId="0" applyFont="1" applyBorder="1" applyAlignment="1">
      <alignment horizontal="right" vertical="center"/>
    </xf>
    <xf numFmtId="0" fontId="12" fillId="0" borderId="24" xfId="0" applyFont="1" applyBorder="1" applyAlignment="1">
      <alignment horizontal="right" vertical="center"/>
    </xf>
    <xf numFmtId="0" fontId="12" fillId="0" borderId="41" xfId="0" applyFont="1" applyBorder="1" applyAlignment="1">
      <alignment horizontal="right" vertical="center"/>
    </xf>
    <xf numFmtId="0" fontId="12" fillId="0" borderId="42" xfId="0" applyFont="1" applyBorder="1" applyAlignment="1">
      <alignment horizontal="right" vertical="center"/>
    </xf>
    <xf numFmtId="0" fontId="12" fillId="0" borderId="27" xfId="0" applyFont="1" applyBorder="1" applyAlignment="1">
      <alignment horizontal="right" vertical="center"/>
    </xf>
    <xf numFmtId="175" fontId="12" fillId="0" borderId="0" xfId="0" applyNumberFormat="1" applyFont="1" applyFill="1" applyBorder="1" applyAlignment="1">
      <alignment vertical="center"/>
    </xf>
    <xf numFmtId="170" fontId="12" fillId="0" borderId="18" xfId="1" applyNumberFormat="1" applyFont="1" applyFill="1" applyBorder="1" applyAlignment="1">
      <alignment vertical="center"/>
    </xf>
    <xf numFmtId="170" fontId="12" fillId="5" borderId="18" xfId="1" applyNumberFormat="1" applyFont="1" applyFill="1" applyBorder="1" applyAlignment="1">
      <alignment vertical="center"/>
    </xf>
    <xf numFmtId="170" fontId="12" fillId="0" borderId="21" xfId="1" applyNumberFormat="1" applyFont="1" applyFill="1" applyBorder="1" applyAlignment="1">
      <alignment vertical="center"/>
    </xf>
    <xf numFmtId="170" fontId="12" fillId="5" borderId="21" xfId="1" applyNumberFormat="1" applyFont="1" applyFill="1" applyBorder="1" applyAlignment="1">
      <alignment vertical="center"/>
    </xf>
    <xf numFmtId="10" fontId="12" fillId="0" borderId="0" xfId="1" applyNumberFormat="1" applyFont="1" applyBorder="1" applyAlignment="1">
      <alignment horizontal="right" vertical="center"/>
    </xf>
    <xf numFmtId="9" fontId="12" fillId="0" borderId="23" xfId="1" applyFont="1" applyBorder="1" applyAlignment="1">
      <alignment vertical="center"/>
    </xf>
    <xf numFmtId="9" fontId="12" fillId="0" borderId="22" xfId="1" applyFont="1" applyBorder="1" applyAlignment="1">
      <alignment vertical="center"/>
    </xf>
    <xf numFmtId="3" fontId="12" fillId="2" borderId="27" xfId="0" applyNumberFormat="1" applyFont="1" applyFill="1" applyBorder="1" applyAlignment="1">
      <alignment vertical="center"/>
    </xf>
    <xf numFmtId="0" fontId="12" fillId="0" borderId="0" xfId="0" applyFont="1" applyAlignment="1">
      <alignment horizontal="center" vertical="center"/>
    </xf>
    <xf numFmtId="170" fontId="12" fillId="2" borderId="2" xfId="0" applyNumberFormat="1" applyFont="1" applyFill="1" applyBorder="1" applyAlignment="1">
      <alignment vertical="center"/>
    </xf>
    <xf numFmtId="173" fontId="12" fillId="0" borderId="21" xfId="0" applyNumberFormat="1" applyFont="1" applyBorder="1" applyAlignment="1">
      <alignment vertical="center"/>
    </xf>
    <xf numFmtId="173" fontId="12" fillId="0" borderId="23" xfId="0" applyNumberFormat="1" applyFont="1" applyBorder="1" applyAlignment="1">
      <alignment vertical="center"/>
    </xf>
    <xf numFmtId="173" fontId="12" fillId="0" borderId="35" xfId="0" applyNumberFormat="1" applyFont="1" applyBorder="1" applyAlignment="1">
      <alignment vertical="center"/>
    </xf>
    <xf numFmtId="176" fontId="0" fillId="0" borderId="36" xfId="0" applyNumberFormat="1" applyBorder="1" applyAlignment="1">
      <alignment horizontal="right" vertical="center"/>
    </xf>
    <xf numFmtId="165" fontId="12" fillId="0" borderId="18" xfId="1" applyNumberFormat="1" applyFont="1" applyBorder="1" applyAlignment="1">
      <alignment vertical="center"/>
    </xf>
    <xf numFmtId="165" fontId="12" fillId="0" borderId="21" xfId="1" applyNumberFormat="1" applyFont="1" applyBorder="1" applyAlignment="1">
      <alignment vertical="center"/>
    </xf>
    <xf numFmtId="165" fontId="0" fillId="0" borderId="18" xfId="1" applyNumberFormat="1" applyFont="1" applyBorder="1" applyAlignment="1">
      <alignment vertical="center"/>
    </xf>
    <xf numFmtId="165" fontId="0" fillId="0" borderId="21" xfId="1" applyNumberFormat="1" applyFont="1" applyBorder="1" applyAlignment="1">
      <alignment vertical="center"/>
    </xf>
    <xf numFmtId="0" fontId="12" fillId="0" borderId="47" xfId="0" applyFont="1" applyBorder="1" applyAlignment="1">
      <alignment vertical="center"/>
    </xf>
    <xf numFmtId="3" fontId="0" fillId="0" borderId="18" xfId="0" applyNumberFormat="1" applyBorder="1" applyAlignment="1">
      <alignment horizontal="right" vertical="center"/>
    </xf>
    <xf numFmtId="0" fontId="20" fillId="0" borderId="0" xfId="0" applyFont="1" applyAlignment="1">
      <alignment vertical="center"/>
    </xf>
    <xf numFmtId="168" fontId="12" fillId="0" borderId="0" xfId="0" applyNumberFormat="1" applyFont="1" applyAlignment="1">
      <alignment vertical="center"/>
    </xf>
    <xf numFmtId="168" fontId="12" fillId="0" borderId="0" xfId="0" applyNumberFormat="1" applyFont="1" applyFill="1" applyBorder="1" applyAlignment="1">
      <alignment vertical="center"/>
    </xf>
    <xf numFmtId="1" fontId="12" fillId="0" borderId="22" xfId="0" applyNumberFormat="1" applyFont="1" applyFill="1" applyBorder="1" applyAlignment="1">
      <alignment vertical="center"/>
    </xf>
    <xf numFmtId="1" fontId="12" fillId="0" borderId="23" xfId="0" applyNumberFormat="1" applyFont="1" applyFill="1" applyBorder="1" applyAlignment="1">
      <alignment vertical="center"/>
    </xf>
    <xf numFmtId="0" fontId="14" fillId="0" borderId="0" xfId="0" applyFont="1" applyAlignment="1">
      <alignment horizontal="center" vertical="center"/>
    </xf>
    <xf numFmtId="173" fontId="22" fillId="0" borderId="0" xfId="0" applyNumberFormat="1" applyFont="1" applyAlignment="1">
      <alignment vertical="center"/>
    </xf>
    <xf numFmtId="49" fontId="24" fillId="0" borderId="0" xfId="0" applyNumberFormat="1" applyFont="1"/>
    <xf numFmtId="49" fontId="25" fillId="0" borderId="0" xfId="0" applyNumberFormat="1" applyFont="1"/>
    <xf numFmtId="0" fontId="26" fillId="0" borderId="0" xfId="0" applyFont="1" applyAlignment="1">
      <alignment horizontal="center"/>
    </xf>
    <xf numFmtId="0" fontId="26" fillId="0" borderId="0" xfId="0" applyFont="1"/>
    <xf numFmtId="0" fontId="27" fillId="0" borderId="0" xfId="0" applyFont="1"/>
    <xf numFmtId="0" fontId="21" fillId="0" borderId="0" xfId="0" applyFont="1"/>
    <xf numFmtId="0" fontId="21" fillId="0" borderId="0" xfId="0" applyFont="1" applyAlignment="1">
      <alignment horizontal="center"/>
    </xf>
    <xf numFmtId="0" fontId="28" fillId="0" borderId="0" xfId="0" applyFont="1"/>
    <xf numFmtId="0" fontId="28" fillId="0" borderId="0" xfId="0" applyFont="1" applyAlignment="1">
      <alignment horizontal="right"/>
    </xf>
    <xf numFmtId="0" fontId="0" fillId="0" borderId="48" xfId="0" applyBorder="1" applyAlignment="1">
      <alignment horizontal="left"/>
    </xf>
    <xf numFmtId="0" fontId="0" fillId="0" borderId="49" xfId="0" applyBorder="1" applyAlignment="1">
      <alignment horizontal="left"/>
    </xf>
    <xf numFmtId="0" fontId="0" fillId="0" borderId="50" xfId="0" applyBorder="1" applyAlignment="1">
      <alignment horizontal="left"/>
    </xf>
    <xf numFmtId="0" fontId="0" fillId="0" borderId="51" xfId="0" applyBorder="1"/>
    <xf numFmtId="0" fontId="29" fillId="0" borderId="0" xfId="0" applyFont="1" applyBorder="1"/>
    <xf numFmtId="0" fontId="30" fillId="0" borderId="0" xfId="0" applyFont="1" applyAlignment="1">
      <alignment horizontal="right"/>
    </xf>
    <xf numFmtId="0" fontId="31" fillId="0" borderId="0" xfId="0" applyFont="1" applyAlignment="1">
      <alignment horizontal="right"/>
    </xf>
    <xf numFmtId="0" fontId="28" fillId="0" borderId="0" xfId="0" applyFont="1" applyAlignment="1">
      <alignment horizontal="left"/>
    </xf>
    <xf numFmtId="0" fontId="0" fillId="0" borderId="52" xfId="0" applyBorder="1"/>
    <xf numFmtId="0" fontId="21" fillId="0" borderId="0" xfId="0" applyFont="1" applyAlignment="1">
      <alignment horizontal="right"/>
    </xf>
    <xf numFmtId="0" fontId="10" fillId="0" borderId="0" xfId="0" applyFont="1"/>
    <xf numFmtId="0" fontId="32" fillId="0" borderId="0" xfId="0" applyFont="1" applyBorder="1"/>
    <xf numFmtId="0" fontId="9" fillId="0" borderId="0" xfId="0" applyFont="1" applyAlignment="1">
      <alignment horizontal="right"/>
    </xf>
    <xf numFmtId="0" fontId="9" fillId="0" borderId="0" xfId="0" applyFont="1" applyAlignment="1">
      <alignment horizontal="left"/>
    </xf>
    <xf numFmtId="0" fontId="10" fillId="0" borderId="52" xfId="0" applyFont="1" applyBorder="1"/>
    <xf numFmtId="0" fontId="10" fillId="0" borderId="54" xfId="0" applyFont="1" applyBorder="1" applyAlignment="1">
      <alignment horizontal="right"/>
    </xf>
    <xf numFmtId="0" fontId="10" fillId="0" borderId="55" xfId="0" applyFont="1" applyBorder="1"/>
    <xf numFmtId="0" fontId="10" fillId="0" borderId="0" xfId="0" applyFont="1" applyBorder="1" applyAlignment="1">
      <alignment horizontal="left"/>
    </xf>
    <xf numFmtId="0" fontId="10" fillId="0" borderId="50" xfId="0" applyFont="1" applyBorder="1" applyAlignment="1">
      <alignment horizontal="left"/>
    </xf>
    <xf numFmtId="166" fontId="10" fillId="0" borderId="0" xfId="0" applyNumberFormat="1" applyFont="1" applyBorder="1" applyAlignment="1">
      <alignment horizontal="left"/>
    </xf>
    <xf numFmtId="166" fontId="10" fillId="0" borderId="50" xfId="0" applyNumberFormat="1" applyFont="1" applyBorder="1" applyAlignment="1">
      <alignment horizontal="left"/>
    </xf>
    <xf numFmtId="0" fontId="9" fillId="0" borderId="0" xfId="0" applyFont="1" applyBorder="1" applyAlignment="1">
      <alignment horizontal="left"/>
    </xf>
    <xf numFmtId="0" fontId="10" fillId="0" borderId="0" xfId="0" applyFont="1" applyBorder="1" applyAlignment="1">
      <alignment horizontal="center"/>
    </xf>
    <xf numFmtId="0" fontId="10" fillId="0" borderId="54" xfId="0" applyFont="1" applyBorder="1"/>
    <xf numFmtId="166" fontId="10" fillId="0" borderId="56" xfId="0" applyNumberFormat="1" applyFont="1" applyBorder="1" applyAlignment="1">
      <alignment horizontal="right"/>
    </xf>
    <xf numFmtId="166" fontId="10" fillId="0" borderId="0" xfId="0" applyNumberFormat="1" applyFont="1" applyBorder="1" applyAlignment="1">
      <alignment horizontal="right"/>
    </xf>
    <xf numFmtId="0" fontId="10" fillId="0" borderId="57" xfId="0" applyFont="1" applyBorder="1" applyAlignment="1">
      <alignment horizontal="left"/>
    </xf>
    <xf numFmtId="166" fontId="10" fillId="0" borderId="56" xfId="0" applyNumberFormat="1" applyFont="1" applyBorder="1" applyAlignment="1">
      <alignment horizontal="left"/>
    </xf>
    <xf numFmtId="0" fontId="10" fillId="0" borderId="57" xfId="0" applyFont="1" applyBorder="1" applyAlignment="1">
      <alignment horizontal="right"/>
    </xf>
    <xf numFmtId="0" fontId="10" fillId="0" borderId="56" xfId="0" applyFont="1" applyBorder="1" applyAlignment="1">
      <alignment horizontal="left"/>
    </xf>
    <xf numFmtId="0" fontId="10" fillId="0" borderId="58" xfId="0" applyFont="1" applyBorder="1" applyAlignment="1">
      <alignment horizontal="center"/>
    </xf>
    <xf numFmtId="0" fontId="10" fillId="0" borderId="0" xfId="0" applyFont="1" applyBorder="1" applyAlignment="1">
      <alignment horizontal="right"/>
    </xf>
    <xf numFmtId="0" fontId="10" fillId="0" borderId="50" xfId="0" applyFont="1" applyBorder="1" applyAlignment="1">
      <alignment horizontal="right"/>
    </xf>
    <xf numFmtId="166" fontId="10" fillId="0" borderId="50" xfId="0" applyNumberFormat="1" applyFont="1" applyBorder="1" applyAlignment="1">
      <alignment horizontal="right"/>
    </xf>
    <xf numFmtId="0" fontId="10" fillId="0" borderId="51" xfId="0" applyFont="1" applyBorder="1" applyAlignment="1">
      <alignment horizontal="right"/>
    </xf>
    <xf numFmtId="166" fontId="10" fillId="0" borderId="50" xfId="0" applyNumberFormat="1" applyFont="1" applyBorder="1" applyAlignment="1">
      <alignment horizontal="center"/>
    </xf>
    <xf numFmtId="0" fontId="10" fillId="0" borderId="48" xfId="0" applyFont="1" applyBorder="1" applyAlignment="1">
      <alignment horizontal="right"/>
    </xf>
    <xf numFmtId="0" fontId="10" fillId="0" borderId="52" xfId="0" applyFont="1" applyBorder="1" applyAlignment="1">
      <alignment horizontal="center"/>
    </xf>
    <xf numFmtId="0" fontId="10" fillId="0" borderId="59" xfId="0" applyFont="1" applyBorder="1" applyAlignment="1">
      <alignment horizontal="center"/>
    </xf>
    <xf numFmtId="0" fontId="10" fillId="0" borderId="52" xfId="0" applyFont="1" applyBorder="1" applyAlignment="1">
      <alignment horizontal="right"/>
    </xf>
    <xf numFmtId="166" fontId="10" fillId="0" borderId="52" xfId="0" applyNumberFormat="1" applyFont="1" applyBorder="1" applyAlignment="1">
      <alignment horizontal="right"/>
    </xf>
    <xf numFmtId="166" fontId="10" fillId="0" borderId="52" xfId="0" applyNumberFormat="1" applyFont="1" applyBorder="1" applyAlignment="1">
      <alignment horizontal="center"/>
    </xf>
    <xf numFmtId="1" fontId="10" fillId="0" borderId="51" xfId="0" applyNumberFormat="1" applyFont="1" applyBorder="1" applyAlignment="1">
      <alignment horizontal="right"/>
    </xf>
    <xf numFmtId="0" fontId="10" fillId="0" borderId="60" xfId="0" applyFont="1" applyBorder="1" applyAlignment="1">
      <alignment horizontal="center"/>
    </xf>
    <xf numFmtId="0" fontId="10" fillId="0" borderId="61" xfId="0" applyFont="1" applyBorder="1" applyAlignment="1">
      <alignment horizontal="right"/>
    </xf>
    <xf numFmtId="0" fontId="10" fillId="0" borderId="56" xfId="0" applyFont="1" applyBorder="1" applyAlignment="1">
      <alignment horizontal="right"/>
    </xf>
    <xf numFmtId="166" fontId="10" fillId="0" borderId="56" xfId="0" applyNumberFormat="1" applyFont="1" applyBorder="1" applyAlignment="1">
      <alignment horizontal="center"/>
    </xf>
    <xf numFmtId="1" fontId="10" fillId="0" borderId="57" xfId="0" applyNumberFormat="1" applyFont="1" applyBorder="1" applyAlignment="1">
      <alignment horizontal="right"/>
    </xf>
    <xf numFmtId="165" fontId="10" fillId="0" borderId="0" xfId="0" applyNumberFormat="1" applyFont="1" applyBorder="1" applyAlignment="1">
      <alignment horizontal="right"/>
    </xf>
    <xf numFmtId="0" fontId="10" fillId="0" borderId="61" xfId="0" applyFont="1" applyBorder="1"/>
    <xf numFmtId="0" fontId="9" fillId="0" borderId="0" xfId="0" applyFont="1"/>
    <xf numFmtId="0" fontId="10" fillId="0" borderId="0" xfId="0" applyFont="1" applyAlignment="1">
      <alignment horizontal="left"/>
    </xf>
    <xf numFmtId="0" fontId="10" fillId="0" borderId="0" xfId="0" applyFont="1" applyAlignment="1">
      <alignment horizontal="center"/>
    </xf>
    <xf numFmtId="0" fontId="10" fillId="0" borderId="49" xfId="0" applyFont="1" applyBorder="1" applyAlignment="1">
      <alignment horizontal="right"/>
    </xf>
    <xf numFmtId="0" fontId="10" fillId="0" borderId="62" xfId="0" applyFont="1" applyBorder="1" applyAlignment="1">
      <alignment horizontal="right"/>
    </xf>
    <xf numFmtId="0" fontId="10" fillId="0" borderId="55" xfId="0" applyFont="1" applyBorder="1" applyAlignment="1">
      <alignment horizontal="center"/>
    </xf>
    <xf numFmtId="0" fontId="10" fillId="0" borderId="62" xfId="0" applyFont="1" applyBorder="1"/>
    <xf numFmtId="166" fontId="10" fillId="0" borderId="55" xfId="0" applyNumberFormat="1" applyFont="1" applyBorder="1" applyAlignment="1">
      <alignment horizontal="center"/>
    </xf>
    <xf numFmtId="0" fontId="10" fillId="0" borderId="0" xfId="0" applyFont="1" applyAlignment="1"/>
    <xf numFmtId="0" fontId="10" fillId="0" borderId="0" xfId="0" applyFont="1" applyBorder="1" applyAlignment="1"/>
    <xf numFmtId="0" fontId="10" fillId="0" borderId="52" xfId="0" applyFont="1" applyBorder="1" applyAlignment="1"/>
    <xf numFmtId="166" fontId="10" fillId="0" borderId="0" xfId="0" applyNumberFormat="1" applyFont="1" applyBorder="1" applyAlignment="1"/>
    <xf numFmtId="0" fontId="10" fillId="0" borderId="49" xfId="0" applyFont="1" applyBorder="1"/>
    <xf numFmtId="0" fontId="10" fillId="0" borderId="56" xfId="0" applyFont="1" applyBorder="1" applyAlignment="1">
      <alignment horizontal="center"/>
    </xf>
    <xf numFmtId="0" fontId="10" fillId="0" borderId="56" xfId="0" applyFont="1" applyBorder="1"/>
    <xf numFmtId="2" fontId="10" fillId="0" borderId="51" xfId="0" applyNumberFormat="1" applyFont="1" applyBorder="1" applyAlignment="1">
      <alignment horizontal="right"/>
    </xf>
    <xf numFmtId="2" fontId="10" fillId="0" borderId="0" xfId="0" applyNumberFormat="1" applyFont="1" applyBorder="1" applyAlignment="1">
      <alignment horizontal="right"/>
    </xf>
    <xf numFmtId="166" fontId="10" fillId="0" borderId="55" xfId="0" applyNumberFormat="1" applyFont="1" applyBorder="1" applyAlignment="1">
      <alignment horizontal="right"/>
    </xf>
    <xf numFmtId="166" fontId="10" fillId="0" borderId="0" xfId="0" applyNumberFormat="1" applyFont="1" applyBorder="1"/>
    <xf numFmtId="0" fontId="9" fillId="0" borderId="0" xfId="0" applyFont="1" applyFill="1" applyBorder="1"/>
    <xf numFmtId="0" fontId="9" fillId="0" borderId="0" xfId="0" applyFont="1" applyFill="1" applyBorder="1" applyAlignment="1">
      <alignment horizontal="left"/>
    </xf>
    <xf numFmtId="0" fontId="10" fillId="0" borderId="61" xfId="0" applyFont="1" applyBorder="1" applyAlignment="1">
      <alignment horizontal="left"/>
    </xf>
    <xf numFmtId="0" fontId="10" fillId="0" borderId="50" xfId="0" applyFont="1" applyBorder="1"/>
    <xf numFmtId="166" fontId="10" fillId="0" borderId="56" xfId="0" applyNumberFormat="1" applyFont="1" applyBorder="1"/>
    <xf numFmtId="0" fontId="10" fillId="0" borderId="55" xfId="0" applyFont="1" applyBorder="1" applyAlignment="1">
      <alignment horizontal="left"/>
    </xf>
    <xf numFmtId="0" fontId="0" fillId="0" borderId="57" xfId="0" applyBorder="1"/>
    <xf numFmtId="166" fontId="10" fillId="0" borderId="61" xfId="0" applyNumberFormat="1" applyFont="1" applyBorder="1" applyAlignment="1">
      <alignment horizontal="left"/>
    </xf>
    <xf numFmtId="0" fontId="11" fillId="0" borderId="0" xfId="0" applyFont="1"/>
    <xf numFmtId="0" fontId="10" fillId="0" borderId="48" xfId="0" applyFont="1" applyBorder="1"/>
    <xf numFmtId="0" fontId="10" fillId="0" borderId="51" xfId="0" applyFont="1" applyBorder="1"/>
    <xf numFmtId="0" fontId="10" fillId="0" borderId="57" xfId="0" applyFont="1" applyBorder="1"/>
    <xf numFmtId="0" fontId="9" fillId="0" borderId="61" xfId="0" applyFont="1" applyBorder="1"/>
    <xf numFmtId="0" fontId="9" fillId="0" borderId="0" xfId="0" applyFont="1" applyBorder="1"/>
    <xf numFmtId="0" fontId="9" fillId="0" borderId="49" xfId="0" applyFont="1" applyBorder="1"/>
    <xf numFmtId="0" fontId="10" fillId="0" borderId="49" xfId="0" applyFont="1" applyBorder="1" applyAlignment="1">
      <alignment horizontal="left"/>
    </xf>
    <xf numFmtId="0" fontId="9" fillId="0" borderId="0" xfId="0" applyFont="1" applyBorder="1" applyAlignment="1">
      <alignment horizontal="right"/>
    </xf>
    <xf numFmtId="0" fontId="10" fillId="0" borderId="52" xfId="0" applyFont="1" applyBorder="1" applyAlignment="1">
      <alignment horizontal="left"/>
    </xf>
    <xf numFmtId="0" fontId="10" fillId="0" borderId="0" xfId="0" applyNumberFormat="1" applyFont="1"/>
    <xf numFmtId="0" fontId="10" fillId="0" borderId="59" xfId="0" applyFont="1" applyBorder="1" applyAlignment="1">
      <alignment horizontal="right"/>
    </xf>
    <xf numFmtId="166" fontId="10" fillId="0" borderId="52" xfId="0" applyNumberFormat="1" applyFont="1" applyBorder="1" applyAlignment="1">
      <alignment horizontal="left"/>
    </xf>
    <xf numFmtId="0" fontId="10" fillId="0" borderId="60" xfId="0" applyFont="1" applyBorder="1" applyAlignment="1">
      <alignment horizontal="right"/>
    </xf>
    <xf numFmtId="0" fontId="33" fillId="0" borderId="0" xfId="0" applyFont="1" applyBorder="1" applyAlignment="1">
      <alignment horizontal="left"/>
    </xf>
    <xf numFmtId="1" fontId="10" fillId="0" borderId="0" xfId="0" applyNumberFormat="1" applyFont="1"/>
    <xf numFmtId="1" fontId="10" fillId="0" borderId="0" xfId="0" applyNumberFormat="1" applyFont="1" applyBorder="1"/>
    <xf numFmtId="0" fontId="33" fillId="0" borderId="0" xfId="0" applyFont="1" applyBorder="1"/>
    <xf numFmtId="177" fontId="10" fillId="0" borderId="52" xfId="0" applyNumberFormat="1" applyFont="1" applyBorder="1"/>
    <xf numFmtId="0" fontId="10" fillId="0" borderId="59" xfId="0" applyFont="1" applyBorder="1"/>
    <xf numFmtId="165" fontId="10" fillId="0" borderId="0" xfId="0" applyNumberFormat="1" applyFont="1"/>
    <xf numFmtId="167" fontId="10" fillId="0" borderId="52" xfId="0" applyNumberFormat="1" applyFont="1" applyBorder="1" applyAlignment="1">
      <alignment horizontal="right"/>
    </xf>
    <xf numFmtId="0" fontId="9" fillId="0" borderId="52" xfId="0" applyFont="1" applyBorder="1"/>
    <xf numFmtId="0" fontId="9" fillId="0" borderId="49" xfId="0" applyFont="1" applyBorder="1" applyAlignment="1">
      <alignment horizontal="left"/>
    </xf>
    <xf numFmtId="166" fontId="10" fillId="0" borderId="51" xfId="0" applyNumberFormat="1" applyFont="1" applyBorder="1" applyAlignment="1">
      <alignment horizontal="right"/>
    </xf>
    <xf numFmtId="0" fontId="9" fillId="0" borderId="56" xfId="0" applyFont="1" applyBorder="1"/>
    <xf numFmtId="0" fontId="36" fillId="0" borderId="0" xfId="0" applyFont="1" applyBorder="1"/>
    <xf numFmtId="0" fontId="10" fillId="0" borderId="0" xfId="0" applyFont="1" applyFill="1" applyBorder="1"/>
    <xf numFmtId="1" fontId="10" fillId="0" borderId="0" xfId="0" applyNumberFormat="1" applyFont="1" applyBorder="1" applyAlignment="1">
      <alignment horizontal="right"/>
    </xf>
    <xf numFmtId="2" fontId="10" fillId="0" borderId="0" xfId="0" applyNumberFormat="1" applyFont="1"/>
    <xf numFmtId="2" fontId="10" fillId="0" borderId="61" xfId="0" applyNumberFormat="1" applyFont="1" applyBorder="1"/>
    <xf numFmtId="49" fontId="35" fillId="0" borderId="0" xfId="0" applyNumberFormat="1" applyFont="1"/>
    <xf numFmtId="0" fontId="36" fillId="0" borderId="48" xfId="0" applyFont="1" applyBorder="1"/>
    <xf numFmtId="0" fontId="36" fillId="0" borderId="49" xfId="0" applyFont="1" applyBorder="1"/>
    <xf numFmtId="0" fontId="36" fillId="0" borderId="50" xfId="0" applyFont="1" applyBorder="1"/>
    <xf numFmtId="0" fontId="11" fillId="0" borderId="49" xfId="0" applyFont="1" applyBorder="1"/>
    <xf numFmtId="0" fontId="11" fillId="0" borderId="50" xfId="0" applyFont="1" applyBorder="1"/>
    <xf numFmtId="0" fontId="11" fillId="0" borderId="50" xfId="0" applyFont="1" applyBorder="1" applyAlignment="1">
      <alignment horizontal="left"/>
    </xf>
    <xf numFmtId="0" fontId="11" fillId="0" borderId="49" xfId="0" applyFont="1" applyBorder="1" applyAlignment="1">
      <alignment horizontal="left"/>
    </xf>
    <xf numFmtId="0" fontId="11" fillId="0" borderId="51" xfId="0" applyFont="1" applyBorder="1"/>
    <xf numFmtId="0" fontId="36" fillId="0" borderId="52" xfId="0" applyFont="1" applyBorder="1"/>
    <xf numFmtId="0" fontId="11" fillId="0" borderId="52" xfId="0" applyFont="1" applyBorder="1"/>
    <xf numFmtId="0" fontId="11" fillId="0" borderId="52" xfId="0" applyFont="1" applyBorder="1" applyAlignment="1">
      <alignment horizontal="left"/>
    </xf>
    <xf numFmtId="0" fontId="36" fillId="0" borderId="0" xfId="0" applyFont="1" applyBorder="1" applyAlignment="1">
      <alignment horizontal="center"/>
    </xf>
    <xf numFmtId="0" fontId="11" fillId="0" borderId="0" xfId="0" applyFont="1" applyBorder="1" applyAlignment="1">
      <alignment horizontal="right"/>
    </xf>
    <xf numFmtId="0" fontId="11" fillId="0" borderId="0" xfId="0" applyFont="1" applyFill="1" applyBorder="1"/>
    <xf numFmtId="0" fontId="11" fillId="0" borderId="61" xfId="0" applyFont="1" applyBorder="1" applyAlignment="1">
      <alignment horizontal="right"/>
    </xf>
    <xf numFmtId="0" fontId="11" fillId="0" borderId="0" xfId="0" applyNumberFormat="1" applyFont="1"/>
    <xf numFmtId="0" fontId="36" fillId="0" borderId="0" xfId="0" applyFont="1"/>
    <xf numFmtId="0" fontId="11" fillId="0" borderId="54" xfId="0" applyFont="1" applyBorder="1" applyAlignment="1">
      <alignment horizontal="right"/>
    </xf>
    <xf numFmtId="0" fontId="11" fillId="0" borderId="61" xfId="0" applyNumberFormat="1" applyFont="1" applyBorder="1"/>
    <xf numFmtId="0" fontId="7" fillId="0" borderId="0" xfId="0" applyFont="1" applyBorder="1" applyAlignment="1">
      <alignment horizontal="right"/>
    </xf>
    <xf numFmtId="0" fontId="7" fillId="0" borderId="0" xfId="0" applyNumberFormat="1" applyFont="1"/>
    <xf numFmtId="2" fontId="11" fillId="0" borderId="0" xfId="0" applyNumberFormat="1" applyFont="1"/>
    <xf numFmtId="0" fontId="11" fillId="0" borderId="52" xfId="0" applyFont="1" applyBorder="1" applyAlignment="1"/>
    <xf numFmtId="0" fontId="11" fillId="0" borderId="57" xfId="0" applyFont="1" applyBorder="1"/>
    <xf numFmtId="0" fontId="11" fillId="0" borderId="61" xfId="0" applyFont="1" applyBorder="1"/>
    <xf numFmtId="0" fontId="11" fillId="0" borderId="56" xfId="0" applyFont="1" applyBorder="1"/>
    <xf numFmtId="0" fontId="37" fillId="0" borderId="0" xfId="0" applyFont="1"/>
    <xf numFmtId="165" fontId="10" fillId="0" borderId="0" xfId="0" applyNumberFormat="1" applyFont="1" applyBorder="1" applyAlignment="1">
      <alignment horizontal="center"/>
    </xf>
    <xf numFmtId="2" fontId="10" fillId="0" borderId="0" xfId="0" applyNumberFormat="1" applyFont="1" applyBorder="1" applyAlignment="1">
      <alignment horizontal="center"/>
    </xf>
    <xf numFmtId="0" fontId="38" fillId="0" borderId="0" xfId="0" applyFont="1" applyBorder="1"/>
    <xf numFmtId="1" fontId="10" fillId="0" borderId="0" xfId="0" applyNumberFormat="1" applyFont="1" applyBorder="1" applyAlignment="1">
      <alignment horizontal="center"/>
    </xf>
    <xf numFmtId="166" fontId="10" fillId="0" borderId="57" xfId="0" applyNumberFormat="1" applyFont="1" applyBorder="1"/>
    <xf numFmtId="166" fontId="10" fillId="0" borderId="61" xfId="0" applyNumberFormat="1" applyFont="1" applyBorder="1"/>
    <xf numFmtId="166" fontId="10" fillId="0" borderId="49" xfId="0" applyNumberFormat="1" applyFont="1" applyBorder="1" applyAlignment="1">
      <alignment horizontal="left"/>
    </xf>
    <xf numFmtId="166" fontId="10" fillId="0" borderId="49" xfId="0" applyNumberFormat="1" applyFont="1" applyBorder="1"/>
    <xf numFmtId="166" fontId="9" fillId="0" borderId="0" xfId="0" applyNumberFormat="1" applyFont="1" applyBorder="1" applyAlignment="1">
      <alignment horizontal="right"/>
    </xf>
    <xf numFmtId="0" fontId="10" fillId="0" borderId="0" xfId="0" applyNumberFormat="1" applyFont="1" applyBorder="1" applyAlignment="1">
      <alignment horizontal="right"/>
    </xf>
    <xf numFmtId="0" fontId="10" fillId="0" borderId="0" xfId="0" applyNumberFormat="1" applyFont="1" applyAlignment="1">
      <alignment horizontal="right"/>
    </xf>
    <xf numFmtId="0" fontId="10" fillId="0" borderId="0" xfId="0" applyNumberFormat="1" applyFont="1" applyBorder="1"/>
    <xf numFmtId="0" fontId="10" fillId="0" borderId="61" xfId="0" applyNumberFormat="1" applyFont="1" applyBorder="1"/>
    <xf numFmtId="0" fontId="10" fillId="0" borderId="61" xfId="0" applyNumberFormat="1" applyFont="1" applyBorder="1" applyAlignment="1">
      <alignment horizontal="right"/>
    </xf>
    <xf numFmtId="0" fontId="10" fillId="0" borderId="61" xfId="0" applyNumberFormat="1" applyFont="1" applyBorder="1" applyAlignment="1">
      <alignment horizontal="left"/>
    </xf>
    <xf numFmtId="0" fontId="10" fillId="0" borderId="0" xfId="0" applyNumberFormat="1" applyFont="1" applyBorder="1" applyAlignment="1">
      <alignment horizontal="left"/>
    </xf>
    <xf numFmtId="0" fontId="10" fillId="0" borderId="49" xfId="0" applyNumberFormat="1" applyFont="1" applyBorder="1"/>
    <xf numFmtId="0" fontId="10" fillId="0" borderId="49" xfId="0" applyNumberFormat="1" applyFont="1" applyBorder="1" applyAlignment="1">
      <alignment horizontal="left"/>
    </xf>
    <xf numFmtId="0" fontId="9" fillId="0" borderId="0" xfId="0" applyNumberFormat="1" applyFont="1" applyBorder="1" applyAlignment="1">
      <alignment horizontal="right"/>
    </xf>
    <xf numFmtId="0" fontId="39" fillId="0" borderId="0" xfId="0" applyNumberFormat="1" applyFont="1" applyBorder="1" applyAlignment="1">
      <alignment horizontal="right"/>
    </xf>
    <xf numFmtId="0" fontId="40" fillId="0" borderId="0" xfId="0" applyFont="1" applyBorder="1"/>
    <xf numFmtId="0" fontId="10" fillId="0" borderId="0" xfId="0" applyFont="1" applyAlignment="1">
      <alignment horizontal="right"/>
    </xf>
    <xf numFmtId="166" fontId="39" fillId="0" borderId="0" xfId="0" applyNumberFormat="1" applyFont="1" applyBorder="1" applyAlignment="1">
      <alignment horizontal="right"/>
    </xf>
    <xf numFmtId="0" fontId="34" fillId="0" borderId="0" xfId="0" applyFont="1" applyBorder="1"/>
    <xf numFmtId="0" fontId="35" fillId="0" borderId="0" xfId="0" applyFont="1" applyBorder="1"/>
    <xf numFmtId="0" fontId="36" fillId="0" borderId="0" xfId="0" applyFont="1" applyFill="1" applyBorder="1"/>
    <xf numFmtId="0" fontId="20" fillId="0" borderId="4" xfId="0" applyFont="1" applyBorder="1" applyAlignment="1">
      <alignment vertical="center"/>
    </xf>
    <xf numFmtId="3" fontId="12" fillId="0" borderId="12" xfId="0" applyNumberFormat="1" applyFont="1" applyBorder="1" applyAlignment="1">
      <alignment horizontal="center" vertical="center"/>
    </xf>
    <xf numFmtId="3" fontId="12" fillId="0" borderId="0" xfId="0" applyNumberFormat="1" applyFont="1" applyBorder="1" applyAlignment="1">
      <alignment horizontal="center" vertical="center"/>
    </xf>
    <xf numFmtId="3" fontId="12" fillId="0" borderId="7" xfId="0" applyNumberFormat="1" applyFont="1" applyBorder="1" applyAlignment="1">
      <alignment horizontal="center" vertical="center"/>
    </xf>
    <xf numFmtId="168" fontId="12" fillId="2" borderId="9" xfId="0" applyNumberFormat="1" applyFont="1" applyFill="1" applyBorder="1" applyAlignment="1">
      <alignment horizontal="right" vertical="center"/>
    </xf>
    <xf numFmtId="0" fontId="12" fillId="0" borderId="9" xfId="0" applyFont="1" applyFill="1" applyBorder="1" applyAlignment="1">
      <alignment vertical="center"/>
    </xf>
    <xf numFmtId="165" fontId="12" fillId="0" borderId="18" xfId="0" applyNumberFormat="1" applyFont="1" applyFill="1" applyBorder="1" applyAlignment="1">
      <alignment vertical="center"/>
    </xf>
    <xf numFmtId="176" fontId="12" fillId="0" borderId="35" xfId="0" applyNumberFormat="1" applyFont="1" applyBorder="1" applyAlignment="1">
      <alignment vertical="center"/>
    </xf>
    <xf numFmtId="176" fontId="12" fillId="0" borderId="21" xfId="0" applyNumberFormat="1" applyFont="1" applyBorder="1" applyAlignment="1">
      <alignment vertical="center"/>
    </xf>
    <xf numFmtId="176" fontId="12" fillId="0" borderId="23" xfId="0" applyNumberFormat="1" applyFont="1" applyBorder="1" applyAlignment="1">
      <alignment vertical="center"/>
    </xf>
    <xf numFmtId="173" fontId="12" fillId="0" borderId="18" xfId="0" applyNumberFormat="1" applyFont="1" applyBorder="1" applyAlignment="1">
      <alignment vertical="center"/>
    </xf>
    <xf numFmtId="173" fontId="12" fillId="0" borderId="22" xfId="0" applyNumberFormat="1" applyFont="1" applyBorder="1" applyAlignment="1">
      <alignment vertical="center"/>
    </xf>
    <xf numFmtId="176" fontId="12" fillId="0" borderId="37" xfId="0" applyNumberFormat="1" applyFont="1" applyBorder="1" applyAlignment="1">
      <alignment vertical="center"/>
    </xf>
    <xf numFmtId="173" fontId="12" fillId="0" borderId="37" xfId="0" applyNumberFormat="1" applyFont="1" applyBorder="1" applyAlignment="1">
      <alignment vertical="center"/>
    </xf>
    <xf numFmtId="171" fontId="12" fillId="0" borderId="21" xfId="0" applyNumberFormat="1" applyFont="1" applyBorder="1" applyAlignment="1">
      <alignment vertical="center"/>
    </xf>
    <xf numFmtId="168" fontId="12" fillId="0" borderId="27" xfId="0" applyNumberFormat="1" applyFont="1" applyBorder="1" applyAlignment="1">
      <alignment horizontal="left" vertical="center"/>
    </xf>
    <xf numFmtId="168" fontId="12" fillId="0" borderId="42" xfId="0" applyNumberFormat="1" applyFont="1" applyBorder="1" applyAlignment="1">
      <alignment horizontal="left" vertical="center"/>
    </xf>
    <xf numFmtId="0" fontId="12" fillId="0" borderId="29" xfId="0" applyFont="1" applyBorder="1" applyAlignment="1">
      <alignment horizontal="center" vertical="center"/>
    </xf>
    <xf numFmtId="0" fontId="0" fillId="0" borderId="0" xfId="0" applyAlignment="1">
      <alignment horizontal="center" vertical="center"/>
    </xf>
    <xf numFmtId="3" fontId="0" fillId="0" borderId="17" xfId="0" applyNumberFormat="1" applyBorder="1" applyAlignment="1">
      <alignment horizontal="right" vertical="center"/>
    </xf>
    <xf numFmtId="166" fontId="12" fillId="0" borderId="20" xfId="0" applyNumberFormat="1" applyFont="1" applyBorder="1" applyAlignment="1">
      <alignment horizontal="left" vertical="center"/>
    </xf>
    <xf numFmtId="173" fontId="0" fillId="0" borderId="18" xfId="0" applyNumberFormat="1" applyBorder="1" applyAlignment="1">
      <alignment horizontal="right" vertical="center"/>
    </xf>
    <xf numFmtId="176" fontId="0" fillId="0" borderId="11" xfId="0" applyNumberFormat="1" applyBorder="1" applyAlignment="1">
      <alignment horizontal="right" vertical="center"/>
    </xf>
    <xf numFmtId="176" fontId="0" fillId="0" borderId="18" xfId="0" applyNumberFormat="1" applyBorder="1" applyAlignment="1">
      <alignment horizontal="right" vertical="center"/>
    </xf>
    <xf numFmtId="176" fontId="0" fillId="0" borderId="10" xfId="0" applyNumberFormat="1" applyBorder="1" applyAlignment="1">
      <alignment horizontal="right" vertical="center"/>
    </xf>
    <xf numFmtId="173" fontId="0" fillId="0" borderId="11" xfId="0" applyNumberFormat="1" applyBorder="1" applyAlignment="1">
      <alignment horizontal="right" vertical="center"/>
    </xf>
    <xf numFmtId="173" fontId="0" fillId="0" borderId="10" xfId="0" applyNumberFormat="1" applyBorder="1" applyAlignment="1">
      <alignment horizontal="right" vertical="center"/>
    </xf>
    <xf numFmtId="173" fontId="0" fillId="0" borderId="22" xfId="0" applyNumberFormat="1" applyBorder="1" applyAlignment="1">
      <alignment horizontal="right" vertical="center"/>
    </xf>
    <xf numFmtId="176" fontId="0" fillId="0" borderId="34" xfId="0" applyNumberFormat="1" applyBorder="1" applyAlignment="1">
      <alignment horizontal="right" vertical="center"/>
    </xf>
    <xf numFmtId="176" fontId="0" fillId="0" borderId="22" xfId="0" applyNumberFormat="1" applyBorder="1" applyAlignment="1">
      <alignment horizontal="right" vertical="center"/>
    </xf>
    <xf numFmtId="176" fontId="0" fillId="0" borderId="43" xfId="0" applyNumberFormat="1" applyBorder="1" applyAlignment="1">
      <alignment horizontal="right" vertical="center"/>
    </xf>
    <xf numFmtId="173" fontId="0" fillId="0" borderId="34" xfId="0" applyNumberFormat="1" applyBorder="1" applyAlignment="1">
      <alignment horizontal="right" vertical="center"/>
    </xf>
    <xf numFmtId="173" fontId="0" fillId="0" borderId="43" xfId="0" applyNumberFormat="1" applyBorder="1" applyAlignment="1">
      <alignment horizontal="right" vertical="center"/>
    </xf>
    <xf numFmtId="173" fontId="0" fillId="0" borderId="36" xfId="0" applyNumberFormat="1" applyBorder="1" applyAlignment="1">
      <alignment horizontal="right" vertical="center"/>
    </xf>
    <xf numFmtId="173" fontId="0" fillId="0" borderId="63" xfId="0" applyNumberFormat="1" applyBorder="1" applyAlignment="1">
      <alignment horizontal="right" vertical="center"/>
    </xf>
    <xf numFmtId="0" fontId="12" fillId="2" borderId="0" xfId="0" applyFont="1" applyFill="1" applyBorder="1" applyAlignment="1">
      <alignment horizontal="center" vertical="center" wrapText="1"/>
    </xf>
    <xf numFmtId="3" fontId="0" fillId="0" borderId="18" xfId="0" applyNumberFormat="1" applyBorder="1" applyAlignment="1">
      <alignment vertical="center"/>
    </xf>
    <xf numFmtId="3" fontId="0" fillId="0" borderId="21" xfId="0" applyNumberFormat="1" applyBorder="1" applyAlignment="1">
      <alignment vertical="center"/>
    </xf>
    <xf numFmtId="0" fontId="20" fillId="0" borderId="0" xfId="0" applyFont="1" applyFill="1" applyAlignment="1">
      <alignment vertical="center"/>
    </xf>
    <xf numFmtId="3" fontId="12" fillId="0" borderId="24" xfId="0" quotePrefix="1" applyNumberFormat="1" applyFont="1" applyBorder="1" applyAlignment="1">
      <alignment vertical="center"/>
    </xf>
    <xf numFmtId="0" fontId="0" fillId="0" borderId="49" xfId="0" applyFill="1" applyBorder="1" applyAlignment="1">
      <alignment horizontal="left"/>
    </xf>
    <xf numFmtId="0" fontId="0" fillId="0" borderId="50" xfId="0" applyFill="1" applyBorder="1" applyAlignment="1">
      <alignment horizontal="left"/>
    </xf>
    <xf numFmtId="0" fontId="0" fillId="0" borderId="0" xfId="0" applyFill="1"/>
    <xf numFmtId="0" fontId="26" fillId="0" borderId="0" xfId="0" applyFont="1" applyFill="1"/>
    <xf numFmtId="0" fontId="0" fillId="0" borderId="0" xfId="0" applyFill="1" applyBorder="1"/>
    <xf numFmtId="0" fontId="29" fillId="0" borderId="0" xfId="0" applyFont="1" applyFill="1" applyBorder="1"/>
    <xf numFmtId="0" fontId="30" fillId="0" borderId="0" xfId="0" applyFont="1" applyFill="1" applyAlignment="1">
      <alignment horizontal="right"/>
    </xf>
    <xf numFmtId="0" fontId="28" fillId="0" borderId="0" xfId="0" applyFont="1" applyFill="1"/>
    <xf numFmtId="0" fontId="28" fillId="0" borderId="0" xfId="0" applyFont="1" applyFill="1" applyAlignment="1">
      <alignment horizontal="right"/>
    </xf>
    <xf numFmtId="0" fontId="31" fillId="0" borderId="0" xfId="0" applyFont="1" applyFill="1" applyAlignment="1">
      <alignment horizontal="right"/>
    </xf>
    <xf numFmtId="0" fontId="28" fillId="0" borderId="0" xfId="0" applyFont="1" applyFill="1" applyAlignment="1">
      <alignment horizontal="left"/>
    </xf>
    <xf numFmtId="0" fontId="0" fillId="0" borderId="52" xfId="0" applyFill="1" applyBorder="1"/>
    <xf numFmtId="0" fontId="12" fillId="0" borderId="4" xfId="0" applyFont="1" applyFill="1" applyBorder="1" applyAlignment="1">
      <alignment vertical="center"/>
    </xf>
    <xf numFmtId="170" fontId="12" fillId="0" borderId="0" xfId="1" applyNumberFormat="1" applyFont="1" applyFill="1" applyBorder="1" applyAlignment="1">
      <alignment vertical="center"/>
    </xf>
    <xf numFmtId="0" fontId="12" fillId="0" borderId="0" xfId="3"/>
    <xf numFmtId="0" fontId="12" fillId="0" borderId="0" xfId="3"/>
    <xf numFmtId="0" fontId="12" fillId="0" borderId="0" xfId="3"/>
    <xf numFmtId="0" fontId="12" fillId="0" borderId="0" xfId="3"/>
    <xf numFmtId="3" fontId="14" fillId="0" borderId="20" xfId="0" applyNumberFormat="1" applyFont="1" applyBorder="1" applyAlignment="1">
      <alignment horizontal="right" vertical="center" indent="1"/>
    </xf>
    <xf numFmtId="3" fontId="14" fillId="0" borderId="18" xfId="0" applyNumberFormat="1" applyFont="1" applyBorder="1" applyAlignment="1">
      <alignment horizontal="right" vertical="center" indent="1"/>
    </xf>
    <xf numFmtId="3" fontId="14" fillId="0" borderId="21" xfId="0" applyNumberFormat="1" applyFont="1" applyBorder="1" applyAlignment="1">
      <alignment horizontal="right" vertical="center" indent="1"/>
    </xf>
    <xf numFmtId="3" fontId="14" fillId="0" borderId="24" xfId="0" applyNumberFormat="1" applyFont="1" applyBorder="1" applyAlignment="1">
      <alignment horizontal="right" vertical="center" indent="1"/>
    </xf>
    <xf numFmtId="3" fontId="14" fillId="0" borderId="22" xfId="0" applyNumberFormat="1" applyFont="1" applyBorder="1" applyAlignment="1">
      <alignment horizontal="right" vertical="center" indent="1"/>
    </xf>
    <xf numFmtId="3" fontId="14" fillId="0" borderId="23" xfId="0" applyNumberFormat="1" applyFont="1" applyBorder="1" applyAlignment="1">
      <alignment horizontal="right" vertical="center" indent="1"/>
    </xf>
    <xf numFmtId="3" fontId="14" fillId="3" borderId="18" xfId="0" applyNumberFormat="1" applyFont="1" applyFill="1" applyBorder="1" applyAlignment="1">
      <alignment horizontal="right" vertical="center" indent="1"/>
    </xf>
    <xf numFmtId="3" fontId="14" fillId="3" borderId="21" xfId="0" applyNumberFormat="1" applyFont="1" applyFill="1" applyBorder="1" applyAlignment="1">
      <alignment horizontal="right" vertical="center" indent="1"/>
    </xf>
    <xf numFmtId="3" fontId="14" fillId="0" borderId="18" xfId="0" applyNumberFormat="1" applyFont="1" applyFill="1" applyBorder="1" applyAlignment="1">
      <alignment horizontal="right" vertical="center" indent="1"/>
    </xf>
    <xf numFmtId="3" fontId="14" fillId="0" borderId="21" xfId="0" applyNumberFormat="1" applyFont="1" applyFill="1" applyBorder="1" applyAlignment="1">
      <alignment horizontal="right" vertical="center" indent="1"/>
    </xf>
    <xf numFmtId="0" fontId="15" fillId="3" borderId="22" xfId="0" applyFont="1" applyFill="1" applyBorder="1" applyAlignment="1">
      <alignment horizontal="right" vertical="center" indent="1"/>
    </xf>
    <xf numFmtId="0" fontId="15" fillId="3" borderId="23" xfId="0" applyFont="1" applyFill="1" applyBorder="1" applyAlignment="1">
      <alignment horizontal="right" vertical="center" indent="1"/>
    </xf>
    <xf numFmtId="3" fontId="12" fillId="0" borderId="20" xfId="0" applyNumberFormat="1" applyFont="1" applyBorder="1" applyAlignment="1">
      <alignment horizontal="right" vertical="center" indent="1"/>
    </xf>
    <xf numFmtId="3" fontId="12" fillId="0" borderId="18" xfId="0" applyNumberFormat="1" applyFont="1" applyBorder="1" applyAlignment="1">
      <alignment horizontal="right" vertical="center" indent="1"/>
    </xf>
    <xf numFmtId="3" fontId="12" fillId="0" borderId="21" xfId="0" applyNumberFormat="1" applyFont="1" applyBorder="1" applyAlignment="1">
      <alignment horizontal="right" vertical="center" indent="1"/>
    </xf>
    <xf numFmtId="3" fontId="12" fillId="0" borderId="24" xfId="0" applyNumberFormat="1" applyFont="1" applyBorder="1" applyAlignment="1">
      <alignment horizontal="right" vertical="center" indent="1"/>
    </xf>
    <xf numFmtId="3" fontId="12" fillId="0" borderId="22" xfId="0" applyNumberFormat="1" applyFont="1" applyBorder="1" applyAlignment="1">
      <alignment horizontal="right" vertical="center" indent="1"/>
    </xf>
    <xf numFmtId="3" fontId="12" fillId="0" borderId="23" xfId="0" applyNumberFormat="1" applyFont="1" applyBorder="1" applyAlignment="1">
      <alignment horizontal="right" vertical="center" indent="1"/>
    </xf>
    <xf numFmtId="169" fontId="14" fillId="0" borderId="23" xfId="0" applyNumberFormat="1" applyFont="1" applyBorder="1" applyAlignment="1">
      <alignment horizontal="right" vertical="center" indent="1"/>
    </xf>
    <xf numFmtId="169" fontId="14" fillId="0" borderId="20" xfId="0" applyNumberFormat="1" applyFont="1" applyBorder="1" applyAlignment="1">
      <alignment horizontal="right" vertical="center" indent="1"/>
    </xf>
    <xf numFmtId="169" fontId="14" fillId="0" borderId="18" xfId="0" applyNumberFormat="1" applyFont="1" applyBorder="1" applyAlignment="1">
      <alignment horizontal="right" vertical="center" indent="1"/>
    </xf>
    <xf numFmtId="169" fontId="14" fillId="0" borderId="22" xfId="0" applyNumberFormat="1" applyFont="1" applyBorder="1" applyAlignment="1">
      <alignment horizontal="right" vertical="center" indent="1"/>
    </xf>
    <xf numFmtId="169" fontId="14" fillId="0" borderId="24" xfId="0" applyNumberFormat="1" applyFont="1" applyBorder="1" applyAlignment="1">
      <alignment horizontal="right" vertical="center" indent="1"/>
    </xf>
    <xf numFmtId="169" fontId="14" fillId="0" borderId="21" xfId="0" applyNumberFormat="1" applyFont="1" applyBorder="1" applyAlignment="1">
      <alignment horizontal="right" vertical="center" indent="1"/>
    </xf>
    <xf numFmtId="1" fontId="15" fillId="3" borderId="20" xfId="0" applyNumberFormat="1" applyFont="1" applyFill="1" applyBorder="1" applyAlignment="1">
      <alignment horizontal="right" vertical="center" indent="1"/>
    </xf>
    <xf numFmtId="1" fontId="15" fillId="3" borderId="18" xfId="0" applyNumberFormat="1" applyFont="1" applyFill="1" applyBorder="1" applyAlignment="1">
      <alignment horizontal="right" vertical="center" indent="1"/>
    </xf>
    <xf numFmtId="1" fontId="15" fillId="3" borderId="21" xfId="0" applyNumberFormat="1" applyFont="1" applyFill="1" applyBorder="1" applyAlignment="1">
      <alignment horizontal="right" vertical="center" indent="1"/>
    </xf>
    <xf numFmtId="1" fontId="15" fillId="3" borderId="24" xfId="0" applyNumberFormat="1" applyFont="1" applyFill="1" applyBorder="1" applyAlignment="1">
      <alignment horizontal="right" vertical="center" indent="1"/>
    </xf>
    <xf numFmtId="1" fontId="15" fillId="3" borderId="22" xfId="0" applyNumberFormat="1" applyFont="1" applyFill="1" applyBorder="1" applyAlignment="1">
      <alignment horizontal="right" vertical="center" indent="1"/>
    </xf>
    <xf numFmtId="1" fontId="15" fillId="3" borderId="23" xfId="0" applyNumberFormat="1" applyFont="1" applyFill="1" applyBorder="1" applyAlignment="1">
      <alignment horizontal="right" vertical="center" indent="1"/>
    </xf>
    <xf numFmtId="0" fontId="12" fillId="0" borderId="20" xfId="0" applyFont="1" applyBorder="1" applyAlignment="1">
      <alignment horizontal="right" vertical="center" indent="1"/>
    </xf>
    <xf numFmtId="0" fontId="12" fillId="0" borderId="18" xfId="0" applyFont="1" applyBorder="1" applyAlignment="1">
      <alignment horizontal="right" vertical="center" indent="1"/>
    </xf>
    <xf numFmtId="0" fontId="12" fillId="0" borderId="21" xfId="0" applyFont="1" applyBorder="1" applyAlignment="1">
      <alignment horizontal="right" vertical="center" indent="1"/>
    </xf>
    <xf numFmtId="0" fontId="12" fillId="0" borderId="24" xfId="0" applyFont="1" applyBorder="1" applyAlignment="1">
      <alignment horizontal="right" vertical="center" indent="1"/>
    </xf>
    <xf numFmtId="0" fontId="12" fillId="0" borderId="22" xfId="0" applyFont="1" applyBorder="1" applyAlignment="1">
      <alignment horizontal="right" vertical="center" indent="1"/>
    </xf>
    <xf numFmtId="0" fontId="12" fillId="0" borderId="23" xfId="0" applyFont="1" applyBorder="1" applyAlignment="1">
      <alignment horizontal="right" vertical="center" indent="1"/>
    </xf>
    <xf numFmtId="1" fontId="12" fillId="0" borderId="20" xfId="0" applyNumberFormat="1" applyFont="1" applyBorder="1" applyAlignment="1">
      <alignment horizontal="right" vertical="center" indent="1"/>
    </xf>
    <xf numFmtId="1" fontId="12" fillId="0" borderId="18" xfId="0" applyNumberFormat="1" applyFont="1" applyBorder="1" applyAlignment="1">
      <alignment horizontal="right" vertical="center" indent="1"/>
    </xf>
    <xf numFmtId="1" fontId="12" fillId="0" borderId="21" xfId="0" applyNumberFormat="1" applyFont="1" applyBorder="1" applyAlignment="1">
      <alignment horizontal="right" vertical="center" indent="1"/>
    </xf>
    <xf numFmtId="1" fontId="12" fillId="0" borderId="24" xfId="0" applyNumberFormat="1" applyFont="1" applyBorder="1" applyAlignment="1">
      <alignment horizontal="right" vertical="center" indent="1"/>
    </xf>
    <xf numFmtId="1" fontId="12" fillId="0" borderId="22" xfId="0" applyNumberFormat="1" applyFont="1" applyBorder="1" applyAlignment="1">
      <alignment horizontal="right" vertical="center" indent="1"/>
    </xf>
    <xf numFmtId="1" fontId="12" fillId="0" borderId="23" xfId="0" applyNumberFormat="1" applyFont="1" applyBorder="1" applyAlignment="1">
      <alignment horizontal="right" vertical="center" indent="1"/>
    </xf>
    <xf numFmtId="3" fontId="15" fillId="3" borderId="20" xfId="0" applyNumberFormat="1" applyFont="1" applyFill="1" applyBorder="1" applyAlignment="1">
      <alignment horizontal="right" vertical="center" indent="1"/>
    </xf>
    <xf numFmtId="3" fontId="15" fillId="3" borderId="18" xfId="0" applyNumberFormat="1" applyFont="1" applyFill="1" applyBorder="1" applyAlignment="1">
      <alignment horizontal="right" vertical="center" indent="1"/>
    </xf>
    <xf numFmtId="3" fontId="15" fillId="3" borderId="21" xfId="0" applyNumberFormat="1" applyFont="1" applyFill="1" applyBorder="1" applyAlignment="1">
      <alignment horizontal="right" vertical="center" indent="1"/>
    </xf>
    <xf numFmtId="3" fontId="15" fillId="3" borderId="24" xfId="0" applyNumberFormat="1" applyFont="1" applyFill="1" applyBorder="1" applyAlignment="1">
      <alignment horizontal="right" vertical="center" indent="1"/>
    </xf>
    <xf numFmtId="3" fontId="15" fillId="3" borderId="22" xfId="0" applyNumberFormat="1" applyFont="1" applyFill="1" applyBorder="1" applyAlignment="1">
      <alignment horizontal="right" vertical="center" indent="1"/>
    </xf>
    <xf numFmtId="3" fontId="15" fillId="3" borderId="23" xfId="0" applyNumberFormat="1" applyFont="1" applyFill="1" applyBorder="1" applyAlignment="1">
      <alignment horizontal="right" vertical="center" indent="1"/>
    </xf>
    <xf numFmtId="3" fontId="14" fillId="0" borderId="20" xfId="1" applyNumberFormat="1" applyFont="1" applyBorder="1" applyAlignment="1">
      <alignment horizontal="right" vertical="center" indent="1"/>
    </xf>
    <xf numFmtId="3" fontId="14" fillId="0" borderId="18" xfId="1" applyNumberFormat="1" applyFont="1" applyBorder="1" applyAlignment="1">
      <alignment horizontal="right" vertical="center" indent="1"/>
    </xf>
    <xf numFmtId="3" fontId="14" fillId="0" borderId="23" xfId="1" applyNumberFormat="1" applyFont="1" applyBorder="1" applyAlignment="1">
      <alignment horizontal="right" vertical="center" indent="1"/>
    </xf>
    <xf numFmtId="3" fontId="14" fillId="0" borderId="22" xfId="1" applyNumberFormat="1" applyFont="1" applyBorder="1" applyAlignment="1">
      <alignment horizontal="right" vertical="center" indent="1"/>
    </xf>
    <xf numFmtId="3" fontId="14" fillId="0" borderId="24" xfId="1" applyNumberFormat="1" applyFont="1" applyBorder="1" applyAlignment="1">
      <alignment horizontal="right" vertical="center" indent="1"/>
    </xf>
    <xf numFmtId="3" fontId="14" fillId="0" borderId="21" xfId="1" applyNumberFormat="1" applyFont="1" applyBorder="1" applyAlignment="1">
      <alignment horizontal="right" vertical="center" indent="1"/>
    </xf>
    <xf numFmtId="170" fontId="15" fillId="3" borderId="20" xfId="1" applyNumberFormat="1" applyFont="1" applyFill="1" applyBorder="1" applyAlignment="1">
      <alignment horizontal="right" vertical="center" indent="1"/>
    </xf>
    <xf numFmtId="170" fontId="15" fillId="3" borderId="18" xfId="1" applyNumberFormat="1" applyFont="1" applyFill="1" applyBorder="1" applyAlignment="1">
      <alignment horizontal="right" vertical="center" indent="1"/>
    </xf>
    <xf numFmtId="170" fontId="15" fillId="3" borderId="21" xfId="1" applyNumberFormat="1" applyFont="1" applyFill="1" applyBorder="1" applyAlignment="1">
      <alignment horizontal="right" vertical="center" indent="1"/>
    </xf>
    <xf numFmtId="170" fontId="15" fillId="3" borderId="24" xfId="1" applyNumberFormat="1" applyFont="1" applyFill="1" applyBorder="1" applyAlignment="1">
      <alignment horizontal="right" vertical="center" indent="1"/>
    </xf>
    <xf numFmtId="170" fontId="15" fillId="3" borderId="22" xfId="1" applyNumberFormat="1" applyFont="1" applyFill="1" applyBorder="1" applyAlignment="1">
      <alignment horizontal="right" vertical="center" indent="1"/>
    </xf>
    <xf numFmtId="170" fontId="15" fillId="3" borderId="23" xfId="1" applyNumberFormat="1" applyFont="1" applyFill="1" applyBorder="1" applyAlignment="1">
      <alignment horizontal="right" vertical="center" indent="1"/>
    </xf>
    <xf numFmtId="170" fontId="15" fillId="3" borderId="0" xfId="1" applyNumberFormat="1" applyFont="1" applyFill="1" applyBorder="1" applyAlignment="1">
      <alignment horizontal="right" vertical="center" indent="1"/>
    </xf>
    <xf numFmtId="2" fontId="14" fillId="0" borderId="0" xfId="0" applyNumberFormat="1" applyFont="1" applyFill="1" applyBorder="1" applyAlignment="1">
      <alignment horizontal="right" vertical="center" indent="1"/>
    </xf>
    <xf numFmtId="4" fontId="14" fillId="0" borderId="0" xfId="1" applyNumberFormat="1" applyFont="1" applyFill="1" applyBorder="1" applyAlignment="1">
      <alignment horizontal="right" vertical="center" indent="1"/>
    </xf>
    <xf numFmtId="170" fontId="14" fillId="0" borderId="0" xfId="1" applyNumberFormat="1" applyFont="1" applyFill="1" applyBorder="1" applyAlignment="1">
      <alignment horizontal="right" vertical="center" indent="1"/>
    </xf>
    <xf numFmtId="170" fontId="12" fillId="0" borderId="18" xfId="1" applyNumberFormat="1" applyFont="1" applyBorder="1" applyAlignment="1">
      <alignment horizontal="right" vertical="center" indent="1"/>
    </xf>
    <xf numFmtId="170" fontId="12" fillId="0" borderId="21" xfId="1" applyNumberFormat="1" applyFont="1" applyBorder="1" applyAlignment="1">
      <alignment horizontal="right" vertical="center" indent="1"/>
    </xf>
    <xf numFmtId="170" fontId="12" fillId="0" borderId="22" xfId="1" applyNumberFormat="1" applyFont="1" applyBorder="1" applyAlignment="1">
      <alignment horizontal="right" vertical="center" indent="1"/>
    </xf>
    <xf numFmtId="170" fontId="12" fillId="0" borderId="23" xfId="1" applyNumberFormat="1" applyFont="1" applyBorder="1" applyAlignment="1">
      <alignment horizontal="right" vertical="center" indent="1"/>
    </xf>
    <xf numFmtId="3" fontId="14" fillId="3" borderId="29" xfId="1" applyNumberFormat="1" applyFont="1" applyFill="1" applyBorder="1" applyAlignment="1">
      <alignment horizontal="right" vertical="center" indent="1"/>
    </xf>
    <xf numFmtId="3" fontId="12" fillId="0" borderId="21" xfId="0" applyNumberFormat="1" applyFont="1" applyFill="1" applyBorder="1" applyAlignment="1">
      <alignment horizontal="right" vertical="center" indent="1"/>
    </xf>
    <xf numFmtId="9" fontId="14" fillId="0" borderId="0" xfId="1" applyFont="1" applyFill="1" applyBorder="1" applyAlignment="1">
      <alignment horizontal="right" vertical="center" indent="1"/>
    </xf>
    <xf numFmtId="9" fontId="12" fillId="0" borderId="0" xfId="1" applyFont="1" applyFill="1" applyBorder="1" applyAlignment="1">
      <alignment horizontal="right" vertical="center" indent="1"/>
    </xf>
    <xf numFmtId="3" fontId="14" fillId="0" borderId="0" xfId="0" applyNumberFormat="1" applyFont="1" applyFill="1" applyBorder="1" applyAlignment="1">
      <alignment horizontal="right" vertical="center" indent="1"/>
    </xf>
    <xf numFmtId="0" fontId="15" fillId="3" borderId="21" xfId="0" applyFont="1" applyFill="1" applyBorder="1" applyAlignment="1">
      <alignment horizontal="right" vertical="center" indent="1"/>
    </xf>
    <xf numFmtId="176" fontId="0" fillId="0" borderId="39" xfId="0" applyNumberFormat="1" applyBorder="1" applyAlignment="1">
      <alignment horizontal="right" vertical="center"/>
    </xf>
    <xf numFmtId="176" fontId="0" fillId="0" borderId="63" xfId="0" applyNumberFormat="1" applyBorder="1" applyAlignment="1">
      <alignment horizontal="right" vertical="center"/>
    </xf>
    <xf numFmtId="0" fontId="14" fillId="0" borderId="0" xfId="0" applyFont="1" applyFill="1" applyAlignment="1">
      <alignment horizontal="left" vertical="center" indent="1"/>
    </xf>
    <xf numFmtId="0" fontId="14" fillId="0" borderId="0" xfId="0" applyFont="1" applyAlignment="1">
      <alignment horizontal="left" vertical="center" indent="1"/>
    </xf>
    <xf numFmtId="0" fontId="15" fillId="3" borderId="18" xfId="0" applyFont="1" applyFill="1" applyBorder="1" applyAlignment="1">
      <alignment horizontal="right" vertical="center" indent="1"/>
    </xf>
    <xf numFmtId="2" fontId="12" fillId="0" borderId="21" xfId="0" applyNumberFormat="1" applyFont="1" applyBorder="1" applyAlignment="1">
      <alignment vertical="center"/>
    </xf>
    <xf numFmtId="2" fontId="12" fillId="0" borderId="23" xfId="0" applyNumberFormat="1" applyFont="1" applyBorder="1" applyAlignment="1">
      <alignment vertical="center"/>
    </xf>
    <xf numFmtId="1" fontId="15" fillId="3" borderId="22" xfId="1" applyNumberFormat="1" applyFont="1" applyFill="1" applyBorder="1" applyAlignment="1">
      <alignment vertical="center"/>
    </xf>
    <xf numFmtId="1" fontId="15" fillId="3" borderId="18" xfId="1" applyNumberFormat="1" applyFont="1" applyFill="1" applyBorder="1" applyAlignment="1">
      <alignment vertical="center"/>
    </xf>
    <xf numFmtId="1" fontId="15" fillId="3" borderId="21" xfId="1" applyNumberFormat="1" applyFont="1" applyFill="1" applyBorder="1" applyAlignment="1">
      <alignment vertical="center"/>
    </xf>
    <xf numFmtId="1" fontId="15" fillId="3" borderId="23" xfId="1" applyNumberFormat="1" applyFont="1" applyFill="1" applyBorder="1" applyAlignment="1">
      <alignment vertical="center"/>
    </xf>
    <xf numFmtId="2" fontId="12" fillId="0" borderId="35" xfId="0" applyNumberFormat="1" applyFont="1" applyBorder="1" applyAlignment="1">
      <alignment vertical="center"/>
    </xf>
    <xf numFmtId="9" fontId="14" fillId="0" borderId="0" xfId="1" applyFont="1" applyFill="1" applyAlignment="1">
      <alignment horizontal="right" vertical="center" indent="1"/>
    </xf>
    <xf numFmtId="2" fontId="14" fillId="0" borderId="0" xfId="1" applyNumberFormat="1" applyFont="1" applyFill="1" applyBorder="1" applyAlignment="1">
      <alignment horizontal="right" vertical="center" indent="1"/>
    </xf>
    <xf numFmtId="3" fontId="12" fillId="0" borderId="0" xfId="0" applyNumberFormat="1" applyFont="1" applyFill="1" applyBorder="1" applyAlignment="1">
      <alignment horizontal="right" vertical="center" indent="1"/>
    </xf>
    <xf numFmtId="0" fontId="12" fillId="0" borderId="21" xfId="0" applyFont="1" applyFill="1" applyBorder="1" applyAlignment="1">
      <alignment horizontal="right" vertical="center" indent="1"/>
    </xf>
    <xf numFmtId="9" fontId="15" fillId="3" borderId="21" xfId="1" applyFont="1" applyFill="1" applyBorder="1" applyAlignment="1">
      <alignment horizontal="right" vertical="center" indent="1"/>
    </xf>
    <xf numFmtId="0" fontId="12" fillId="0" borderId="0" xfId="0" applyFont="1" applyAlignment="1">
      <alignment horizontal="right" vertical="center" indent="1"/>
    </xf>
    <xf numFmtId="0" fontId="14" fillId="0" borderId="21" xfId="0" applyFont="1" applyFill="1" applyBorder="1" applyAlignment="1">
      <alignment horizontal="right" vertical="center" indent="1"/>
    </xf>
    <xf numFmtId="2" fontId="15" fillId="3" borderId="21" xfId="0" applyNumberFormat="1" applyFont="1" applyFill="1" applyBorder="1" applyAlignment="1">
      <alignment horizontal="right" vertical="center" indent="1"/>
    </xf>
    <xf numFmtId="2" fontId="14" fillId="0" borderId="23" xfId="0" applyNumberFormat="1" applyFont="1" applyFill="1" applyBorder="1" applyAlignment="1">
      <alignment horizontal="right" vertical="center" indent="1"/>
    </xf>
    <xf numFmtId="0" fontId="15" fillId="3" borderId="5" xfId="0" applyFont="1" applyFill="1" applyBorder="1" applyAlignment="1">
      <alignment horizontal="right" vertical="center" indent="1"/>
    </xf>
    <xf numFmtId="1" fontId="14" fillId="0" borderId="0" xfId="0" applyNumberFormat="1" applyFont="1" applyFill="1" applyBorder="1" applyAlignment="1">
      <alignment horizontal="right" vertical="center" indent="1"/>
    </xf>
    <xf numFmtId="170" fontId="12" fillId="0" borderId="0" xfId="1" applyNumberFormat="1" applyFont="1" applyFill="1" applyBorder="1" applyAlignment="1">
      <alignment horizontal="right" vertical="center" indent="1"/>
    </xf>
    <xf numFmtId="0" fontId="12" fillId="0" borderId="0" xfId="0" applyFont="1" applyFill="1" applyBorder="1" applyAlignment="1">
      <alignment horizontal="right" vertical="center" indent="1"/>
    </xf>
    <xf numFmtId="171" fontId="12" fillId="0" borderId="35" xfId="1" applyNumberFormat="1" applyFont="1" applyFill="1" applyBorder="1" applyAlignment="1">
      <alignment horizontal="right" vertical="center" indent="1"/>
    </xf>
    <xf numFmtId="4" fontId="12" fillId="0" borderId="21" xfId="0" applyNumberFormat="1" applyFont="1" applyFill="1" applyBorder="1" applyAlignment="1">
      <alignment horizontal="right" vertical="center" indent="1"/>
    </xf>
    <xf numFmtId="2" fontId="12" fillId="0" borderId="5" xfId="1" applyNumberFormat="1" applyFont="1" applyFill="1" applyBorder="1" applyAlignment="1">
      <alignment horizontal="right" vertical="center" indent="1"/>
    </xf>
    <xf numFmtId="3" fontId="14" fillId="0" borderId="0" xfId="0" applyNumberFormat="1" applyFont="1" applyBorder="1" applyAlignment="1">
      <alignment horizontal="right" vertical="center" indent="1"/>
    </xf>
    <xf numFmtId="0" fontId="13" fillId="3" borderId="18" xfId="0" applyFont="1" applyFill="1" applyBorder="1" applyAlignment="1">
      <alignment horizontal="right" vertical="center" indent="1"/>
    </xf>
    <xf numFmtId="0" fontId="13" fillId="3" borderId="21" xfId="0" applyFont="1" applyFill="1" applyBorder="1" applyAlignment="1">
      <alignment horizontal="right" vertical="center" indent="1"/>
    </xf>
    <xf numFmtId="9" fontId="15" fillId="3" borderId="18" xfId="1" applyFont="1" applyFill="1" applyBorder="1" applyAlignment="1">
      <alignment horizontal="right" vertical="center" indent="1"/>
    </xf>
    <xf numFmtId="2" fontId="14" fillId="0" borderId="18" xfId="0" applyNumberFormat="1" applyFont="1" applyBorder="1" applyAlignment="1">
      <alignment horizontal="right" vertical="center" indent="1"/>
    </xf>
    <xf numFmtId="2" fontId="14" fillId="0" borderId="21" xfId="0" applyNumberFormat="1" applyFont="1" applyBorder="1" applyAlignment="1">
      <alignment horizontal="right" vertical="center" indent="1"/>
    </xf>
    <xf numFmtId="0" fontId="12" fillId="0" borderId="21" xfId="0" applyFont="1" applyBorder="1" applyAlignment="1">
      <alignment horizontal="left" vertical="center"/>
    </xf>
    <xf numFmtId="3" fontId="12" fillId="0" borderId="18" xfId="0" applyNumberFormat="1" applyFont="1" applyFill="1" applyBorder="1" applyAlignment="1">
      <alignment horizontal="left" vertical="center"/>
    </xf>
    <xf numFmtId="3" fontId="12" fillId="0" borderId="21" xfId="0" applyNumberFormat="1" applyFont="1" applyFill="1" applyBorder="1" applyAlignment="1">
      <alignment horizontal="left" vertical="center"/>
    </xf>
    <xf numFmtId="3" fontId="12" fillId="0" borderId="10" xfId="0" applyNumberFormat="1" applyFont="1" applyBorder="1" applyAlignment="1">
      <alignment vertical="center"/>
    </xf>
    <xf numFmtId="3" fontId="12" fillId="0" borderId="10" xfId="1" applyNumberFormat="1" applyFont="1" applyBorder="1" applyAlignment="1">
      <alignment vertical="center"/>
    </xf>
    <xf numFmtId="3" fontId="12" fillId="0" borderId="43" xfId="1" applyNumberFormat="1" applyFont="1" applyBorder="1" applyAlignment="1">
      <alignment vertical="center"/>
    </xf>
    <xf numFmtId="0" fontId="14" fillId="0" borderId="0" xfId="0" applyFont="1" applyFill="1" applyBorder="1" applyAlignment="1">
      <alignment horizontal="left" vertical="center" indent="1"/>
    </xf>
    <xf numFmtId="0" fontId="14" fillId="0" borderId="0" xfId="0" applyFont="1" applyBorder="1" applyAlignment="1">
      <alignment horizontal="left" vertical="center" indent="1"/>
    </xf>
    <xf numFmtId="0" fontId="20" fillId="0" borderId="0" xfId="0" applyFont="1" applyBorder="1" applyAlignment="1">
      <alignment vertical="center"/>
    </xf>
    <xf numFmtId="1" fontId="15" fillId="3" borderId="29" xfId="2" applyNumberFormat="1" applyFont="1" applyFill="1" applyBorder="1" applyAlignment="1">
      <alignment horizontal="center" vertical="center"/>
    </xf>
    <xf numFmtId="1" fontId="12" fillId="0" borderId="21" xfId="0" applyNumberFormat="1" applyFont="1" applyFill="1" applyBorder="1" applyAlignment="1">
      <alignment horizontal="right" vertical="center" indent="1"/>
    </xf>
    <xf numFmtId="168" fontId="12" fillId="0" borderId="0" xfId="0" applyNumberFormat="1" applyFont="1" applyBorder="1" applyAlignment="1">
      <alignment horizontal="right" vertical="center"/>
    </xf>
    <xf numFmtId="3" fontId="12" fillId="0" borderId="22" xfId="0" applyNumberFormat="1" applyFont="1" applyFill="1" applyBorder="1" applyAlignment="1">
      <alignment horizontal="right" vertical="center" indent="1"/>
    </xf>
    <xf numFmtId="0" fontId="20" fillId="0" borderId="0" xfId="0" applyFont="1"/>
    <xf numFmtId="0" fontId="28" fillId="0" borderId="0" xfId="0" applyFont="1" applyBorder="1"/>
    <xf numFmtId="0" fontId="10" fillId="0" borderId="53" xfId="0" applyFont="1" applyBorder="1" applyAlignment="1">
      <alignment horizontal="center"/>
    </xf>
    <xf numFmtId="0" fontId="10" fillId="0" borderId="48" xfId="0" applyFont="1" applyBorder="1" applyAlignment="1">
      <alignment horizontal="left"/>
    </xf>
    <xf numFmtId="0" fontId="10" fillId="0" borderId="48" xfId="0" applyFont="1" applyBorder="1" applyAlignment="1"/>
    <xf numFmtId="0" fontId="11" fillId="0" borderId="0" xfId="0" applyFont="1" applyAlignment="1">
      <alignment horizontal="center"/>
    </xf>
    <xf numFmtId="0" fontId="30" fillId="0" borderId="0" xfId="0" applyFont="1" applyAlignment="1">
      <alignment horizontal="left"/>
    </xf>
    <xf numFmtId="0" fontId="30" fillId="0" borderId="0" xfId="0" applyFont="1" applyAlignment="1">
      <alignment horizontal="center"/>
    </xf>
    <xf numFmtId="0" fontId="36" fillId="0" borderId="0" xfId="0" applyFont="1" applyBorder="1" applyAlignment="1">
      <alignment horizontal="right"/>
    </xf>
    <xf numFmtId="0" fontId="11" fillId="0" borderId="54" xfId="0" applyFont="1" applyBorder="1"/>
    <xf numFmtId="0" fontId="41" fillId="0" borderId="0" xfId="0" applyFont="1"/>
    <xf numFmtId="0" fontId="28" fillId="0" borderId="0" xfId="0" applyFont="1" applyAlignment="1">
      <alignment horizontal="center"/>
    </xf>
    <xf numFmtId="0" fontId="12" fillId="0" borderId="20" xfId="0" applyFont="1" applyBorder="1" applyAlignment="1">
      <alignment horizontal="left" vertical="center"/>
    </xf>
    <xf numFmtId="3" fontId="0" fillId="0" borderId="35" xfId="0" applyNumberFormat="1" applyBorder="1" applyAlignment="1">
      <alignment horizontal="right" vertical="center"/>
    </xf>
    <xf numFmtId="173" fontId="0" fillId="0" borderId="13" xfId="0" applyNumberFormat="1" applyBorder="1" applyAlignment="1">
      <alignment horizontal="right" vertical="center"/>
    </xf>
    <xf numFmtId="173" fontId="0" fillId="0" borderId="46" xfId="0" applyNumberFormat="1" applyBorder="1" applyAlignment="1">
      <alignment horizontal="right" vertical="center"/>
    </xf>
    <xf numFmtId="173" fontId="0" fillId="0" borderId="26" xfId="0" applyNumberFormat="1" applyBorder="1" applyAlignment="1">
      <alignment horizontal="right" vertical="center"/>
    </xf>
    <xf numFmtId="9" fontId="15" fillId="3" borderId="21" xfId="2" applyNumberFormat="1" applyFont="1" applyFill="1" applyBorder="1" applyAlignment="1">
      <alignment horizontal="right" vertical="center" indent="1"/>
    </xf>
    <xf numFmtId="9" fontId="15" fillId="3" borderId="23" xfId="2" applyNumberFormat="1" applyFont="1" applyFill="1" applyBorder="1" applyAlignment="1">
      <alignment horizontal="right" vertical="center" indent="1"/>
    </xf>
    <xf numFmtId="4" fontId="12" fillId="0" borderId="24" xfId="0" applyNumberFormat="1" applyFont="1" applyFill="1" applyBorder="1" applyAlignment="1">
      <alignment horizontal="right" vertical="center" indent="1"/>
    </xf>
    <xf numFmtId="1" fontId="12" fillId="0" borderId="0" xfId="0" applyNumberFormat="1" applyFont="1" applyFill="1" applyBorder="1" applyAlignment="1">
      <alignment horizontal="center" vertical="center"/>
    </xf>
    <xf numFmtId="168" fontId="12" fillId="0" borderId="0" xfId="0" applyNumberFormat="1" applyFont="1" applyFill="1" applyBorder="1" applyAlignment="1">
      <alignment horizontal="right" vertical="center" indent="1"/>
    </xf>
    <xf numFmtId="3" fontId="12" fillId="0" borderId="10" xfId="0" applyNumberFormat="1" applyFont="1" applyBorder="1" applyAlignment="1">
      <alignment horizontal="left" vertical="center"/>
    </xf>
    <xf numFmtId="3" fontId="12" fillId="0" borderId="10" xfId="1" applyNumberFormat="1" applyFont="1" applyBorder="1" applyAlignment="1">
      <alignment horizontal="left" vertical="center"/>
    </xf>
    <xf numFmtId="3" fontId="12" fillId="0" borderId="43" xfId="1" applyNumberFormat="1" applyFont="1" applyBorder="1" applyAlignment="1">
      <alignment horizontal="left" vertical="center"/>
    </xf>
    <xf numFmtId="0" fontId="12" fillId="0" borderId="41" xfId="0" applyFont="1" applyFill="1" applyBorder="1" applyAlignment="1">
      <alignment vertical="center"/>
    </xf>
    <xf numFmtId="1" fontId="15" fillId="3" borderId="69" xfId="1" applyNumberFormat="1" applyFont="1" applyFill="1" applyBorder="1" applyAlignment="1">
      <alignment vertical="center"/>
    </xf>
    <xf numFmtId="2" fontId="12" fillId="0" borderId="44" xfId="0" applyNumberFormat="1" applyFont="1" applyBorder="1" applyAlignment="1">
      <alignment vertical="center"/>
    </xf>
    <xf numFmtId="0" fontId="12" fillId="0" borderId="42" xfId="0" applyFont="1" applyFill="1" applyBorder="1" applyAlignment="1">
      <alignment vertical="center"/>
    </xf>
    <xf numFmtId="1" fontId="15" fillId="3" borderId="17" xfId="1" applyNumberFormat="1" applyFont="1" applyFill="1" applyBorder="1" applyAlignment="1">
      <alignment vertical="center"/>
    </xf>
    <xf numFmtId="0" fontId="12" fillId="0" borderId="27" xfId="0" applyFont="1" applyFill="1" applyBorder="1" applyAlignment="1">
      <alignment vertical="center"/>
    </xf>
    <xf numFmtId="1" fontId="15" fillId="3" borderId="28" xfId="1" applyNumberFormat="1" applyFont="1" applyFill="1" applyBorder="1" applyAlignment="1">
      <alignment vertical="center"/>
    </xf>
    <xf numFmtId="2" fontId="12" fillId="0" borderId="29" xfId="0" applyNumberFormat="1" applyFont="1" applyBorder="1" applyAlignment="1">
      <alignment vertical="center"/>
    </xf>
    <xf numFmtId="0" fontId="12" fillId="0" borderId="41" xfId="0" applyFont="1" applyFill="1" applyBorder="1" applyAlignment="1">
      <alignment vertical="center" wrapText="1"/>
    </xf>
    <xf numFmtId="0" fontId="12" fillId="0" borderId="40" xfId="0" applyFont="1" applyFill="1" applyBorder="1" applyAlignment="1">
      <alignment vertical="center" wrapText="1"/>
    </xf>
    <xf numFmtId="2" fontId="14" fillId="0" borderId="22" xfId="0" applyNumberFormat="1" applyFont="1" applyBorder="1" applyAlignment="1">
      <alignment horizontal="right" vertical="center" wrapText="1" indent="1"/>
    </xf>
    <xf numFmtId="2" fontId="14" fillId="0" borderId="23" xfId="0" applyNumberFormat="1" applyFont="1" applyBorder="1" applyAlignment="1">
      <alignment horizontal="right" vertical="center" wrapText="1" indent="1"/>
    </xf>
    <xf numFmtId="0" fontId="12" fillId="0" borderId="20" xfId="0" applyFont="1" applyFill="1" applyBorder="1" applyAlignment="1">
      <alignment vertical="center" wrapText="1"/>
    </xf>
    <xf numFmtId="2" fontId="14" fillId="0" borderId="0" xfId="0" applyNumberFormat="1" applyFont="1" applyBorder="1" applyAlignment="1">
      <alignment horizontal="right" vertical="center" wrapText="1" indent="1"/>
    </xf>
    <xf numFmtId="2" fontId="14" fillId="0" borderId="21" xfId="0" applyNumberFormat="1" applyFont="1" applyBorder="1" applyAlignment="1">
      <alignment horizontal="right" vertical="center" wrapText="1" indent="1"/>
    </xf>
    <xf numFmtId="2" fontId="14" fillId="0" borderId="18" xfId="0" applyNumberFormat="1" applyFont="1" applyBorder="1" applyAlignment="1">
      <alignment horizontal="right" vertical="center" wrapText="1" indent="1"/>
    </xf>
    <xf numFmtId="4" fontId="12" fillId="0" borderId="21" xfId="0" applyNumberFormat="1" applyFont="1" applyBorder="1" applyAlignment="1">
      <alignment vertical="center"/>
    </xf>
    <xf numFmtId="4" fontId="12" fillId="0" borderId="23" xfId="0" applyNumberFormat="1" applyFont="1" applyBorder="1" applyAlignment="1">
      <alignment vertical="center"/>
    </xf>
    <xf numFmtId="168" fontId="12" fillId="0" borderId="0" xfId="0" applyNumberFormat="1" applyFont="1" applyFill="1" applyBorder="1" applyAlignment="1">
      <alignment horizontal="right" vertical="center"/>
    </xf>
    <xf numFmtId="3" fontId="14" fillId="3" borderId="23" xfId="0" applyNumberFormat="1" applyFont="1" applyFill="1" applyBorder="1" applyAlignment="1">
      <alignment horizontal="right" vertical="center" indent="1"/>
    </xf>
    <xf numFmtId="0" fontId="14" fillId="3" borderId="23" xfId="0" applyFont="1" applyFill="1" applyBorder="1" applyAlignment="1">
      <alignment horizontal="right" vertical="center" indent="1"/>
    </xf>
    <xf numFmtId="170" fontId="12" fillId="2" borderId="1" xfId="0" applyNumberFormat="1" applyFont="1" applyFill="1" applyBorder="1" applyAlignment="1">
      <alignment vertical="center"/>
    </xf>
    <xf numFmtId="0" fontId="12" fillId="0" borderId="12" xfId="0" applyFont="1" applyBorder="1" applyAlignment="1">
      <alignment horizontal="left" vertical="center"/>
    </xf>
    <xf numFmtId="0" fontId="12" fillId="0" borderId="0" xfId="0" applyFont="1" applyBorder="1" applyAlignment="1">
      <alignment horizontal="left" vertical="center"/>
    </xf>
    <xf numFmtId="0" fontId="12" fillId="0" borderId="9" xfId="0" applyFont="1" applyBorder="1" applyAlignment="1">
      <alignment horizontal="left" vertical="center"/>
    </xf>
    <xf numFmtId="0" fontId="12" fillId="0" borderId="7" xfId="0" applyFont="1" applyBorder="1" applyAlignment="1">
      <alignment horizontal="left" vertical="center"/>
    </xf>
    <xf numFmtId="0" fontId="12" fillId="0" borderId="65" xfId="0" applyFont="1" applyBorder="1" applyAlignment="1">
      <alignment horizontal="center" vertical="center"/>
    </xf>
    <xf numFmtId="0" fontId="12" fillId="0" borderId="67" xfId="0" applyFont="1" applyBorder="1" applyAlignment="1">
      <alignment horizontal="center" vertical="center"/>
    </xf>
    <xf numFmtId="0" fontId="12" fillId="0" borderId="15" xfId="0"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vertical="center"/>
    </xf>
    <xf numFmtId="0" fontId="12" fillId="0" borderId="2" xfId="0" applyFont="1" applyBorder="1" applyAlignment="1">
      <alignment horizontal="left" vertical="center"/>
    </xf>
    <xf numFmtId="0" fontId="12" fillId="0" borderId="70" xfId="0" applyFont="1" applyBorder="1" applyAlignment="1">
      <alignment horizontal="center" vertical="center"/>
    </xf>
    <xf numFmtId="0" fontId="12" fillId="0" borderId="3" xfId="0" applyFont="1" applyBorder="1" applyAlignment="1">
      <alignment horizontal="left" vertical="center"/>
    </xf>
    <xf numFmtId="0" fontId="15" fillId="3" borderId="69" xfId="0" applyFont="1" applyFill="1" applyBorder="1" applyAlignment="1">
      <alignment horizontal="right" vertical="center" indent="1"/>
    </xf>
    <xf numFmtId="0" fontId="15" fillId="3" borderId="44" xfId="0" applyFont="1" applyFill="1" applyBorder="1" applyAlignment="1">
      <alignment horizontal="right" vertical="center" indent="1"/>
    </xf>
    <xf numFmtId="3" fontId="14" fillId="3" borderId="35" xfId="0" applyNumberFormat="1" applyFont="1" applyFill="1" applyBorder="1" applyAlignment="1">
      <alignment horizontal="right" vertical="center" indent="1"/>
    </xf>
    <xf numFmtId="0" fontId="12" fillId="0" borderId="20" xfId="0" applyFont="1" applyBorder="1" applyAlignment="1">
      <alignment horizontal="lef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18" xfId="0" applyFont="1" applyFill="1" applyBorder="1" applyAlignment="1">
      <alignment horizontal="center" vertical="center" wrapText="1"/>
    </xf>
    <xf numFmtId="0" fontId="12" fillId="4" borderId="21" xfId="0" applyFont="1" applyFill="1" applyBorder="1" applyAlignment="1">
      <alignment horizontal="center" vertical="center" wrapText="1"/>
    </xf>
    <xf numFmtId="0" fontId="12" fillId="4" borderId="20" xfId="0" applyFont="1" applyFill="1" applyBorder="1" applyAlignment="1">
      <alignment horizontal="center" vertical="center" wrapText="1"/>
    </xf>
    <xf numFmtId="171" fontId="0" fillId="0" borderId="18" xfId="0" applyNumberFormat="1" applyBorder="1" applyAlignment="1">
      <alignment horizontal="right" vertical="center"/>
    </xf>
    <xf numFmtId="171" fontId="0" fillId="0" borderId="21" xfId="0" applyNumberFormat="1" applyBorder="1" applyAlignment="1">
      <alignment horizontal="right" vertical="center"/>
    </xf>
    <xf numFmtId="0" fontId="12" fillId="4" borderId="41" xfId="0" applyFont="1" applyFill="1" applyBorder="1" applyAlignment="1">
      <alignment horizontal="center" vertical="center" wrapText="1"/>
    </xf>
    <xf numFmtId="0" fontId="12" fillId="4" borderId="69" xfId="0" applyFont="1" applyFill="1" applyBorder="1" applyAlignment="1">
      <alignment horizontal="center" vertical="center" wrapText="1"/>
    </xf>
    <xf numFmtId="0" fontId="12" fillId="4" borderId="44" xfId="0" applyFont="1" applyFill="1" applyBorder="1" applyAlignment="1">
      <alignment horizontal="center" vertical="center" wrapText="1"/>
    </xf>
    <xf numFmtId="0" fontId="12" fillId="4" borderId="66" xfId="0" applyFont="1" applyFill="1" applyBorder="1" applyAlignment="1">
      <alignment horizontal="center" vertical="center" wrapText="1"/>
    </xf>
    <xf numFmtId="9" fontId="12" fillId="0" borderId="11" xfId="1" applyNumberFormat="1" applyFont="1" applyBorder="1" applyAlignment="1">
      <alignment vertical="center"/>
    </xf>
    <xf numFmtId="9" fontId="12" fillId="0" borderId="34" xfId="1" applyNumberFormat="1" applyFont="1" applyBorder="1" applyAlignment="1">
      <alignment vertical="center"/>
    </xf>
    <xf numFmtId="170" fontId="12" fillId="0" borderId="10" xfId="1" applyNumberFormat="1" applyFont="1" applyBorder="1" applyAlignment="1">
      <alignment vertical="center"/>
    </xf>
    <xf numFmtId="170" fontId="12" fillId="0" borderId="43" xfId="1" applyNumberFormat="1" applyFont="1" applyBorder="1" applyAlignment="1">
      <alignment vertical="center"/>
    </xf>
    <xf numFmtId="0" fontId="12" fillId="4" borderId="11" xfId="0" applyFont="1" applyFill="1" applyBorder="1" applyAlignment="1">
      <alignment horizontal="center" vertical="center" wrapText="1"/>
    </xf>
    <xf numFmtId="10" fontId="12" fillId="0" borderId="11" xfId="1" applyNumberFormat="1" applyFont="1" applyBorder="1" applyAlignment="1">
      <alignment vertical="center"/>
    </xf>
    <xf numFmtId="10" fontId="12" fillId="0" borderId="34" xfId="1" applyNumberFormat="1" applyFont="1" applyBorder="1" applyAlignment="1">
      <alignment vertical="center"/>
    </xf>
    <xf numFmtId="3" fontId="12" fillId="0" borderId="11" xfId="0" applyNumberFormat="1" applyFont="1" applyBorder="1" applyAlignment="1">
      <alignment vertical="center"/>
    </xf>
    <xf numFmtId="3" fontId="12" fillId="0" borderId="34" xfId="0" applyNumberFormat="1" applyFont="1" applyBorder="1" applyAlignment="1">
      <alignment vertical="center"/>
    </xf>
    <xf numFmtId="10" fontId="12" fillId="0" borderId="21" xfId="1" applyNumberFormat="1" applyFont="1" applyBorder="1" applyAlignment="1">
      <alignment vertical="center"/>
    </xf>
    <xf numFmtId="10" fontId="12" fillId="0" borderId="23" xfId="1" applyNumberFormat="1" applyFont="1" applyBorder="1" applyAlignment="1">
      <alignment vertical="center"/>
    </xf>
    <xf numFmtId="0" fontId="12" fillId="0" borderId="20" xfId="1" applyNumberFormat="1" applyFont="1" applyBorder="1" applyAlignment="1">
      <alignment vertical="center"/>
    </xf>
    <xf numFmtId="3" fontId="12" fillId="0" borderId="20" xfId="1" applyNumberFormat="1" applyFont="1" applyBorder="1" applyAlignment="1">
      <alignment vertical="center"/>
    </xf>
    <xf numFmtId="3" fontId="12" fillId="0" borderId="21" xfId="1" applyNumberFormat="1" applyFont="1" applyBorder="1" applyAlignment="1">
      <alignment vertical="center"/>
    </xf>
    <xf numFmtId="3" fontId="12" fillId="0" borderId="24" xfId="1" applyNumberFormat="1" applyFont="1" applyBorder="1" applyAlignment="1">
      <alignment vertical="center"/>
    </xf>
    <xf numFmtId="3" fontId="12" fillId="0" borderId="23" xfId="1" applyNumberFormat="1" applyFont="1" applyBorder="1" applyAlignment="1">
      <alignment vertical="center"/>
    </xf>
    <xf numFmtId="0" fontId="12" fillId="0" borderId="18" xfId="0" quotePrefix="1" applyFont="1" applyBorder="1" applyAlignment="1">
      <alignment vertical="center"/>
    </xf>
    <xf numFmtId="4" fontId="12" fillId="0" borderId="13" xfId="0" applyNumberFormat="1" applyFont="1" applyBorder="1" applyAlignment="1">
      <alignment vertical="center"/>
    </xf>
    <xf numFmtId="4" fontId="12" fillId="0" borderId="46" xfId="0" applyNumberFormat="1" applyFont="1" applyBorder="1" applyAlignment="1">
      <alignment vertical="center"/>
    </xf>
    <xf numFmtId="0" fontId="12" fillId="0" borderId="22" xfId="0" quotePrefix="1" applyFont="1" applyBorder="1" applyAlignment="1">
      <alignment vertical="center"/>
    </xf>
    <xf numFmtId="9" fontId="15" fillId="3" borderId="18" xfId="2" applyFont="1" applyFill="1" applyBorder="1" applyAlignment="1">
      <alignment horizontal="right" vertical="center" indent="1"/>
    </xf>
    <xf numFmtId="9" fontId="15" fillId="3" borderId="21" xfId="2" applyFont="1" applyFill="1" applyBorder="1" applyAlignment="1">
      <alignment horizontal="right" vertical="center" indent="1"/>
    </xf>
    <xf numFmtId="0" fontId="12" fillId="0" borderId="0" xfId="0" applyNumberFormat="1" applyFont="1" applyAlignment="1">
      <alignment vertical="center"/>
    </xf>
    <xf numFmtId="0" fontId="17" fillId="3" borderId="20" xfId="0" applyFont="1" applyFill="1" applyBorder="1" applyAlignment="1">
      <alignment horizontal="center" vertical="center"/>
    </xf>
    <xf numFmtId="170" fontId="12" fillId="0" borderId="22" xfId="1" applyNumberFormat="1" applyFont="1" applyFill="1" applyBorder="1" applyAlignment="1">
      <alignment vertical="center"/>
    </xf>
    <xf numFmtId="0" fontId="14" fillId="0" borderId="18" xfId="2" applyNumberFormat="1" applyFont="1" applyFill="1" applyBorder="1" applyAlignment="1">
      <alignment horizontal="right" vertical="center"/>
    </xf>
    <xf numFmtId="0" fontId="14" fillId="0" borderId="21" xfId="2" applyNumberFormat="1" applyFont="1" applyFill="1" applyBorder="1" applyAlignment="1">
      <alignment horizontal="right" vertical="center"/>
    </xf>
    <xf numFmtId="0" fontId="12" fillId="0" borderId="21" xfId="0" applyFont="1" applyBorder="1" applyAlignment="1">
      <alignment vertical="center"/>
    </xf>
    <xf numFmtId="0" fontId="12" fillId="0" borderId="23" xfId="0" applyFont="1" applyBorder="1" applyAlignment="1">
      <alignment vertical="center"/>
    </xf>
    <xf numFmtId="0" fontId="12" fillId="5" borderId="18" xfId="0" applyFont="1" applyFill="1" applyBorder="1" applyAlignment="1">
      <alignment vertical="center"/>
    </xf>
    <xf numFmtId="0" fontId="12" fillId="5" borderId="21" xfId="0" applyFont="1" applyFill="1" applyBorder="1" applyAlignment="1">
      <alignment vertical="center"/>
    </xf>
    <xf numFmtId="3" fontId="12" fillId="0" borderId="43" xfId="0" applyNumberFormat="1" applyFont="1" applyBorder="1" applyAlignment="1">
      <alignment vertical="center"/>
    </xf>
    <xf numFmtId="0" fontId="12" fillId="4" borderId="10"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1" fontId="15" fillId="3" borderId="0" xfId="1" applyNumberFormat="1" applyFont="1" applyFill="1" applyBorder="1" applyAlignment="1">
      <alignment horizontal="right" vertical="center" indent="1"/>
    </xf>
    <xf numFmtId="176" fontId="12" fillId="0" borderId="0" xfId="0" applyNumberFormat="1" applyFont="1" applyAlignment="1">
      <alignment vertical="center"/>
    </xf>
    <xf numFmtId="9" fontId="12" fillId="0" borderId="0" xfId="0" applyNumberFormat="1" applyFont="1" applyAlignment="1">
      <alignment vertical="center"/>
    </xf>
    <xf numFmtId="165" fontId="0" fillId="0" borderId="22" xfId="1" applyNumberFormat="1" applyFont="1" applyBorder="1" applyAlignment="1">
      <alignment vertical="center"/>
    </xf>
    <xf numFmtId="165" fontId="0" fillId="0" borderId="23" xfId="1" applyNumberFormat="1" applyFont="1" applyBorder="1" applyAlignment="1">
      <alignment vertical="center"/>
    </xf>
    <xf numFmtId="9" fontId="12" fillId="4" borderId="18" xfId="1" applyFont="1" applyFill="1" applyBorder="1" applyAlignment="1">
      <alignment horizontal="center" vertical="center"/>
    </xf>
    <xf numFmtId="9" fontId="12" fillId="4" borderId="20" xfId="1" applyFont="1" applyFill="1" applyBorder="1" applyAlignment="1">
      <alignment horizontal="center" vertical="center"/>
    </xf>
    <xf numFmtId="0" fontId="12" fillId="4" borderId="18" xfId="1" applyNumberFormat="1" applyFont="1" applyFill="1" applyBorder="1" applyAlignment="1">
      <alignment horizontal="center" vertical="center"/>
    </xf>
    <xf numFmtId="0" fontId="12" fillId="4" borderId="20" xfId="1" applyNumberFormat="1" applyFont="1" applyFill="1" applyBorder="1" applyAlignment="1">
      <alignment horizontal="center" vertical="center"/>
    </xf>
    <xf numFmtId="9" fontId="12" fillId="5" borderId="18" xfId="1" applyFont="1" applyFill="1" applyBorder="1" applyAlignment="1">
      <alignment vertical="center"/>
    </xf>
    <xf numFmtId="9" fontId="12" fillId="5" borderId="21" xfId="1" applyFont="1" applyFill="1" applyBorder="1" applyAlignment="1">
      <alignment vertical="center"/>
    </xf>
    <xf numFmtId="9" fontId="14" fillId="0" borderId="18" xfId="1" applyFont="1" applyFill="1" applyBorder="1" applyAlignment="1">
      <alignment horizontal="right" vertical="center"/>
    </xf>
    <xf numFmtId="9" fontId="14" fillId="0" borderId="21" xfId="1" applyFont="1" applyFill="1" applyBorder="1" applyAlignment="1">
      <alignment horizontal="right" vertical="center"/>
    </xf>
    <xf numFmtId="9" fontId="12" fillId="0" borderId="0" xfId="2" applyFont="1" applyFill="1" applyBorder="1" applyAlignment="1">
      <alignment vertical="center"/>
    </xf>
    <xf numFmtId="0" fontId="14" fillId="3" borderId="18" xfId="0" applyFont="1" applyFill="1" applyBorder="1" applyAlignment="1">
      <alignment horizontal="right" vertical="center" indent="1"/>
    </xf>
    <xf numFmtId="0" fontId="0" fillId="0" borderId="20" xfId="0" applyBorder="1" applyAlignment="1">
      <alignment vertical="center"/>
    </xf>
    <xf numFmtId="0" fontId="12" fillId="0" borderId="29" xfId="0" applyFont="1" applyFill="1" applyBorder="1" applyAlignment="1">
      <alignment horizontal="center"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168" fontId="12" fillId="0" borderId="20" xfId="0" applyNumberFormat="1" applyFont="1" applyBorder="1" applyAlignment="1">
      <alignment horizontal="right" vertical="center"/>
    </xf>
    <xf numFmtId="168" fontId="12" fillId="0" borderId="18" xfId="0" applyNumberFormat="1" applyFont="1" applyBorder="1" applyAlignment="1">
      <alignment horizontal="right" vertical="center"/>
    </xf>
    <xf numFmtId="168" fontId="12" fillId="0" borderId="21" xfId="0" applyNumberFormat="1" applyFont="1" applyBorder="1" applyAlignment="1">
      <alignment horizontal="right" vertical="center"/>
    </xf>
    <xf numFmtId="168" fontId="12" fillId="0" borderId="24" xfId="0" applyNumberFormat="1" applyFont="1" applyBorder="1" applyAlignment="1">
      <alignment horizontal="right" vertical="center"/>
    </xf>
    <xf numFmtId="168" fontId="12" fillId="0" borderId="22" xfId="0" applyNumberFormat="1" applyFont="1" applyBorder="1" applyAlignment="1">
      <alignment horizontal="right" vertical="center"/>
    </xf>
    <xf numFmtId="168" fontId="12" fillId="0" borderId="23" xfId="0" applyNumberFormat="1" applyFont="1" applyBorder="1" applyAlignment="1">
      <alignment horizontal="right" vertical="center"/>
    </xf>
    <xf numFmtId="3" fontId="12" fillId="0" borderId="20" xfId="0" applyNumberFormat="1" applyFont="1" applyFill="1" applyBorder="1" applyAlignment="1">
      <alignment vertical="center"/>
    </xf>
    <xf numFmtId="3" fontId="12" fillId="0" borderId="18" xfId="0" applyNumberFormat="1" applyFont="1" applyFill="1" applyBorder="1" applyAlignment="1">
      <alignment vertical="center"/>
    </xf>
    <xf numFmtId="3" fontId="12" fillId="5" borderId="20" xfId="0" applyNumberFormat="1" applyFont="1" applyFill="1" applyBorder="1" applyAlignment="1">
      <alignment vertical="center"/>
    </xf>
    <xf numFmtId="3" fontId="12" fillId="5" borderId="18" xfId="0" applyNumberFormat="1" applyFont="1" applyFill="1" applyBorder="1" applyAlignment="1">
      <alignment vertical="center"/>
    </xf>
    <xf numFmtId="3" fontId="12" fillId="0" borderId="24" xfId="0" applyNumberFormat="1" applyFont="1" applyFill="1" applyBorder="1" applyAlignment="1">
      <alignment vertical="center"/>
    </xf>
    <xf numFmtId="3" fontId="12" fillId="0" borderId="22" xfId="0" applyNumberFormat="1" applyFont="1" applyFill="1" applyBorder="1" applyAlignment="1">
      <alignment vertical="center"/>
    </xf>
    <xf numFmtId="9" fontId="12" fillId="0" borderId="0" xfId="1" applyFont="1"/>
    <xf numFmtId="3" fontId="12" fillId="0" borderId="22" xfId="0" applyNumberFormat="1" applyFont="1" applyBorder="1" applyAlignment="1">
      <alignment horizontal="center" vertical="center"/>
    </xf>
    <xf numFmtId="168" fontId="12" fillId="0" borderId="9" xfId="0" applyNumberFormat="1" applyFont="1" applyBorder="1" applyAlignment="1">
      <alignment horizontal="right" vertical="center"/>
    </xf>
    <xf numFmtId="168" fontId="12" fillId="0" borderId="0" xfId="0" applyNumberFormat="1" applyFont="1" applyFill="1" applyBorder="1" applyAlignment="1">
      <alignment horizontal="left" vertical="center"/>
    </xf>
    <xf numFmtId="165" fontId="12" fillId="0" borderId="0" xfId="0" applyNumberFormat="1" applyFont="1" applyBorder="1" applyAlignment="1">
      <alignment vertical="center"/>
    </xf>
    <xf numFmtId="0" fontId="12" fillId="0" borderId="0" xfId="0" applyFont="1" applyFill="1" applyBorder="1" applyAlignment="1">
      <alignment horizontal="left" vertical="center"/>
    </xf>
    <xf numFmtId="170" fontId="12" fillId="0" borderId="0" xfId="1" applyNumberFormat="1" applyFont="1" applyFill="1" applyAlignment="1">
      <alignment horizontal="right" vertical="center"/>
    </xf>
    <xf numFmtId="165" fontId="12" fillId="0" borderId="0" xfId="0" applyNumberFormat="1" applyFont="1" applyFill="1" applyAlignment="1">
      <alignment horizontal="left" vertical="center"/>
    </xf>
    <xf numFmtId="165" fontId="12" fillId="0" borderId="0" xfId="0" applyNumberFormat="1" applyFont="1" applyAlignment="1">
      <alignment horizontal="left" vertical="center"/>
    </xf>
    <xf numFmtId="168" fontId="12" fillId="0" borderId="0" xfId="0" applyNumberFormat="1" applyFont="1" applyBorder="1" applyAlignment="1">
      <alignment vertical="center"/>
    </xf>
    <xf numFmtId="170" fontId="12" fillId="3" borderId="0" xfId="2" applyNumberFormat="1" applyFont="1" applyFill="1" applyAlignment="1">
      <alignment horizontal="right" vertical="center"/>
    </xf>
    <xf numFmtId="3" fontId="12" fillId="0" borderId="0" xfId="0" applyNumberFormat="1" applyFont="1" applyBorder="1" applyAlignment="1">
      <alignment horizontal="right" vertical="center"/>
    </xf>
    <xf numFmtId="170" fontId="12" fillId="3" borderId="0" xfId="1" applyNumberFormat="1" applyFont="1" applyFill="1" applyAlignment="1">
      <alignment horizontal="right" vertical="center"/>
    </xf>
    <xf numFmtId="3" fontId="0" fillId="0" borderId="18" xfId="1" applyNumberFormat="1" applyFont="1" applyBorder="1" applyAlignment="1">
      <alignment vertical="center"/>
    </xf>
    <xf numFmtId="3" fontId="0" fillId="0" borderId="21" xfId="1" applyNumberFormat="1" applyFont="1" applyBorder="1" applyAlignment="1">
      <alignment vertical="center"/>
    </xf>
    <xf numFmtId="2" fontId="14" fillId="0" borderId="0" xfId="0" applyNumberFormat="1" applyFont="1" applyAlignment="1">
      <alignment horizontal="center" vertical="center"/>
    </xf>
    <xf numFmtId="0" fontId="12" fillId="4" borderId="21" xfId="0" applyFont="1" applyFill="1" applyBorder="1" applyAlignment="1">
      <alignment horizontal="center" vertical="center"/>
    </xf>
    <xf numFmtId="3" fontId="10" fillId="0" borderId="0" xfId="0" applyNumberFormat="1" applyFont="1" applyBorder="1" applyAlignment="1">
      <alignment horizontal="center"/>
    </xf>
    <xf numFmtId="1" fontId="12" fillId="0" borderId="13" xfId="0" applyNumberFormat="1" applyFont="1" applyBorder="1" applyAlignment="1">
      <alignment vertical="center"/>
    </xf>
    <xf numFmtId="1" fontId="12" fillId="0" borderId="46" xfId="0" applyNumberFormat="1" applyFont="1" applyBorder="1" applyAlignment="1">
      <alignment vertical="center"/>
    </xf>
    <xf numFmtId="3" fontId="0" fillId="2" borderId="45" xfId="0" applyNumberFormat="1" applyFill="1" applyBorder="1" applyAlignment="1">
      <alignment horizontal="center" vertical="center"/>
    </xf>
    <xf numFmtId="170" fontId="0" fillId="0" borderId="10" xfId="1" applyNumberFormat="1" applyFont="1" applyBorder="1" applyAlignment="1">
      <alignment vertical="center"/>
    </xf>
    <xf numFmtId="0" fontId="0" fillId="0" borderId="10" xfId="0" applyBorder="1" applyAlignment="1">
      <alignment vertical="center"/>
    </xf>
    <xf numFmtId="165" fontId="0" fillId="0" borderId="10" xfId="1" applyNumberFormat="1" applyFont="1" applyBorder="1" applyAlignment="1">
      <alignment vertical="center"/>
    </xf>
    <xf numFmtId="3" fontId="0" fillId="0" borderId="10" xfId="1" applyNumberFormat="1" applyFont="1" applyBorder="1" applyAlignment="1">
      <alignment vertical="center"/>
    </xf>
    <xf numFmtId="165" fontId="0" fillId="0" borderId="43" xfId="1" applyNumberFormat="1" applyFont="1" applyBorder="1" applyAlignment="1">
      <alignment vertical="center"/>
    </xf>
    <xf numFmtId="3" fontId="0" fillId="2" borderId="27" xfId="0" applyNumberFormat="1" applyFill="1" applyBorder="1" applyAlignment="1">
      <alignment horizontal="center" vertical="center"/>
    </xf>
    <xf numFmtId="170" fontId="0" fillId="0" borderId="20" xfId="1" applyNumberFormat="1" applyFont="1" applyBorder="1" applyAlignment="1">
      <alignment vertical="center"/>
    </xf>
    <xf numFmtId="170" fontId="0" fillId="0" borderId="20" xfId="1" applyNumberFormat="1" applyFont="1" applyFill="1" applyBorder="1" applyAlignment="1">
      <alignment vertical="center"/>
    </xf>
    <xf numFmtId="3" fontId="0" fillId="0" borderId="20" xfId="0" applyNumberFormat="1" applyBorder="1" applyAlignment="1">
      <alignment vertical="center"/>
    </xf>
    <xf numFmtId="165" fontId="0" fillId="0" borderId="20" xfId="1" applyNumberFormat="1" applyFont="1" applyBorder="1" applyAlignment="1">
      <alignment vertical="center"/>
    </xf>
    <xf numFmtId="165" fontId="12" fillId="0" borderId="20" xfId="1" applyNumberFormat="1" applyFont="1" applyFill="1" applyBorder="1" applyAlignment="1">
      <alignment vertical="center"/>
    </xf>
    <xf numFmtId="165" fontId="0" fillId="0" borderId="20" xfId="1" applyNumberFormat="1" applyFont="1" applyFill="1" applyBorder="1" applyAlignment="1">
      <alignment vertical="center"/>
    </xf>
    <xf numFmtId="3" fontId="12" fillId="0" borderId="20" xfId="1" applyNumberFormat="1" applyFont="1" applyFill="1" applyBorder="1" applyAlignment="1">
      <alignment vertical="center"/>
    </xf>
    <xf numFmtId="165" fontId="12" fillId="0" borderId="24" xfId="1" applyNumberFormat="1" applyFont="1" applyFill="1" applyBorder="1" applyAlignment="1">
      <alignment vertical="center"/>
    </xf>
    <xf numFmtId="1" fontId="12" fillId="0" borderId="0" xfId="0" applyNumberFormat="1" applyFont="1" applyFill="1" applyBorder="1" applyAlignment="1">
      <alignment vertical="center"/>
    </xf>
    <xf numFmtId="9" fontId="0" fillId="0" borderId="0" xfId="0" applyNumberFormat="1" applyAlignment="1">
      <alignment horizontal="center" vertical="center"/>
    </xf>
    <xf numFmtId="9" fontId="0" fillId="0" borderId="21" xfId="0" applyNumberFormat="1" applyBorder="1" applyAlignment="1">
      <alignment vertical="center"/>
    </xf>
    <xf numFmtId="9" fontId="0" fillId="0" borderId="18" xfId="0" applyNumberFormat="1" applyBorder="1" applyAlignment="1">
      <alignment vertical="center"/>
    </xf>
    <xf numFmtId="9" fontId="0" fillId="0" borderId="18" xfId="1" applyNumberFormat="1" applyFont="1" applyBorder="1" applyAlignment="1">
      <alignment vertical="center"/>
    </xf>
    <xf numFmtId="3" fontId="0" fillId="2" borderId="32" xfId="0" applyNumberFormat="1" applyFill="1" applyBorder="1" applyAlignment="1">
      <alignment horizontal="center" vertical="center"/>
    </xf>
    <xf numFmtId="9" fontId="0" fillId="0" borderId="11" xfId="1" applyNumberFormat="1" applyFont="1" applyBorder="1" applyAlignment="1">
      <alignment vertical="center"/>
    </xf>
    <xf numFmtId="9" fontId="0" fillId="0" borderId="21" xfId="1" applyNumberFormat="1" applyFont="1" applyBorder="1" applyAlignment="1">
      <alignment vertical="center"/>
    </xf>
    <xf numFmtId="0" fontId="12" fillId="0" borderId="68" xfId="0" applyFont="1" applyBorder="1" applyAlignment="1">
      <alignment horizontal="center" vertical="center"/>
    </xf>
    <xf numFmtId="0" fontId="12" fillId="0" borderId="8" xfId="0" applyFont="1" applyBorder="1" applyAlignment="1">
      <alignment horizontal="left" vertical="center"/>
    </xf>
    <xf numFmtId="49" fontId="0" fillId="0" borderId="0" xfId="0" applyNumberFormat="1"/>
    <xf numFmtId="0" fontId="0" fillId="0" borderId="0" xfId="0" applyFont="1" applyAlignment="1">
      <alignment horizontal="right"/>
    </xf>
    <xf numFmtId="0" fontId="14" fillId="0" borderId="17" xfId="0" applyFont="1" applyFill="1" applyBorder="1" applyAlignment="1">
      <alignment horizontal="right" vertical="center" indent="1"/>
    </xf>
    <xf numFmtId="0" fontId="14" fillId="0" borderId="35" xfId="0" applyFont="1" applyFill="1" applyBorder="1" applyAlignment="1">
      <alignment horizontal="right" vertical="center" indent="1"/>
    </xf>
    <xf numFmtId="9" fontId="12" fillId="0" borderId="20" xfId="1" applyFont="1" applyFill="1" applyBorder="1" applyAlignment="1">
      <alignment horizontal="left" vertical="center" wrapText="1"/>
    </xf>
    <xf numFmtId="0" fontId="14" fillId="0" borderId="18" xfId="0" applyFont="1" applyFill="1" applyBorder="1" applyAlignment="1">
      <alignment horizontal="right" vertical="center" indent="1"/>
    </xf>
    <xf numFmtId="1" fontId="15" fillId="3" borderId="18" xfId="2" applyNumberFormat="1" applyFont="1" applyFill="1" applyBorder="1" applyAlignment="1">
      <alignment horizontal="center" vertical="center"/>
    </xf>
    <xf numFmtId="1" fontId="14" fillId="0" borderId="18" xfId="0" applyNumberFormat="1" applyFont="1" applyFill="1" applyBorder="1" applyAlignment="1">
      <alignment horizontal="right" vertical="center" indent="1"/>
    </xf>
    <xf numFmtId="9" fontId="12" fillId="0" borderId="0" xfId="0" applyNumberFormat="1" applyFont="1" applyFill="1" applyBorder="1" applyAlignment="1">
      <alignment vertical="center"/>
    </xf>
    <xf numFmtId="0" fontId="42" fillId="0" borderId="0" xfId="0" applyFont="1" applyAlignment="1">
      <alignment vertical="center"/>
    </xf>
    <xf numFmtId="0" fontId="12" fillId="7" borderId="30" xfId="0" applyFont="1" applyFill="1" applyBorder="1" applyAlignment="1">
      <alignment vertical="center"/>
    </xf>
    <xf numFmtId="0" fontId="12" fillId="7" borderId="26" xfId="0" applyFont="1" applyFill="1" applyBorder="1" applyAlignment="1">
      <alignment vertical="center"/>
    </xf>
    <xf numFmtId="0" fontId="12" fillId="7" borderId="25" xfId="0" applyFont="1" applyFill="1" applyBorder="1" applyAlignment="1">
      <alignment vertical="center"/>
    </xf>
    <xf numFmtId="0" fontId="12" fillId="7" borderId="47" xfId="0" applyFont="1" applyFill="1" applyBorder="1" applyAlignment="1">
      <alignment vertical="center"/>
    </xf>
    <xf numFmtId="4" fontId="42" fillId="0" borderId="21" xfId="0" applyNumberFormat="1" applyFont="1" applyFill="1" applyBorder="1" applyAlignment="1">
      <alignment horizontal="center" vertical="center"/>
    </xf>
    <xf numFmtId="4" fontId="42" fillId="0" borderId="23" xfId="0" applyNumberFormat="1" applyFont="1" applyFill="1" applyBorder="1" applyAlignment="1">
      <alignment horizontal="center" vertical="center"/>
    </xf>
    <xf numFmtId="175" fontId="14" fillId="3" borderId="20" xfId="2" applyNumberFormat="1" applyFont="1" applyFill="1" applyBorder="1" applyAlignment="1">
      <alignment horizontal="center" vertical="center"/>
    </xf>
    <xf numFmtId="175" fontId="14" fillId="3" borderId="18" xfId="2" applyNumberFormat="1" applyFont="1" applyFill="1" applyBorder="1" applyAlignment="1">
      <alignment horizontal="center" vertical="center"/>
    </xf>
    <xf numFmtId="175" fontId="14" fillId="3" borderId="21" xfId="2" applyNumberFormat="1" applyFont="1" applyFill="1" applyBorder="1" applyAlignment="1">
      <alignment horizontal="center" vertical="center"/>
    </xf>
    <xf numFmtId="175" fontId="14" fillId="3" borderId="24" xfId="2" applyNumberFormat="1" applyFont="1" applyFill="1" applyBorder="1" applyAlignment="1">
      <alignment horizontal="center" vertical="center"/>
    </xf>
    <xf numFmtId="175" fontId="14" fillId="3" borderId="22" xfId="2" applyNumberFormat="1" applyFont="1" applyFill="1" applyBorder="1" applyAlignment="1">
      <alignment horizontal="center" vertical="center"/>
    </xf>
    <xf numFmtId="175" fontId="14" fillId="3" borderId="23" xfId="2" applyNumberFormat="1" applyFont="1" applyFill="1" applyBorder="1" applyAlignment="1">
      <alignment horizontal="center" vertical="center"/>
    </xf>
    <xf numFmtId="0" fontId="12" fillId="7" borderId="1" xfId="0" applyFont="1" applyFill="1" applyBorder="1" applyAlignment="1">
      <alignment vertical="center"/>
    </xf>
    <xf numFmtId="0" fontId="12" fillId="7" borderId="2" xfId="0" applyFont="1" applyFill="1" applyBorder="1" applyAlignment="1">
      <alignment vertical="center"/>
    </xf>
    <xf numFmtId="0" fontId="12" fillId="7" borderId="3" xfId="0" applyFont="1" applyFill="1" applyBorder="1" applyAlignment="1">
      <alignment vertical="center"/>
    </xf>
    <xf numFmtId="174" fontId="42" fillId="2" borderId="20" xfId="0" applyNumberFormat="1" applyFont="1" applyFill="1" applyBorder="1" applyAlignment="1">
      <alignment horizontal="center" vertical="center"/>
    </xf>
    <xf numFmtId="174" fontId="12" fillId="0" borderId="18" xfId="2" applyNumberFormat="1" applyFont="1" applyFill="1" applyBorder="1" applyAlignment="1">
      <alignment horizontal="center" vertical="center"/>
    </xf>
    <xf numFmtId="174" fontId="12" fillId="0" borderId="22" xfId="2" applyNumberFormat="1" applyFont="1" applyFill="1" applyBorder="1" applyAlignment="1">
      <alignment horizontal="center" vertical="center"/>
    </xf>
    <xf numFmtId="0" fontId="12" fillId="7" borderId="27" xfId="0" applyFont="1" applyFill="1" applyBorder="1" applyAlignment="1">
      <alignment vertical="center"/>
    </xf>
    <xf numFmtId="0" fontId="12" fillId="7" borderId="29" xfId="0" applyFont="1" applyFill="1" applyBorder="1" applyAlignment="1">
      <alignment vertical="center"/>
    </xf>
    <xf numFmtId="179" fontId="15" fillId="3" borderId="24" xfId="2" applyNumberFormat="1" applyFont="1" applyFill="1" applyBorder="1" applyAlignment="1">
      <alignment horizontal="center" vertical="center"/>
    </xf>
    <xf numFmtId="174" fontId="42" fillId="0" borderId="20" xfId="0" applyNumberFormat="1" applyFont="1" applyFill="1" applyBorder="1" applyAlignment="1">
      <alignment horizontal="center" vertical="center"/>
    </xf>
    <xf numFmtId="174" fontId="42" fillId="0" borderId="24" xfId="0" applyNumberFormat="1" applyFont="1" applyFill="1" applyBorder="1" applyAlignment="1">
      <alignment horizontal="center" vertical="center"/>
    </xf>
    <xf numFmtId="165" fontId="14" fillId="3" borderId="27" xfId="2" applyNumberFormat="1" applyFont="1" applyFill="1" applyBorder="1" applyAlignment="1">
      <alignment horizontal="center" vertical="center"/>
    </xf>
    <xf numFmtId="165" fontId="14" fillId="3" borderId="28" xfId="2" applyNumberFormat="1" applyFont="1" applyFill="1" applyBorder="1" applyAlignment="1">
      <alignment horizontal="center" vertical="center"/>
    </xf>
    <xf numFmtId="165" fontId="14" fillId="3" borderId="29" xfId="2" applyNumberFormat="1" applyFont="1" applyFill="1" applyBorder="1" applyAlignment="1">
      <alignment horizontal="center" vertical="center"/>
    </xf>
    <xf numFmtId="165" fontId="14" fillId="3" borderId="20" xfId="2" applyNumberFormat="1" applyFont="1" applyFill="1" applyBorder="1" applyAlignment="1">
      <alignment horizontal="center" vertical="center"/>
    </xf>
    <xf numFmtId="165" fontId="14" fillId="3" borderId="18" xfId="2" applyNumberFormat="1" applyFont="1" applyFill="1" applyBorder="1" applyAlignment="1">
      <alignment horizontal="center" vertical="center"/>
    </xf>
    <xf numFmtId="165" fontId="14" fillId="3" borderId="21" xfId="2" applyNumberFormat="1" applyFont="1" applyFill="1" applyBorder="1" applyAlignment="1">
      <alignment horizontal="center" vertical="center"/>
    </xf>
    <xf numFmtId="165" fontId="14" fillId="3" borderId="24" xfId="2" applyNumberFormat="1" applyFont="1" applyFill="1" applyBorder="1" applyAlignment="1">
      <alignment horizontal="center" vertical="center"/>
    </xf>
    <xf numFmtId="165" fontId="14" fillId="3" borderId="22" xfId="2" applyNumberFormat="1" applyFont="1" applyFill="1" applyBorder="1" applyAlignment="1">
      <alignment horizontal="center" vertical="center"/>
    </xf>
    <xf numFmtId="165" fontId="14" fillId="3" borderId="23" xfId="2" applyNumberFormat="1" applyFont="1" applyFill="1" applyBorder="1" applyAlignment="1">
      <alignment horizontal="center" vertical="center"/>
    </xf>
    <xf numFmtId="165" fontId="14" fillId="3" borderId="42" xfId="2" applyNumberFormat="1" applyFont="1" applyFill="1" applyBorder="1" applyAlignment="1">
      <alignment horizontal="center" vertical="center"/>
    </xf>
    <xf numFmtId="165" fontId="14" fillId="3" borderId="17" xfId="2" applyNumberFormat="1" applyFont="1" applyFill="1" applyBorder="1" applyAlignment="1">
      <alignment horizontal="center" vertical="center"/>
    </xf>
    <xf numFmtId="165" fontId="14" fillId="3" borderId="35" xfId="2" applyNumberFormat="1" applyFont="1" applyFill="1" applyBorder="1" applyAlignment="1">
      <alignment horizontal="center" vertical="center"/>
    </xf>
    <xf numFmtId="165" fontId="14" fillId="3" borderId="41" xfId="2" applyNumberFormat="1" applyFont="1" applyFill="1" applyBorder="1" applyAlignment="1">
      <alignment horizontal="center" vertical="center"/>
    </xf>
    <xf numFmtId="165" fontId="14" fillId="3" borderId="69" xfId="2" applyNumberFormat="1" applyFont="1" applyFill="1" applyBorder="1" applyAlignment="1">
      <alignment horizontal="center" vertical="center"/>
    </xf>
    <xf numFmtId="165" fontId="14" fillId="3" borderId="44" xfId="2" applyNumberFormat="1" applyFont="1" applyFill="1" applyBorder="1" applyAlignment="1">
      <alignment horizontal="center" vertical="center"/>
    </xf>
    <xf numFmtId="170" fontId="12" fillId="0" borderId="0" xfId="0" applyNumberFormat="1" applyFont="1" applyFill="1" applyBorder="1" applyAlignment="1">
      <alignment vertical="center"/>
    </xf>
    <xf numFmtId="170" fontId="12" fillId="0" borderId="0" xfId="0" applyNumberFormat="1" applyFont="1" applyFill="1" applyAlignment="1">
      <alignment vertical="center"/>
    </xf>
    <xf numFmtId="170" fontId="12" fillId="0" borderId="0" xfId="0" applyNumberFormat="1" applyFont="1" applyFill="1" applyBorder="1" applyAlignment="1">
      <alignment horizontal="center" vertical="center"/>
    </xf>
    <xf numFmtId="174" fontId="12" fillId="0" borderId="20" xfId="2" applyNumberFormat="1" applyFont="1" applyFill="1" applyBorder="1" applyAlignment="1">
      <alignment horizontal="center" vertical="center"/>
    </xf>
    <xf numFmtId="174" fontId="12" fillId="0" borderId="24" xfId="2" applyNumberFormat="1" applyFont="1" applyFill="1" applyBorder="1" applyAlignment="1">
      <alignment horizontal="center" vertical="center"/>
    </xf>
    <xf numFmtId="1" fontId="15" fillId="3" borderId="20" xfId="2" applyNumberFormat="1" applyFont="1" applyFill="1" applyBorder="1" applyAlignment="1">
      <alignment horizontal="center" vertical="center"/>
    </xf>
    <xf numFmtId="1" fontId="15" fillId="3" borderId="21" xfId="2" applyNumberFormat="1" applyFont="1" applyFill="1" applyBorder="1" applyAlignment="1">
      <alignment horizontal="center" vertical="center"/>
    </xf>
    <xf numFmtId="1" fontId="15" fillId="3" borderId="24" xfId="2" applyNumberFormat="1" applyFont="1" applyFill="1" applyBorder="1" applyAlignment="1">
      <alignment horizontal="center" vertical="center"/>
    </xf>
    <xf numFmtId="1" fontId="15" fillId="3" borderId="22" xfId="2" applyNumberFormat="1" applyFont="1" applyFill="1" applyBorder="1" applyAlignment="1">
      <alignment horizontal="center" vertical="center"/>
    </xf>
    <xf numFmtId="1" fontId="15" fillId="3" borderId="23" xfId="2" applyNumberFormat="1" applyFont="1" applyFill="1" applyBorder="1" applyAlignment="1">
      <alignment horizontal="center" vertical="center"/>
    </xf>
    <xf numFmtId="165" fontId="42" fillId="0" borderId="0" xfId="0" applyNumberFormat="1" applyFont="1" applyAlignment="1">
      <alignment vertical="center"/>
    </xf>
    <xf numFmtId="175" fontId="42" fillId="0" borderId="0" xfId="0" applyNumberFormat="1" applyFont="1" applyAlignment="1">
      <alignment vertical="center"/>
    </xf>
    <xf numFmtId="179" fontId="14" fillId="3" borderId="20" xfId="2" applyNumberFormat="1" applyFont="1" applyFill="1" applyBorder="1" applyAlignment="1">
      <alignment horizontal="center" vertical="center"/>
    </xf>
    <xf numFmtId="179" fontId="14" fillId="3" borderId="18" xfId="2" applyNumberFormat="1" applyFont="1" applyFill="1" applyBorder="1" applyAlignment="1">
      <alignment horizontal="center" vertical="center"/>
    </xf>
    <xf numFmtId="179" fontId="14" fillId="3" borderId="21" xfId="2" applyNumberFormat="1" applyFont="1" applyFill="1" applyBorder="1" applyAlignment="1">
      <alignment horizontal="center" vertical="center"/>
    </xf>
    <xf numFmtId="178" fontId="12" fillId="0" borderId="11" xfId="2" applyNumberFormat="1" applyFont="1" applyFill="1" applyBorder="1" applyAlignment="1">
      <alignment horizontal="center" vertical="center"/>
    </xf>
    <xf numFmtId="178" fontId="12" fillId="0" borderId="18" xfId="2" applyNumberFormat="1" applyFont="1" applyFill="1" applyBorder="1" applyAlignment="1">
      <alignment horizontal="center" vertical="center"/>
    </xf>
    <xf numFmtId="178" fontId="12" fillId="0" borderId="21" xfId="2" applyNumberFormat="1" applyFont="1" applyFill="1" applyBorder="1" applyAlignment="1">
      <alignment horizontal="center" vertical="center"/>
    </xf>
    <xf numFmtId="179" fontId="14" fillId="3" borderId="24" xfId="2" applyNumberFormat="1" applyFont="1" applyFill="1" applyBorder="1" applyAlignment="1">
      <alignment horizontal="center" vertical="center"/>
    </xf>
    <xf numFmtId="179" fontId="14" fillId="3" borderId="22" xfId="2" applyNumberFormat="1" applyFont="1" applyFill="1" applyBorder="1" applyAlignment="1">
      <alignment horizontal="center" vertical="center"/>
    </xf>
    <xf numFmtId="179" fontId="14" fillId="3" borderId="23" xfId="2" applyNumberFormat="1" applyFont="1" applyFill="1" applyBorder="1" applyAlignment="1">
      <alignment horizontal="center" vertical="center"/>
    </xf>
    <xf numFmtId="178" fontId="12" fillId="0" borderId="34" xfId="2" applyNumberFormat="1" applyFont="1" applyFill="1" applyBorder="1" applyAlignment="1">
      <alignment horizontal="center" vertical="center"/>
    </xf>
    <xf numFmtId="178" fontId="12" fillId="0" borderId="22" xfId="2" applyNumberFormat="1" applyFont="1" applyFill="1" applyBorder="1" applyAlignment="1">
      <alignment horizontal="center" vertical="center"/>
    </xf>
    <xf numFmtId="178" fontId="12" fillId="0" borderId="23" xfId="2" applyNumberFormat="1" applyFont="1" applyFill="1" applyBorder="1" applyAlignment="1">
      <alignment horizontal="center" vertical="center"/>
    </xf>
    <xf numFmtId="9" fontId="12" fillId="0" borderId="0" xfId="1" applyFont="1" applyFill="1" applyBorder="1" applyAlignment="1">
      <alignment vertical="center"/>
    </xf>
    <xf numFmtId="1" fontId="14" fillId="0" borderId="0" xfId="1" applyNumberFormat="1" applyFont="1" applyFill="1" applyBorder="1" applyAlignment="1">
      <alignment horizontal="right" vertical="center" indent="1"/>
    </xf>
    <xf numFmtId="179" fontId="12" fillId="0" borderId="24" xfId="2" applyNumberFormat="1" applyFont="1" applyFill="1" applyBorder="1" applyAlignment="1">
      <alignment horizontal="center" vertical="center"/>
    </xf>
    <xf numFmtId="2" fontId="12" fillId="0" borderId="23" xfId="2" applyNumberFormat="1" applyFont="1" applyFill="1" applyBorder="1" applyAlignment="1">
      <alignment horizontal="center" vertical="center"/>
    </xf>
    <xf numFmtId="3" fontId="43" fillId="0" borderId="0" xfId="0" applyNumberFormat="1" applyFont="1" applyAlignment="1">
      <alignment vertical="center"/>
    </xf>
    <xf numFmtId="0" fontId="12" fillId="4" borderId="18" xfId="0" applyFont="1" applyFill="1" applyBorder="1" applyAlignment="1">
      <alignment horizontal="center" vertical="center" wrapText="1"/>
    </xf>
    <xf numFmtId="0" fontId="12" fillId="4" borderId="21" xfId="0" applyFont="1" applyFill="1" applyBorder="1" applyAlignment="1">
      <alignment horizontal="center" vertical="center" wrapText="1"/>
    </xf>
    <xf numFmtId="4" fontId="12" fillId="0" borderId="18" xfId="0" applyNumberFormat="1" applyFont="1" applyBorder="1" applyAlignment="1">
      <alignment vertical="center"/>
    </xf>
    <xf numFmtId="3" fontId="15" fillId="3" borderId="18" xfId="0" applyNumberFormat="1" applyFont="1" applyFill="1" applyBorder="1" applyAlignment="1">
      <alignment horizontal="right" vertical="center"/>
    </xf>
    <xf numFmtId="3" fontId="15" fillId="3" borderId="22" xfId="0" applyNumberFormat="1" applyFont="1" applyFill="1" applyBorder="1" applyAlignment="1">
      <alignment horizontal="right" vertical="center"/>
    </xf>
    <xf numFmtId="3" fontId="18" fillId="0" borderId="21" xfId="0" applyNumberFormat="1" applyFont="1" applyBorder="1" applyAlignment="1">
      <alignment vertical="center"/>
    </xf>
    <xf numFmtId="3" fontId="18" fillId="0" borderId="23" xfId="0" applyNumberFormat="1" applyFont="1" applyBorder="1" applyAlignment="1">
      <alignment vertical="center"/>
    </xf>
    <xf numFmtId="0" fontId="12" fillId="4" borderId="21" xfId="0" applyFont="1" applyFill="1" applyBorder="1" applyAlignment="1">
      <alignment vertical="center" wrapText="1"/>
    </xf>
    <xf numFmtId="4" fontId="12" fillId="0" borderId="22" xfId="0" applyNumberFormat="1" applyFont="1" applyBorder="1" applyAlignment="1">
      <alignment vertical="center"/>
    </xf>
    <xf numFmtId="172" fontId="12" fillId="6" borderId="29" xfId="2" applyNumberFormat="1" applyFont="1" applyFill="1" applyBorder="1" applyAlignment="1">
      <alignment horizontal="center" vertical="center"/>
    </xf>
    <xf numFmtId="9" fontId="12" fillId="0" borderId="21" xfId="2" applyFont="1" applyBorder="1" applyAlignment="1">
      <alignment vertical="center"/>
    </xf>
    <xf numFmtId="9" fontId="15" fillId="3" borderId="21" xfId="2" applyFont="1" applyFill="1" applyBorder="1" applyAlignment="1">
      <alignment horizontal="right" vertical="center"/>
    </xf>
    <xf numFmtId="9" fontId="15" fillId="3" borderId="23" xfId="2" applyFont="1" applyFill="1" applyBorder="1" applyAlignment="1">
      <alignment horizontal="right" vertical="center"/>
    </xf>
    <xf numFmtId="9" fontId="0" fillId="0" borderId="34" xfId="0" applyNumberFormat="1" applyBorder="1" applyAlignment="1">
      <alignment vertical="center"/>
    </xf>
    <xf numFmtId="9" fontId="0" fillId="0" borderId="22" xfId="1" applyNumberFormat="1" applyFont="1" applyBorder="1" applyAlignment="1">
      <alignment vertical="center"/>
    </xf>
    <xf numFmtId="9" fontId="0" fillId="0" borderId="22" xfId="0" applyNumberFormat="1" applyBorder="1" applyAlignment="1">
      <alignment vertical="center"/>
    </xf>
    <xf numFmtId="9" fontId="0" fillId="0" borderId="23" xfId="0" applyNumberFormat="1" applyBorder="1" applyAlignment="1">
      <alignment vertical="center"/>
    </xf>
    <xf numFmtId="9" fontId="0" fillId="0" borderId="21" xfId="1" applyFont="1" applyBorder="1" applyAlignment="1">
      <alignment vertical="center"/>
    </xf>
    <xf numFmtId="3" fontId="0" fillId="4" borderId="28" xfId="0" applyNumberFormat="1" applyFill="1" applyBorder="1" applyAlignment="1">
      <alignment horizontal="center" vertical="center"/>
    </xf>
    <xf numFmtId="0" fontId="15" fillId="3" borderId="69" xfId="0" applyFont="1" applyFill="1" applyBorder="1" applyAlignment="1">
      <alignment horizontal="center" vertical="center"/>
    </xf>
    <xf numFmtId="0" fontId="15" fillId="3" borderId="14" xfId="0" applyFont="1" applyFill="1" applyBorder="1" applyAlignment="1">
      <alignment horizontal="center" vertical="center"/>
    </xf>
    <xf numFmtId="0" fontId="15" fillId="3" borderId="73" xfId="0" applyFont="1" applyFill="1" applyBorder="1" applyAlignment="1">
      <alignment horizontal="center" vertical="center"/>
    </xf>
    <xf numFmtId="0" fontId="15" fillId="3" borderId="5" xfId="0" applyFont="1" applyFill="1" applyBorder="1" applyAlignment="1">
      <alignment horizontal="center" vertical="center"/>
    </xf>
    <xf numFmtId="0" fontId="15" fillId="3" borderId="17" xfId="0" applyFont="1" applyFill="1" applyBorder="1" applyAlignment="1">
      <alignment horizontal="center" vertical="center"/>
    </xf>
    <xf numFmtId="178" fontId="42" fillId="8" borderId="21" xfId="0" applyNumberFormat="1" applyFont="1" applyFill="1" applyBorder="1" applyAlignment="1">
      <alignment horizontal="center" vertical="center"/>
    </xf>
    <xf numFmtId="179" fontId="12" fillId="8" borderId="20" xfId="2" applyNumberFormat="1" applyFont="1" applyFill="1" applyBorder="1" applyAlignment="1">
      <alignment horizontal="center" vertical="center"/>
    </xf>
    <xf numFmtId="2" fontId="12" fillId="8" borderId="21" xfId="2" applyNumberFormat="1" applyFont="1" applyFill="1" applyBorder="1" applyAlignment="1">
      <alignment horizontal="center" vertical="center"/>
    </xf>
    <xf numFmtId="174" fontId="42" fillId="8" borderId="20" xfId="0" applyNumberFormat="1" applyFont="1" applyFill="1" applyBorder="1" applyAlignment="1">
      <alignment horizontal="center" vertical="center"/>
    </xf>
    <xf numFmtId="179" fontId="12" fillId="8" borderId="10" xfId="2" applyNumberFormat="1" applyFont="1" applyFill="1" applyBorder="1" applyAlignment="1">
      <alignment horizontal="center" vertical="center"/>
    </xf>
    <xf numFmtId="168" fontId="18" fillId="0" borderId="0" xfId="0" applyNumberFormat="1" applyFont="1" applyBorder="1" applyAlignment="1">
      <alignment horizontal="right" vertical="center"/>
    </xf>
    <xf numFmtId="168" fontId="18" fillId="0" borderId="0" xfId="0" applyNumberFormat="1" applyFont="1" applyFill="1" applyBorder="1" applyAlignment="1">
      <alignment horizontal="right" vertical="center"/>
    </xf>
    <xf numFmtId="3" fontId="0" fillId="0" borderId="75" xfId="0" applyNumberFormat="1" applyBorder="1" applyAlignment="1">
      <alignment vertical="center"/>
    </xf>
    <xf numFmtId="165" fontId="0" fillId="0" borderId="18" xfId="0" applyNumberFormat="1" applyBorder="1" applyAlignment="1">
      <alignment vertical="center"/>
    </xf>
    <xf numFmtId="3" fontId="0" fillId="0" borderId="0" xfId="0" applyNumberFormat="1" applyAlignment="1">
      <alignment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0" borderId="29" xfId="0" applyFont="1" applyFill="1" applyBorder="1" applyAlignment="1">
      <alignment horizontal="center" vertical="center"/>
    </xf>
    <xf numFmtId="168" fontId="12" fillId="0" borderId="0" xfId="0" applyNumberFormat="1" applyFont="1" applyBorder="1" applyAlignment="1">
      <alignment horizontal="right" vertical="center"/>
    </xf>
    <xf numFmtId="0" fontId="12" fillId="4" borderId="18" xfId="0" applyFont="1" applyFill="1" applyBorder="1" applyAlignment="1">
      <alignment horizontal="center" vertical="center" wrapText="1"/>
    </xf>
    <xf numFmtId="1" fontId="14" fillId="0" borderId="17" xfId="0" applyNumberFormat="1" applyFont="1" applyFill="1" applyBorder="1" applyAlignment="1">
      <alignment horizontal="right" vertical="center" indent="1"/>
    </xf>
    <xf numFmtId="0" fontId="12" fillId="4" borderId="20" xfId="0" applyFont="1" applyFill="1" applyBorder="1" applyAlignment="1">
      <alignment horizontal="center" vertical="center"/>
    </xf>
    <xf numFmtId="9" fontId="12" fillId="0" borderId="35" xfId="1" applyFont="1" applyBorder="1" applyAlignment="1">
      <alignment horizontal="right" vertical="center"/>
    </xf>
    <xf numFmtId="9" fontId="12" fillId="0" borderId="21" xfId="1" applyFont="1" applyBorder="1" applyAlignment="1">
      <alignment horizontal="right" vertical="center"/>
    </xf>
    <xf numFmtId="9" fontId="12" fillId="0" borderId="44" xfId="1" applyFont="1" applyBorder="1" applyAlignment="1">
      <alignment horizontal="right" vertical="center"/>
    </xf>
    <xf numFmtId="9" fontId="12" fillId="0" borderId="29" xfId="1" applyFont="1" applyBorder="1" applyAlignment="1">
      <alignment horizontal="right" vertical="center"/>
    </xf>
    <xf numFmtId="9" fontId="12" fillId="0" borderId="23" xfId="1" applyFont="1" applyBorder="1" applyAlignment="1">
      <alignment horizontal="right" vertical="center"/>
    </xf>
    <xf numFmtId="9" fontId="12" fillId="0" borderId="76" xfId="1" applyFont="1" applyBorder="1" applyAlignment="1">
      <alignment horizontal="right" vertical="center"/>
    </xf>
    <xf numFmtId="0" fontId="12" fillId="2" borderId="27" xfId="0" applyFont="1" applyFill="1" applyBorder="1" applyAlignment="1">
      <alignment horizontal="center" vertical="center"/>
    </xf>
    <xf numFmtId="0" fontId="12" fillId="0" borderId="20" xfId="0" applyFont="1" applyFill="1" applyBorder="1" applyAlignment="1">
      <alignment horizontal="left" vertical="center"/>
    </xf>
    <xf numFmtId="0" fontId="12" fillId="0" borderId="20" xfId="0" applyFont="1" applyBorder="1" applyAlignment="1">
      <alignment horizontal="left" vertical="center"/>
    </xf>
    <xf numFmtId="9" fontId="0" fillId="0" borderId="0" xfId="1" applyFont="1" applyAlignment="1">
      <alignment vertical="center"/>
    </xf>
    <xf numFmtId="3" fontId="0" fillId="4" borderId="45" xfId="0" applyNumberFormat="1" applyFill="1" applyBorder="1" applyAlignment="1">
      <alignment horizontal="center" vertical="center"/>
    </xf>
    <xf numFmtId="165" fontId="0" fillId="0" borderId="10" xfId="0" applyNumberFormat="1" applyBorder="1" applyAlignment="1">
      <alignment vertical="center"/>
    </xf>
    <xf numFmtId="9" fontId="0" fillId="0" borderId="10" xfId="1" applyNumberFormat="1" applyFont="1" applyBorder="1" applyAlignment="1">
      <alignment vertical="center"/>
    </xf>
    <xf numFmtId="3" fontId="0" fillId="0" borderId="68" xfId="0" applyNumberFormat="1" applyBorder="1" applyAlignment="1">
      <alignment vertical="center"/>
    </xf>
    <xf numFmtId="9" fontId="15" fillId="3" borderId="77" xfId="1" applyNumberFormat="1" applyFont="1" applyFill="1" applyBorder="1" applyAlignment="1">
      <alignment horizontal="center" vertical="center"/>
    </xf>
    <xf numFmtId="165" fontId="0" fillId="0" borderId="78" xfId="0" applyNumberFormat="1" applyBorder="1" applyAlignment="1">
      <alignment vertical="center"/>
    </xf>
    <xf numFmtId="9" fontId="0" fillId="0" borderId="78" xfId="1" applyFont="1" applyBorder="1" applyAlignment="1">
      <alignment vertical="center"/>
    </xf>
    <xf numFmtId="3" fontId="0" fillId="0" borderId="79" xfId="0" applyNumberFormat="1" applyBorder="1" applyAlignment="1">
      <alignment vertical="center"/>
    </xf>
    <xf numFmtId="3" fontId="0" fillId="8" borderId="21" xfId="0" applyNumberFormat="1" applyFill="1" applyBorder="1" applyAlignment="1">
      <alignment vertical="center"/>
    </xf>
    <xf numFmtId="3" fontId="0" fillId="3" borderId="21" xfId="0" applyNumberFormat="1" applyFill="1" applyBorder="1" applyAlignment="1">
      <alignment vertical="center"/>
    </xf>
    <xf numFmtId="9" fontId="0" fillId="3" borderId="23" xfId="1" applyFont="1" applyFill="1" applyBorder="1" applyAlignment="1">
      <alignmen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44" fillId="3" borderId="21" xfId="0" applyFont="1" applyFill="1" applyBorder="1" applyAlignment="1">
      <alignment horizontal="right" vertical="center" indent="1"/>
    </xf>
    <xf numFmtId="3" fontId="44" fillId="3" borderId="20" xfId="0" applyNumberFormat="1" applyFont="1" applyFill="1" applyBorder="1" applyAlignment="1">
      <alignment horizontal="right" vertical="center" indent="1"/>
    </xf>
    <xf numFmtId="3" fontId="44" fillId="3" borderId="24" xfId="0" applyNumberFormat="1" applyFont="1" applyFill="1" applyBorder="1" applyAlignment="1">
      <alignment horizontal="right" vertical="center" indent="1"/>
    </xf>
    <xf numFmtId="2" fontId="12" fillId="0" borderId="0" xfId="0" applyNumberFormat="1" applyFont="1" applyBorder="1" applyAlignment="1">
      <alignment horizontal="center" vertical="center"/>
    </xf>
    <xf numFmtId="2" fontId="12" fillId="0" borderId="7" xfId="0" applyNumberFormat="1" applyFont="1" applyBorder="1" applyAlignment="1">
      <alignment horizontal="center" vertical="center"/>
    </xf>
    <xf numFmtId="2" fontId="12" fillId="0" borderId="12" xfId="0" applyNumberFormat="1" applyFont="1" applyBorder="1" applyAlignment="1">
      <alignment horizontal="center" vertical="center"/>
    </xf>
    <xf numFmtId="172" fontId="12" fillId="0" borderId="0" xfId="0" applyNumberFormat="1" applyFont="1" applyBorder="1" applyAlignment="1">
      <alignment horizontal="center" vertical="center"/>
    </xf>
    <xf numFmtId="0" fontId="18" fillId="0" borderId="4" xfId="0" applyFont="1" applyBorder="1" applyAlignment="1">
      <alignment vertical="center"/>
    </xf>
    <xf numFmtId="0" fontId="18" fillId="0" borderId="0" xfId="0" applyFont="1" applyBorder="1" applyAlignment="1">
      <alignment vertical="center"/>
    </xf>
    <xf numFmtId="0" fontId="18" fillId="0" borderId="5" xfId="0" applyFont="1" applyBorder="1" applyAlignment="1">
      <alignment vertical="center"/>
    </xf>
    <xf numFmtId="0" fontId="18" fillId="0" borderId="6" xfId="0" applyFont="1" applyBorder="1" applyAlignment="1">
      <alignment vertical="center"/>
    </xf>
    <xf numFmtId="0" fontId="18" fillId="0" borderId="7" xfId="0" applyFont="1" applyBorder="1" applyAlignment="1">
      <alignment vertical="center"/>
    </xf>
    <xf numFmtId="0" fontId="18" fillId="0" borderId="8" xfId="0" applyFont="1" applyBorder="1" applyAlignment="1">
      <alignment vertical="center"/>
    </xf>
    <xf numFmtId="0" fontId="22" fillId="0" borderId="0" xfId="0" applyFont="1" applyAlignment="1">
      <alignment horizontal="center" vertical="center"/>
    </xf>
    <xf numFmtId="0" fontId="18" fillId="0" borderId="0" xfId="0" applyFont="1" applyAlignment="1">
      <alignment horizontal="center" vertical="center"/>
    </xf>
    <xf numFmtId="0" fontId="0" fillId="0" borderId="42" xfId="0" applyBorder="1" applyAlignment="1">
      <alignment vertical="center"/>
    </xf>
    <xf numFmtId="0" fontId="0" fillId="0" borderId="17" xfId="0" applyBorder="1" applyAlignment="1">
      <alignment vertical="center"/>
    </xf>
    <xf numFmtId="9" fontId="0" fillId="0" borderId="17" xfId="6" applyFont="1" applyBorder="1" applyAlignment="1">
      <alignment vertical="center"/>
    </xf>
    <xf numFmtId="1" fontId="0" fillId="0" borderId="35" xfId="0" applyNumberFormat="1" applyBorder="1" applyAlignment="1">
      <alignment vertical="center"/>
    </xf>
    <xf numFmtId="9" fontId="0" fillId="0" borderId="18" xfId="6" applyFont="1" applyBorder="1" applyAlignment="1">
      <alignment vertical="center"/>
    </xf>
    <xf numFmtId="1" fontId="0" fillId="0" borderId="21" xfId="0" applyNumberFormat="1" applyBorder="1" applyAlignment="1">
      <alignment vertical="center"/>
    </xf>
    <xf numFmtId="0" fontId="0" fillId="0" borderId="24" xfId="0" applyBorder="1" applyAlignment="1">
      <alignment vertical="center"/>
    </xf>
    <xf numFmtId="0" fontId="0" fillId="0" borderId="22" xfId="0" applyBorder="1" applyAlignment="1">
      <alignment vertical="center"/>
    </xf>
    <xf numFmtId="9" fontId="0" fillId="0" borderId="22" xfId="6" applyFont="1" applyBorder="1" applyAlignment="1">
      <alignment vertical="center"/>
    </xf>
    <xf numFmtId="1" fontId="0" fillId="0" borderId="23" xfId="0" applyNumberFormat="1" applyBorder="1" applyAlignment="1">
      <alignment vertical="center"/>
    </xf>
    <xf numFmtId="0" fontId="12" fillId="0" borderId="20" xfId="0" applyFont="1" applyFill="1" applyBorder="1" applyAlignment="1">
      <alignment vertical="center"/>
    </xf>
    <xf numFmtId="1" fontId="12" fillId="0" borderId="22" xfId="1" applyNumberFormat="1" applyFont="1" applyBorder="1" applyAlignment="1">
      <alignment vertical="center"/>
    </xf>
    <xf numFmtId="1" fontId="12" fillId="0" borderId="23" xfId="1" applyNumberFormat="1" applyFont="1" applyBorder="1" applyAlignment="1">
      <alignment vertical="center"/>
    </xf>
    <xf numFmtId="0" fontId="12" fillId="0" borderId="20" xfId="0" applyFont="1" applyFill="1" applyBorder="1" applyAlignment="1">
      <alignment vertical="center"/>
    </xf>
    <xf numFmtId="0" fontId="14" fillId="0" borderId="0" xfId="0" applyFont="1" applyAlignment="1">
      <alignment vertical="center"/>
    </xf>
    <xf numFmtId="2" fontId="14" fillId="0" borderId="0" xfId="0" applyNumberFormat="1" applyFont="1" applyAlignment="1">
      <alignment vertical="center"/>
    </xf>
    <xf numFmtId="1" fontId="14" fillId="3" borderId="0" xfId="1" applyNumberFormat="1" applyFont="1" applyFill="1" applyBorder="1" applyAlignment="1">
      <alignment horizontal="right" vertical="center" indent="1"/>
    </xf>
    <xf numFmtId="0" fontId="12" fillId="0" borderId="20" xfId="0" applyFont="1" applyBorder="1" applyAlignment="1">
      <alignment horizontal="left" vertical="center"/>
    </xf>
    <xf numFmtId="0" fontId="0" fillId="0" borderId="0" xfId="0" applyFill="1" applyAlignment="1">
      <alignment horizontal="center" vertical="center"/>
    </xf>
    <xf numFmtId="173" fontId="18" fillId="0" borderId="0" xfId="0" applyNumberFormat="1" applyFont="1" applyAlignment="1">
      <alignmen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0" fillId="0" borderId="53" xfId="0" applyFont="1" applyBorder="1" applyAlignment="1">
      <alignment horizontal="right"/>
    </xf>
    <xf numFmtId="0" fontId="9" fillId="0" borderId="58" xfId="0" applyFont="1" applyBorder="1" applyAlignment="1">
      <alignment horizontal="right"/>
    </xf>
    <xf numFmtId="0" fontId="9" fillId="0" borderId="51" xfId="0" applyFont="1" applyBorder="1" applyAlignment="1">
      <alignment horizontal="right"/>
    </xf>
    <xf numFmtId="49" fontId="10" fillId="0" borderId="0" xfId="0" applyNumberFormat="1" applyFont="1" applyBorder="1" applyAlignment="1">
      <alignment horizontal="left"/>
    </xf>
    <xf numFmtId="0" fontId="12" fillId="0" borderId="20" xfId="0" applyFont="1" applyBorder="1" applyAlignment="1">
      <alignment horizontal="left" vertical="center"/>
    </xf>
    <xf numFmtId="0" fontId="12" fillId="0" borderId="29" xfId="0" applyFont="1" applyBorder="1" applyAlignment="1">
      <alignment horizontal="center" vertical="center"/>
    </xf>
    <xf numFmtId="0" fontId="12" fillId="4" borderId="18" xfId="0" applyFont="1" applyFill="1" applyBorder="1" applyAlignment="1">
      <alignment horizontal="center" vertical="center" wrapText="1"/>
    </xf>
    <xf numFmtId="0" fontId="12" fillId="0" borderId="20" xfId="0" applyFont="1" applyFill="1" applyBorder="1" applyAlignment="1">
      <alignment vertical="center"/>
    </xf>
    <xf numFmtId="0" fontId="12" fillId="0" borderId="18" xfId="0" applyFont="1" applyFill="1" applyBorder="1" applyAlignment="1">
      <alignment vertical="center"/>
    </xf>
    <xf numFmtId="0" fontId="12" fillId="0" borderId="20" xfId="0" applyFont="1" applyFill="1" applyBorder="1" applyAlignment="1">
      <alignment horizontal="left"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24" xfId="0" applyFont="1" applyFill="1" applyBorder="1" applyAlignment="1">
      <alignment horizontal="left" vertical="center"/>
    </xf>
    <xf numFmtId="0" fontId="12" fillId="0" borderId="20" xfId="0" applyFont="1" applyFill="1" applyBorder="1" applyAlignment="1">
      <alignment vertical="center"/>
    </xf>
    <xf numFmtId="168" fontId="12" fillId="0" borderId="24" xfId="0" applyNumberFormat="1" applyFont="1" applyBorder="1" applyAlignment="1">
      <alignment horizontal="left" vertical="center"/>
    </xf>
    <xf numFmtId="0" fontId="12" fillId="4" borderId="65" xfId="0" applyFont="1" applyFill="1" applyBorder="1" applyAlignment="1">
      <alignment horizontal="center" vertical="center" wrapText="1"/>
    </xf>
    <xf numFmtId="168" fontId="12" fillId="0" borderId="0" xfId="0" applyNumberFormat="1" applyFont="1" applyBorder="1" applyAlignment="1">
      <alignment horizontal="right" vertical="center"/>
    </xf>
    <xf numFmtId="0" fontId="12" fillId="0" borderId="20" xfId="0" applyFont="1" applyFill="1" applyBorder="1" applyAlignment="1">
      <alignment horizontal="left" vertical="center"/>
    </xf>
    <xf numFmtId="0" fontId="12" fillId="0" borderId="24" xfId="0" applyFont="1" applyFill="1" applyBorder="1" applyAlignment="1">
      <alignment horizontal="left"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4" borderId="21" xfId="0" applyFont="1" applyFill="1" applyBorder="1" applyAlignment="1">
      <alignment horizontal="center" vertical="center"/>
    </xf>
    <xf numFmtId="0" fontId="12" fillId="0" borderId="20" xfId="0" applyFont="1" applyFill="1" applyBorder="1" applyAlignment="1">
      <alignment vertical="center"/>
    </xf>
    <xf numFmtId="0" fontId="12" fillId="0" borderId="40" xfId="0" applyFont="1" applyFill="1" applyBorder="1" applyAlignment="1">
      <alignment vertical="center"/>
    </xf>
    <xf numFmtId="1" fontId="14" fillId="0" borderId="21" xfId="2" applyNumberFormat="1" applyFont="1" applyFill="1" applyBorder="1" applyAlignment="1">
      <alignment horizontal="right" vertical="center"/>
    </xf>
    <xf numFmtId="9" fontId="14" fillId="0" borderId="20" xfId="1" applyNumberFormat="1" applyFont="1" applyBorder="1" applyAlignment="1">
      <alignment vertical="center"/>
    </xf>
    <xf numFmtId="9" fontId="14" fillId="0" borderId="18" xfId="1" applyNumberFormat="1" applyFont="1" applyBorder="1" applyAlignment="1">
      <alignment vertical="center"/>
    </xf>
    <xf numFmtId="9" fontId="14" fillId="0" borderId="21" xfId="1" applyNumberFormat="1" applyFont="1" applyBorder="1" applyAlignment="1">
      <alignment vertical="center"/>
    </xf>
    <xf numFmtId="9" fontId="14" fillId="0" borderId="24" xfId="1" applyNumberFormat="1" applyFont="1" applyBorder="1" applyAlignment="1">
      <alignment vertical="center"/>
    </xf>
    <xf numFmtId="9" fontId="14" fillId="0" borderId="22" xfId="1" applyNumberFormat="1" applyFont="1" applyBorder="1" applyAlignment="1">
      <alignment vertical="center"/>
    </xf>
    <xf numFmtId="9" fontId="14" fillId="0" borderId="23" xfId="1" applyNumberFormat="1" applyFont="1" applyBorder="1" applyAlignment="1">
      <alignment vertical="center"/>
    </xf>
    <xf numFmtId="9" fontId="12" fillId="0" borderId="0" xfId="1" applyNumberFormat="1" applyFont="1" applyFill="1" applyBorder="1" applyAlignment="1">
      <alignment vertical="center"/>
    </xf>
    <xf numFmtId="9" fontId="12" fillId="0" borderId="0" xfId="1" applyNumberFormat="1" applyFont="1" applyAlignment="1">
      <alignment vertical="center"/>
    </xf>
    <xf numFmtId="9" fontId="12" fillId="0" borderId="20" xfId="1" applyNumberFormat="1" applyFont="1" applyFill="1" applyBorder="1" applyAlignment="1">
      <alignment vertical="center"/>
    </xf>
    <xf numFmtId="9" fontId="12" fillId="0" borderId="18" xfId="1" applyNumberFormat="1" applyFont="1" applyFill="1" applyBorder="1" applyAlignment="1">
      <alignment vertical="center"/>
    </xf>
    <xf numFmtId="9" fontId="12" fillId="0" borderId="21" xfId="1" applyNumberFormat="1" applyFont="1" applyFill="1" applyBorder="1" applyAlignment="1">
      <alignment vertical="center"/>
    </xf>
    <xf numFmtId="9" fontId="12" fillId="0" borderId="24" xfId="1" applyNumberFormat="1" applyFont="1" applyFill="1" applyBorder="1" applyAlignment="1">
      <alignment vertical="center"/>
    </xf>
    <xf numFmtId="9" fontId="12" fillId="0" borderId="22" xfId="1" applyNumberFormat="1" applyFont="1" applyFill="1" applyBorder="1" applyAlignment="1">
      <alignment vertical="center"/>
    </xf>
    <xf numFmtId="9" fontId="12" fillId="0" borderId="23" xfId="1" applyNumberFormat="1" applyFont="1" applyFill="1" applyBorder="1" applyAlignment="1">
      <alignment vertical="center"/>
    </xf>
    <xf numFmtId="0" fontId="12" fillId="0" borderId="0" xfId="0" applyFont="1" applyBorder="1"/>
    <xf numFmtId="0" fontId="12" fillId="0" borderId="20" xfId="0" applyFont="1" applyFill="1" applyBorder="1" applyAlignment="1">
      <alignment horizontal="left" vertical="center"/>
    </xf>
    <xf numFmtId="0" fontId="12" fillId="0" borderId="24" xfId="0" applyFont="1" applyFill="1" applyBorder="1" applyAlignment="1">
      <alignment horizontal="left" vertical="center"/>
    </xf>
    <xf numFmtId="0" fontId="14" fillId="0" borderId="0" xfId="0" applyFont="1" applyFill="1" applyBorder="1" applyAlignment="1">
      <alignment horizontal="right" vertical="center" indent="1"/>
    </xf>
    <xf numFmtId="3" fontId="15" fillId="3" borderId="29" xfId="1" applyNumberFormat="1" applyFont="1" applyFill="1" applyBorder="1" applyAlignment="1">
      <alignment horizontal="right" vertical="center" indent="1"/>
    </xf>
    <xf numFmtId="3" fontId="14" fillId="0" borderId="22" xfId="0" applyNumberFormat="1" applyFont="1" applyFill="1" applyBorder="1" applyAlignment="1">
      <alignment horizontal="right" vertical="center" indent="1"/>
    </xf>
    <xf numFmtId="3" fontId="14" fillId="0" borderId="23" xfId="0" applyNumberFormat="1" applyFont="1" applyFill="1" applyBorder="1" applyAlignment="1">
      <alignment horizontal="right" vertical="center" indent="1"/>
    </xf>
    <xf numFmtId="0" fontId="12" fillId="0" borderId="20" xfId="0" applyFont="1" applyFill="1" applyBorder="1" applyAlignment="1">
      <alignment vertical="center"/>
    </xf>
    <xf numFmtId="9" fontId="14" fillId="0" borderId="21" xfId="1" applyNumberFormat="1" applyFont="1" applyFill="1" applyBorder="1" applyAlignment="1">
      <alignment horizontal="right" vertical="center" indent="1"/>
    </xf>
    <xf numFmtId="9" fontId="14" fillId="0" borderId="0" xfId="1" applyNumberFormat="1" applyFont="1" applyFill="1" applyBorder="1" applyAlignment="1">
      <alignment horizontal="right" vertical="center" indent="1"/>
    </xf>
    <xf numFmtId="179" fontId="12" fillId="0" borderId="18" xfId="2" applyNumberFormat="1" applyFont="1" applyFill="1" applyBorder="1" applyAlignment="1">
      <alignment horizontal="center" vertical="center"/>
    </xf>
    <xf numFmtId="179" fontId="12" fillId="0" borderId="21" xfId="2" applyNumberFormat="1" applyFont="1" applyFill="1" applyBorder="1" applyAlignment="1">
      <alignment horizontal="center" vertical="center"/>
    </xf>
    <xf numFmtId="179" fontId="12" fillId="8" borderId="24" xfId="2" applyNumberFormat="1" applyFont="1" applyFill="1" applyBorder="1" applyAlignment="1">
      <alignment horizontal="center" vertical="center"/>
    </xf>
    <xf numFmtId="179" fontId="12" fillId="0" borderId="22" xfId="2" applyNumberFormat="1" applyFont="1" applyFill="1" applyBorder="1" applyAlignment="1">
      <alignment horizontal="center" vertical="center"/>
    </xf>
    <xf numFmtId="179" fontId="12" fillId="0" borderId="23" xfId="2" applyNumberFormat="1" applyFont="1" applyFill="1" applyBorder="1" applyAlignment="1">
      <alignment horizontal="center" vertical="center"/>
    </xf>
    <xf numFmtId="2" fontId="12" fillId="8" borderId="23" xfId="2" applyNumberFormat="1" applyFont="1" applyFill="1" applyBorder="1" applyAlignment="1">
      <alignment horizontal="center" vertical="center"/>
    </xf>
    <xf numFmtId="170" fontId="12" fillId="8" borderId="20" xfId="2" applyNumberFormat="1" applyFont="1" applyFill="1" applyBorder="1" applyAlignment="1">
      <alignment horizontal="right" vertical="center"/>
    </xf>
    <xf numFmtId="170" fontId="12" fillId="0" borderId="18" xfId="2" applyNumberFormat="1" applyFont="1" applyFill="1" applyBorder="1" applyAlignment="1">
      <alignment horizontal="right" vertical="center"/>
    </xf>
    <xf numFmtId="170" fontId="12" fillId="8" borderId="41" xfId="2" applyNumberFormat="1" applyFont="1" applyFill="1" applyBorder="1" applyAlignment="1">
      <alignment horizontal="right" vertical="center"/>
    </xf>
    <xf numFmtId="170" fontId="12" fillId="0" borderId="69" xfId="2" applyNumberFormat="1" applyFont="1" applyFill="1" applyBorder="1" applyAlignment="1">
      <alignment horizontal="right" vertical="center"/>
    </xf>
    <xf numFmtId="170" fontId="12" fillId="8" borderId="27" xfId="2" applyNumberFormat="1" applyFont="1" applyFill="1" applyBorder="1" applyAlignment="1">
      <alignment horizontal="right" vertical="center"/>
    </xf>
    <xf numFmtId="170" fontId="12" fillId="0" borderId="28" xfId="2" applyNumberFormat="1" applyFont="1" applyFill="1" applyBorder="1" applyAlignment="1">
      <alignment horizontal="right" vertical="center"/>
    </xf>
    <xf numFmtId="170" fontId="12" fillId="8" borderId="24" xfId="2" applyNumberFormat="1" applyFont="1" applyFill="1" applyBorder="1" applyAlignment="1">
      <alignment horizontal="right" vertical="center"/>
    </xf>
    <xf numFmtId="170" fontId="12" fillId="0" borderId="22" xfId="2" applyNumberFormat="1" applyFont="1" applyFill="1" applyBorder="1" applyAlignment="1">
      <alignment horizontal="right" vertical="center"/>
    </xf>
    <xf numFmtId="170" fontId="12" fillId="8" borderId="42" xfId="2" applyNumberFormat="1" applyFont="1" applyFill="1" applyBorder="1" applyAlignment="1">
      <alignment horizontal="right" vertical="center"/>
    </xf>
    <xf numFmtId="170" fontId="12" fillId="0" borderId="17" xfId="2" applyNumberFormat="1" applyFont="1" applyFill="1" applyBorder="1" applyAlignment="1">
      <alignment horizontal="right" vertical="center"/>
    </xf>
    <xf numFmtId="0" fontId="42" fillId="0" borderId="0" xfId="0" applyFont="1"/>
    <xf numFmtId="9" fontId="12" fillId="0" borderId="0" xfId="0" applyNumberFormat="1" applyFont="1" applyFill="1" applyBorder="1" applyAlignment="1">
      <alignment horizontal="center" vertical="center"/>
    </xf>
    <xf numFmtId="9" fontId="12" fillId="0" borderId="0" xfId="0" applyNumberFormat="1" applyFont="1" applyFill="1" applyAlignment="1">
      <alignment vertical="center"/>
    </xf>
    <xf numFmtId="9" fontId="12" fillId="0" borderId="0" xfId="1" applyNumberFormat="1" applyFont="1" applyFill="1" applyBorder="1" applyAlignment="1">
      <alignment horizontal="right" vertical="center" indent="1"/>
    </xf>
    <xf numFmtId="1" fontId="12" fillId="0" borderId="0" xfId="0" applyNumberFormat="1" applyFont="1" applyAlignment="1">
      <alignment horizontal="center" vertical="center"/>
    </xf>
    <xf numFmtId="0" fontId="8" fillId="0" borderId="0" xfId="0" applyFont="1" applyAlignment="1">
      <alignment horizontal="center" vertical="center"/>
    </xf>
    <xf numFmtId="1" fontId="12" fillId="0" borderId="0" xfId="1" applyNumberFormat="1" applyFont="1" applyFill="1" applyAlignment="1">
      <alignment vertical="center"/>
    </xf>
    <xf numFmtId="2" fontId="12" fillId="0" borderId="0" xfId="0" applyNumberFormat="1" applyFont="1" applyFill="1" applyBorder="1" applyAlignment="1">
      <alignment vertical="center"/>
    </xf>
    <xf numFmtId="9" fontId="15" fillId="3" borderId="20" xfId="1" applyFont="1" applyFill="1" applyBorder="1" applyAlignment="1">
      <alignment horizontal="right" vertical="center" indent="1"/>
    </xf>
    <xf numFmtId="9" fontId="15" fillId="3" borderId="24" xfId="1" applyFont="1" applyFill="1" applyBorder="1" applyAlignment="1">
      <alignment horizontal="right" vertical="center" indent="1"/>
    </xf>
    <xf numFmtId="9" fontId="15" fillId="3" borderId="22" xfId="1" applyFont="1" applyFill="1" applyBorder="1" applyAlignment="1">
      <alignment horizontal="right" vertical="center" indent="1"/>
    </xf>
    <xf numFmtId="9" fontId="15" fillId="3" borderId="23" xfId="1" applyFont="1" applyFill="1" applyBorder="1" applyAlignment="1">
      <alignment horizontal="right" vertical="center" indent="1"/>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2" fillId="4" borderId="17" xfId="0" applyFont="1" applyFill="1" applyBorder="1" applyAlignment="1">
      <alignment horizontal="center" vertical="center"/>
    </xf>
    <xf numFmtId="0" fontId="12" fillId="4" borderId="35" xfId="0" applyFont="1" applyFill="1" applyBorder="1" applyAlignment="1">
      <alignment horizontal="center" vertical="center"/>
    </xf>
    <xf numFmtId="0" fontId="12" fillId="4" borderId="42" xfId="0" applyFont="1" applyFill="1" applyBorder="1" applyAlignment="1">
      <alignment horizontal="center" vertical="center"/>
    </xf>
    <xf numFmtId="9" fontId="14" fillId="3" borderId="21" xfId="2" applyNumberFormat="1" applyFont="1" applyFill="1" applyBorder="1" applyAlignment="1">
      <alignment horizontal="right" vertical="center" indent="1"/>
    </xf>
    <xf numFmtId="0" fontId="14" fillId="3" borderId="22" xfId="0" applyFont="1" applyFill="1" applyBorder="1" applyAlignment="1">
      <alignment horizontal="right" vertical="center" indent="1"/>
    </xf>
    <xf numFmtId="9" fontId="14" fillId="3" borderId="23" xfId="2" applyNumberFormat="1" applyFont="1" applyFill="1" applyBorder="1" applyAlignment="1">
      <alignment horizontal="right" vertical="center" indent="1"/>
    </xf>
    <xf numFmtId="0" fontId="14" fillId="3" borderId="21" xfId="0" applyFont="1" applyFill="1" applyBorder="1" applyAlignment="1">
      <alignment horizontal="right" vertical="center" indent="1"/>
    </xf>
    <xf numFmtId="9" fontId="15" fillId="3" borderId="20" xfId="2" applyFont="1" applyFill="1" applyBorder="1" applyAlignment="1">
      <alignment horizontal="right" vertical="center" indent="1"/>
    </xf>
    <xf numFmtId="9" fontId="15" fillId="3" borderId="24" xfId="2" applyFont="1" applyFill="1" applyBorder="1" applyAlignment="1">
      <alignment horizontal="right" vertical="center" indent="1"/>
    </xf>
    <xf numFmtId="9" fontId="15" fillId="3" borderId="22" xfId="2" applyFont="1" applyFill="1" applyBorder="1" applyAlignment="1">
      <alignment horizontal="right" vertical="center" indent="1"/>
    </xf>
    <xf numFmtId="9" fontId="15" fillId="3" borderId="23" xfId="2" applyFont="1" applyFill="1" applyBorder="1" applyAlignment="1">
      <alignment horizontal="right" vertical="center" indent="1"/>
    </xf>
    <xf numFmtId="2" fontId="15" fillId="3" borderId="23" xfId="2" applyNumberFormat="1" applyFont="1" applyFill="1" applyBorder="1" applyAlignment="1">
      <alignment horizontal="center" vertical="center"/>
    </xf>
    <xf numFmtId="178" fontId="12" fillId="8" borderId="21" xfId="0" applyNumberFormat="1" applyFont="1" applyFill="1" applyBorder="1" applyAlignment="1">
      <alignment horizontal="center" vertical="center"/>
    </xf>
    <xf numFmtId="0" fontId="12" fillId="0" borderId="20" xfId="0" applyFont="1" applyFill="1" applyBorder="1" applyAlignment="1">
      <alignment vertical="center"/>
    </xf>
    <xf numFmtId="0" fontId="22" fillId="0" borderId="51" xfId="0" applyFont="1" applyBorder="1"/>
    <xf numFmtId="0" fontId="22" fillId="0" borderId="0" xfId="0" applyFont="1" applyFill="1"/>
    <xf numFmtId="0" fontId="22" fillId="0" borderId="0" xfId="0" applyFont="1" applyFill="1" applyBorder="1"/>
    <xf numFmtId="0" fontId="45" fillId="0" borderId="0" xfId="0" applyFont="1" applyFill="1" applyBorder="1"/>
    <xf numFmtId="0" fontId="46" fillId="0" borderId="0" xfId="0" applyFont="1" applyFill="1" applyAlignment="1">
      <alignment horizontal="right"/>
    </xf>
    <xf numFmtId="0" fontId="46" fillId="0" borderId="0" xfId="0" applyFont="1" applyFill="1"/>
    <xf numFmtId="0" fontId="46" fillId="0" borderId="0" xfId="0" applyFont="1" applyFill="1" applyAlignment="1">
      <alignment horizontal="left"/>
    </xf>
    <xf numFmtId="0" fontId="22" fillId="0" borderId="52" xfId="0" applyFont="1" applyFill="1" applyBorder="1"/>
    <xf numFmtId="0" fontId="22" fillId="0" borderId="53" xfId="0" applyFont="1" applyFill="1" applyBorder="1" applyAlignment="1">
      <alignment horizontal="center"/>
    </xf>
    <xf numFmtId="0" fontId="22" fillId="0" borderId="54" xfId="0" applyFont="1" applyFill="1" applyBorder="1" applyAlignment="1">
      <alignment horizontal="right"/>
    </xf>
    <xf numFmtId="0" fontId="22" fillId="0" borderId="55" xfId="0" applyFont="1" applyFill="1" applyBorder="1"/>
    <xf numFmtId="0" fontId="22" fillId="0" borderId="0" xfId="0" applyFont="1" applyFill="1" applyBorder="1" applyAlignment="1">
      <alignment horizontal="left"/>
    </xf>
    <xf numFmtId="0" fontId="22" fillId="0" borderId="48" xfId="0" applyFont="1" applyFill="1" applyBorder="1" applyAlignment="1">
      <alignment horizontal="left"/>
    </xf>
    <xf numFmtId="0" fontId="22" fillId="0" borderId="50" xfId="0" applyFont="1" applyFill="1" applyBorder="1" applyAlignment="1">
      <alignment horizontal="left"/>
    </xf>
    <xf numFmtId="166" fontId="22" fillId="0" borderId="0" xfId="0" applyNumberFormat="1" applyFont="1" applyFill="1" applyBorder="1" applyAlignment="1">
      <alignment horizontal="left"/>
    </xf>
    <xf numFmtId="0" fontId="22" fillId="0" borderId="48" xfId="0" applyFont="1" applyFill="1" applyBorder="1" applyAlignment="1">
      <alignment horizontal="center"/>
    </xf>
    <xf numFmtId="166" fontId="22" fillId="0" borderId="50" xfId="0" applyNumberFormat="1" applyFont="1" applyFill="1" applyBorder="1" applyAlignment="1">
      <alignment horizontal="left"/>
    </xf>
    <xf numFmtId="0" fontId="46" fillId="0" borderId="0" xfId="0" applyFont="1" applyFill="1" applyBorder="1" applyAlignment="1">
      <alignment horizontal="left"/>
    </xf>
    <xf numFmtId="0" fontId="22" fillId="0" borderId="0" xfId="0" applyFont="1" applyFill="1" applyBorder="1" applyAlignment="1">
      <alignment horizontal="center"/>
    </xf>
    <xf numFmtId="0" fontId="22" fillId="0" borderId="54" xfId="0" applyFont="1" applyFill="1" applyBorder="1"/>
    <xf numFmtId="0" fontId="22" fillId="0" borderId="15" xfId="0" applyFont="1" applyFill="1" applyBorder="1" applyAlignment="1">
      <alignment horizontal="left"/>
    </xf>
    <xf numFmtId="166" fontId="22" fillId="0" borderId="56" xfId="0" applyNumberFormat="1" applyFont="1" applyFill="1" applyBorder="1" applyAlignment="1">
      <alignment horizontal="right"/>
    </xf>
    <xf numFmtId="166" fontId="22" fillId="0" borderId="0" xfId="0" applyNumberFormat="1" applyFont="1" applyFill="1" applyBorder="1" applyAlignment="1">
      <alignment horizontal="right"/>
    </xf>
    <xf numFmtId="0" fontId="22" fillId="0" borderId="57" xfId="0" applyFont="1" applyFill="1" applyBorder="1" applyAlignment="1">
      <alignment horizontal="left"/>
    </xf>
    <xf numFmtId="166" fontId="22" fillId="0" borderId="56" xfId="0" applyNumberFormat="1" applyFont="1" applyFill="1" applyBorder="1" applyAlignment="1">
      <alignment horizontal="left"/>
    </xf>
    <xf numFmtId="0" fontId="22" fillId="0" borderId="57" xfId="0" applyFont="1" applyFill="1" applyBorder="1" applyAlignment="1">
      <alignment horizontal="right"/>
    </xf>
    <xf numFmtId="0" fontId="22" fillId="0" borderId="56" xfId="0" applyFont="1" applyFill="1" applyBorder="1" applyAlignment="1">
      <alignment horizontal="left"/>
    </xf>
    <xf numFmtId="3" fontId="22" fillId="0" borderId="58" xfId="0" applyNumberFormat="1" applyFont="1" applyFill="1" applyBorder="1" applyAlignment="1">
      <alignment horizontal="center"/>
    </xf>
    <xf numFmtId="3" fontId="22" fillId="0" borderId="0" xfId="0" applyNumberFormat="1" applyFont="1" applyFill="1" applyBorder="1" applyAlignment="1">
      <alignment horizontal="right"/>
    </xf>
    <xf numFmtId="0" fontId="22" fillId="0" borderId="50" xfId="0" applyFont="1" applyFill="1" applyBorder="1" applyAlignment="1">
      <alignment horizontal="right"/>
    </xf>
    <xf numFmtId="166" fontId="22" fillId="0" borderId="50" xfId="0" applyNumberFormat="1" applyFont="1" applyFill="1" applyBorder="1" applyAlignment="1">
      <alignment horizontal="right"/>
    </xf>
    <xf numFmtId="0" fontId="22" fillId="0" borderId="51" xfId="0" applyFont="1" applyFill="1" applyBorder="1" applyAlignment="1">
      <alignment horizontal="right"/>
    </xf>
    <xf numFmtId="166" fontId="22" fillId="0" borderId="50" xfId="0" applyNumberFormat="1" applyFont="1" applyFill="1" applyBorder="1" applyAlignment="1">
      <alignment horizontal="center"/>
    </xf>
    <xf numFmtId="0" fontId="22" fillId="0" borderId="48" xfId="0" applyFont="1" applyFill="1" applyBorder="1" applyAlignment="1">
      <alignment horizontal="right"/>
    </xf>
    <xf numFmtId="9" fontId="22" fillId="0" borderId="48" xfId="1" applyFont="1" applyFill="1" applyBorder="1" applyAlignment="1">
      <alignment horizontal="right"/>
    </xf>
    <xf numFmtId="0" fontId="22" fillId="0" borderId="52" xfId="0" applyFont="1" applyFill="1" applyBorder="1" applyAlignment="1">
      <alignment horizontal="center"/>
    </xf>
    <xf numFmtId="3" fontId="22" fillId="0" borderId="59" xfId="0" applyNumberFormat="1" applyFont="1" applyFill="1" applyBorder="1" applyAlignment="1">
      <alignment horizontal="center"/>
    </xf>
    <xf numFmtId="0" fontId="22" fillId="0" borderId="52" xfId="0" applyFont="1" applyFill="1" applyBorder="1" applyAlignment="1">
      <alignment horizontal="right"/>
    </xf>
    <xf numFmtId="166" fontId="22" fillId="0" borderId="52" xfId="0" applyNumberFormat="1" applyFont="1" applyFill="1" applyBorder="1" applyAlignment="1">
      <alignment horizontal="right"/>
    </xf>
    <xf numFmtId="166" fontId="22" fillId="0" borderId="52" xfId="0" applyNumberFormat="1" applyFont="1" applyFill="1" applyBorder="1" applyAlignment="1">
      <alignment horizontal="center"/>
    </xf>
    <xf numFmtId="9" fontId="22" fillId="0" borderId="51" xfId="1" applyFont="1" applyFill="1" applyBorder="1" applyAlignment="1">
      <alignment horizontal="right"/>
    </xf>
    <xf numFmtId="3" fontId="22" fillId="0" borderId="60" xfId="0" applyNumberFormat="1" applyFont="1" applyFill="1" applyBorder="1" applyAlignment="1">
      <alignment horizontal="center"/>
    </xf>
    <xf numFmtId="3" fontId="22" fillId="0" borderId="61" xfId="0" applyNumberFormat="1" applyFont="1" applyFill="1" applyBorder="1" applyAlignment="1">
      <alignment horizontal="right"/>
    </xf>
    <xf numFmtId="0" fontId="22" fillId="0" borderId="56" xfId="0" applyFont="1" applyFill="1" applyBorder="1" applyAlignment="1">
      <alignment horizontal="right"/>
    </xf>
    <xf numFmtId="166" fontId="22" fillId="0" borderId="56" xfId="0" applyNumberFormat="1" applyFont="1" applyFill="1" applyBorder="1" applyAlignment="1">
      <alignment horizontal="center"/>
    </xf>
    <xf numFmtId="9" fontId="22" fillId="0" borderId="57" xfId="1" applyFont="1" applyFill="1" applyBorder="1" applyAlignment="1">
      <alignment horizontal="right"/>
    </xf>
    <xf numFmtId="0" fontId="22" fillId="0" borderId="0" xfId="0" applyFont="1" applyFill="1" applyBorder="1" applyAlignment="1">
      <alignment horizontal="right"/>
    </xf>
    <xf numFmtId="165" fontId="22" fillId="0" borderId="0" xfId="0" applyNumberFormat="1" applyFont="1" applyFill="1" applyBorder="1" applyAlignment="1">
      <alignment horizontal="right"/>
    </xf>
    <xf numFmtId="0" fontId="22" fillId="0" borderId="61" xfId="0" applyFont="1" applyFill="1" applyBorder="1"/>
    <xf numFmtId="0" fontId="22" fillId="0" borderId="0" xfId="0" applyFont="1" applyFill="1" applyAlignment="1">
      <alignment horizontal="left"/>
    </xf>
    <xf numFmtId="0" fontId="22" fillId="0" borderId="0" xfId="0" applyFont="1" applyFill="1" applyAlignment="1">
      <alignment horizontal="center"/>
    </xf>
    <xf numFmtId="1" fontId="22" fillId="0" borderId="48" xfId="0" applyNumberFormat="1" applyFont="1" applyFill="1" applyBorder="1" applyAlignment="1">
      <alignment horizontal="right"/>
    </xf>
    <xf numFmtId="1" fontId="22" fillId="0" borderId="49" xfId="0" applyNumberFormat="1" applyFont="1" applyFill="1" applyBorder="1" applyAlignment="1">
      <alignment horizontal="right"/>
    </xf>
    <xf numFmtId="3" fontId="22" fillId="0" borderId="62" xfId="0" applyNumberFormat="1" applyFont="1" applyFill="1" applyBorder="1" applyAlignment="1">
      <alignment horizontal="right"/>
    </xf>
    <xf numFmtId="0" fontId="22" fillId="0" borderId="55" xfId="0" applyFont="1" applyFill="1" applyBorder="1" applyAlignment="1">
      <alignment horizontal="center"/>
    </xf>
    <xf numFmtId="0" fontId="22" fillId="0" borderId="62" xfId="0" applyFont="1" applyFill="1" applyBorder="1"/>
    <xf numFmtId="0" fontId="22" fillId="0" borderId="62" xfId="0" applyFont="1" applyFill="1" applyBorder="1" applyAlignment="1">
      <alignment horizontal="right"/>
    </xf>
    <xf numFmtId="166" fontId="22" fillId="0" borderId="55" xfId="0" applyNumberFormat="1" applyFont="1" applyFill="1" applyBorder="1" applyAlignment="1">
      <alignment horizontal="center"/>
    </xf>
    <xf numFmtId="1" fontId="22" fillId="0" borderId="51" xfId="0" applyNumberFormat="1" applyFont="1" applyFill="1" applyBorder="1" applyAlignment="1">
      <alignment horizontal="right"/>
    </xf>
    <xf numFmtId="1" fontId="22" fillId="0" borderId="0" xfId="0" applyNumberFormat="1" applyFont="1" applyFill="1" applyBorder="1" applyAlignment="1">
      <alignment horizontal="right"/>
    </xf>
    <xf numFmtId="0" fontId="22" fillId="0" borderId="0" xfId="0" applyFont="1" applyFill="1" applyBorder="1" applyAlignment="1"/>
    <xf numFmtId="0" fontId="22" fillId="0" borderId="0" xfId="0" applyFont="1" applyFill="1" applyAlignment="1"/>
    <xf numFmtId="0" fontId="22" fillId="0" borderId="52" xfId="0" applyFont="1" applyFill="1" applyBorder="1" applyAlignment="1"/>
    <xf numFmtId="166" fontId="22" fillId="0" borderId="0" xfId="0" applyNumberFormat="1" applyFont="1" applyFill="1" applyBorder="1" applyAlignment="1"/>
    <xf numFmtId="0" fontId="22" fillId="0" borderId="49" xfId="0" applyFont="1" applyFill="1" applyBorder="1"/>
    <xf numFmtId="1" fontId="22" fillId="0" borderId="57" xfId="0" applyNumberFormat="1" applyFont="1" applyFill="1" applyBorder="1" applyAlignment="1">
      <alignment horizontal="right"/>
    </xf>
    <xf numFmtId="1" fontId="22" fillId="0" borderId="61" xfId="0" applyNumberFormat="1" applyFont="1" applyFill="1" applyBorder="1" applyAlignment="1">
      <alignment horizontal="right"/>
    </xf>
    <xf numFmtId="3" fontId="22" fillId="0" borderId="57" xfId="0" applyNumberFormat="1" applyFont="1" applyFill="1" applyBorder="1" applyAlignment="1">
      <alignment horizontal="right"/>
    </xf>
    <xf numFmtId="0" fontId="22" fillId="0" borderId="56" xfId="0" applyFont="1" applyFill="1" applyBorder="1" applyAlignment="1">
      <alignment horizontal="center"/>
    </xf>
    <xf numFmtId="0" fontId="22" fillId="0" borderId="56" xfId="0" applyFont="1" applyFill="1" applyBorder="1"/>
    <xf numFmtId="0" fontId="47" fillId="0" borderId="0" xfId="0" applyFont="1" applyFill="1" applyBorder="1"/>
    <xf numFmtId="0" fontId="22" fillId="0" borderId="61" xfId="0" applyFont="1" applyFill="1" applyBorder="1" applyAlignment="1">
      <alignment horizontal="right"/>
    </xf>
    <xf numFmtId="3" fontId="22" fillId="0" borderId="48" xfId="0" applyNumberFormat="1" applyFont="1" applyFill="1" applyBorder="1" applyAlignment="1">
      <alignment horizontal="right"/>
    </xf>
    <xf numFmtId="3" fontId="22" fillId="0" borderId="49" xfId="0" applyNumberFormat="1" applyFont="1" applyFill="1" applyBorder="1" applyAlignment="1">
      <alignment horizontal="right"/>
    </xf>
    <xf numFmtId="3" fontId="22" fillId="0" borderId="51" xfId="0" applyNumberFormat="1" applyFont="1" applyFill="1" applyBorder="1" applyAlignment="1">
      <alignment horizontal="right"/>
    </xf>
    <xf numFmtId="2" fontId="22" fillId="0" borderId="0" xfId="0" applyNumberFormat="1" applyFont="1" applyFill="1" applyBorder="1" applyAlignment="1">
      <alignment horizontal="right"/>
    </xf>
    <xf numFmtId="166" fontId="22" fillId="0" borderId="55" xfId="0" applyNumberFormat="1" applyFont="1" applyFill="1" applyBorder="1" applyAlignment="1">
      <alignment horizontal="right"/>
    </xf>
    <xf numFmtId="166" fontId="22" fillId="0" borderId="0" xfId="0" applyNumberFormat="1" applyFont="1" applyFill="1" applyBorder="1"/>
    <xf numFmtId="0" fontId="46" fillId="0" borderId="0" xfId="0" applyFont="1" applyFill="1" applyBorder="1"/>
    <xf numFmtId="0" fontId="22" fillId="0" borderId="61" xfId="0" applyFont="1" applyFill="1" applyBorder="1" applyAlignment="1">
      <alignment horizontal="left"/>
    </xf>
    <xf numFmtId="0" fontId="22" fillId="0" borderId="49" xfId="0" applyFont="1" applyFill="1" applyBorder="1" applyAlignment="1">
      <alignment horizontal="right"/>
    </xf>
    <xf numFmtId="0" fontId="22" fillId="0" borderId="50" xfId="0" applyFont="1" applyFill="1" applyBorder="1"/>
    <xf numFmtId="9" fontId="22" fillId="0" borderId="57" xfId="0" applyNumberFormat="1" applyFont="1" applyFill="1" applyBorder="1" applyAlignment="1">
      <alignment horizontal="right"/>
    </xf>
    <xf numFmtId="9" fontId="22" fillId="0" borderId="61" xfId="0" applyNumberFormat="1" applyFont="1" applyFill="1" applyBorder="1" applyAlignment="1">
      <alignment horizontal="right"/>
    </xf>
    <xf numFmtId="3" fontId="22" fillId="0" borderId="62" xfId="0" applyNumberFormat="1" applyFont="1" applyFill="1" applyBorder="1"/>
    <xf numFmtId="166" fontId="22" fillId="0" borderId="56" xfId="0" applyNumberFormat="1" applyFont="1" applyFill="1" applyBorder="1"/>
    <xf numFmtId="3" fontId="22" fillId="0" borderId="54" xfId="0" applyNumberFormat="1" applyFont="1" applyFill="1" applyBorder="1"/>
    <xf numFmtId="0" fontId="22" fillId="0" borderId="55" xfId="0" applyFont="1" applyFill="1" applyBorder="1" applyAlignment="1">
      <alignment horizontal="left"/>
    </xf>
    <xf numFmtId="0" fontId="22" fillId="0" borderId="57" xfId="0" applyFont="1" applyBorder="1"/>
    <xf numFmtId="166" fontId="22" fillId="0" borderId="61" xfId="0" applyNumberFormat="1" applyFont="1" applyFill="1" applyBorder="1" applyAlignment="1">
      <alignment horizontal="left"/>
    </xf>
    <xf numFmtId="0" fontId="12" fillId="0" borderId="0" xfId="0" applyFont="1"/>
    <xf numFmtId="0" fontId="42" fillId="0" borderId="4" xfId="0" applyFont="1" applyBorder="1" applyAlignment="1">
      <alignment horizontal="center" vertical="center"/>
    </xf>
    <xf numFmtId="0" fontId="42" fillId="0" borderId="72" xfId="0" applyFont="1" applyBorder="1" applyAlignment="1">
      <alignment horizontal="center" vertical="center"/>
    </xf>
    <xf numFmtId="0" fontId="42" fillId="0" borderId="19" xfId="0" applyFont="1" applyBorder="1" applyAlignment="1">
      <alignment horizontal="center" vertical="center"/>
    </xf>
    <xf numFmtId="0" fontId="15" fillId="3" borderId="24" xfId="0" applyFont="1" applyFill="1" applyBorder="1" applyAlignment="1">
      <alignment horizontal="center" vertical="center"/>
    </xf>
    <xf numFmtId="0" fontId="15" fillId="3" borderId="22" xfId="0" applyFont="1" applyFill="1" applyBorder="1" applyAlignment="1">
      <alignment horizontal="center" vertical="center"/>
    </xf>
    <xf numFmtId="0" fontId="15" fillId="3" borderId="23"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18" xfId="0" applyFont="1" applyFill="1" applyBorder="1" applyAlignment="1">
      <alignment horizontal="center" vertical="center" wrapText="1"/>
    </xf>
    <xf numFmtId="0" fontId="12" fillId="4" borderId="30" xfId="0" applyFont="1" applyFill="1" applyBorder="1" applyAlignment="1">
      <alignment horizontal="center" vertical="center" wrapText="1"/>
    </xf>
    <xf numFmtId="0" fontId="12" fillId="0" borderId="4" xfId="0" applyFont="1" applyBorder="1" applyAlignment="1">
      <alignment horizontal="center" vertical="center"/>
    </xf>
    <xf numFmtId="9" fontId="15" fillId="3" borderId="37" xfId="1" applyFont="1" applyFill="1" applyBorder="1" applyAlignment="1">
      <alignment horizontal="center" vertical="center"/>
    </xf>
    <xf numFmtId="170" fontId="12" fillId="0" borderId="21" xfId="1" applyNumberFormat="1" applyFont="1" applyFill="1" applyBorder="1" applyAlignment="1">
      <alignment horizontal="right" vertical="center"/>
    </xf>
    <xf numFmtId="170" fontId="12" fillId="0" borderId="44" xfId="1" applyNumberFormat="1" applyFont="1" applyFill="1" applyBorder="1" applyAlignment="1">
      <alignment horizontal="right" vertical="center"/>
    </xf>
    <xf numFmtId="170" fontId="12" fillId="0" borderId="29" xfId="1" applyNumberFormat="1" applyFont="1" applyFill="1" applyBorder="1" applyAlignment="1">
      <alignment horizontal="right" vertical="center"/>
    </xf>
    <xf numFmtId="170" fontId="12" fillId="0" borderId="23" xfId="1" applyNumberFormat="1" applyFont="1" applyFill="1" applyBorder="1" applyAlignment="1">
      <alignment horizontal="right" vertical="center"/>
    </xf>
    <xf numFmtId="170" fontId="12" fillId="0" borderId="35" xfId="1" applyNumberFormat="1" applyFont="1" applyFill="1" applyBorder="1" applyAlignment="1">
      <alignment horizontal="right" vertical="center"/>
    </xf>
    <xf numFmtId="9" fontId="14" fillId="0" borderId="20" xfId="1" applyFont="1" applyBorder="1" applyAlignment="1">
      <alignment vertical="center"/>
    </xf>
    <xf numFmtId="0" fontId="12" fillId="2" borderId="30" xfId="0" applyFont="1" applyFill="1" applyBorder="1" applyAlignment="1">
      <alignment horizontal="center" vertical="center"/>
    </xf>
    <xf numFmtId="0" fontId="12" fillId="2" borderId="25" xfId="0" applyFont="1" applyFill="1" applyBorder="1" applyAlignment="1">
      <alignment horizontal="center" vertical="center"/>
    </xf>
    <xf numFmtId="0" fontId="12" fillId="4" borderId="30" xfId="0" applyFont="1" applyFill="1" applyBorder="1" applyAlignment="1">
      <alignment horizontal="center" vertical="center"/>
    </xf>
    <xf numFmtId="0" fontId="12" fillId="4" borderId="25" xfId="0" applyFont="1" applyFill="1" applyBorder="1" applyAlignment="1">
      <alignment horizontal="center" vertical="center"/>
    </xf>
    <xf numFmtId="0" fontId="12" fillId="0" borderId="1" xfId="0" applyFont="1" applyBorder="1" applyAlignment="1">
      <alignment horizontal="center" vertical="center" wrapText="1"/>
    </xf>
    <xf numFmtId="0" fontId="12" fillId="0" borderId="3" xfId="0" applyFont="1" applyBorder="1" applyAlignment="1">
      <alignment horizontal="center" vertical="center" wrapText="1"/>
    </xf>
    <xf numFmtId="0" fontId="12" fillId="0" borderId="4" xfId="0" applyFont="1" applyBorder="1" applyAlignment="1">
      <alignment horizontal="center" vertical="center" wrapText="1"/>
    </xf>
    <xf numFmtId="0" fontId="12" fillId="0" borderId="5"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8" xfId="0" applyFont="1" applyBorder="1" applyAlignment="1">
      <alignment horizontal="center" vertical="center" wrapText="1"/>
    </xf>
    <xf numFmtId="0" fontId="12" fillId="2" borderId="26" xfId="0" applyFont="1" applyFill="1" applyBorder="1" applyAlignment="1">
      <alignment horizontal="center" vertical="center"/>
    </xf>
    <xf numFmtId="168" fontId="12" fillId="0" borderId="0" xfId="0" applyNumberFormat="1" applyFont="1" applyBorder="1" applyAlignment="1">
      <alignment horizontal="right" vertical="center"/>
    </xf>
    <xf numFmtId="0" fontId="12" fillId="0" borderId="1" xfId="0" applyFont="1" applyFill="1" applyBorder="1" applyAlignment="1">
      <alignment horizontal="center" vertical="center" wrapText="1"/>
    </xf>
    <xf numFmtId="0" fontId="12" fillId="0" borderId="3" xfId="0" applyFont="1" applyFill="1" applyBorder="1" applyAlignment="1">
      <alignment horizontal="center" vertical="center" wrapText="1"/>
    </xf>
    <xf numFmtId="0" fontId="12" fillId="0" borderId="4"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8" xfId="0" applyFont="1" applyFill="1" applyBorder="1" applyAlignment="1">
      <alignment horizontal="center" vertical="center" wrapText="1"/>
    </xf>
    <xf numFmtId="0" fontId="12" fillId="0" borderId="31" xfId="0" applyFont="1" applyBorder="1" applyAlignment="1">
      <alignment horizontal="left" vertical="center"/>
    </xf>
    <xf numFmtId="0" fontId="12" fillId="0" borderId="11" xfId="0" applyFont="1" applyBorder="1" applyAlignment="1">
      <alignment horizontal="left" vertical="center"/>
    </xf>
    <xf numFmtId="0" fontId="12" fillId="0" borderId="33" xfId="0" applyFont="1" applyBorder="1" applyAlignment="1">
      <alignment horizontal="left" vertical="center"/>
    </xf>
    <xf numFmtId="0" fontId="12" fillId="0" borderId="34" xfId="0" applyFont="1" applyBorder="1" applyAlignment="1">
      <alignment horizontal="left" vertical="center"/>
    </xf>
    <xf numFmtId="0" fontId="12" fillId="4" borderId="27" xfId="0" applyFont="1" applyFill="1" applyBorder="1" applyAlignment="1">
      <alignment horizontal="center" vertical="center"/>
    </xf>
    <xf numFmtId="0" fontId="12" fillId="4" borderId="28" xfId="0" applyFont="1" applyFill="1" applyBorder="1" applyAlignment="1">
      <alignment horizontal="center" vertical="center"/>
    </xf>
    <xf numFmtId="0" fontId="12" fillId="4" borderId="29" xfId="0" applyFont="1" applyFill="1" applyBorder="1" applyAlignment="1">
      <alignment horizontal="center" vertical="center"/>
    </xf>
    <xf numFmtId="0" fontId="12" fillId="4" borderId="26" xfId="0" applyFont="1" applyFill="1" applyBorder="1" applyAlignment="1">
      <alignment horizontal="center" vertical="center"/>
    </xf>
    <xf numFmtId="0" fontId="12" fillId="4" borderId="32" xfId="0" applyFont="1" applyFill="1" applyBorder="1" applyAlignment="1">
      <alignment horizontal="center" vertical="center"/>
    </xf>
    <xf numFmtId="0" fontId="12" fillId="0" borderId="19" xfId="0" applyFont="1" applyFill="1" applyBorder="1" applyAlignment="1">
      <alignment horizontal="left" vertical="center"/>
    </xf>
    <xf numFmtId="0" fontId="12" fillId="0" borderId="64" xfId="0" applyFont="1" applyFill="1" applyBorder="1" applyAlignment="1">
      <alignment horizontal="left" vertical="center"/>
    </xf>
    <xf numFmtId="0" fontId="12" fillId="0" borderId="31" xfId="0" applyFont="1" applyFill="1" applyBorder="1" applyAlignment="1">
      <alignment horizontal="left" vertical="center"/>
    </xf>
    <xf numFmtId="0" fontId="12" fillId="0" borderId="11" xfId="0" applyFont="1" applyFill="1" applyBorder="1" applyAlignment="1">
      <alignment horizontal="left" vertical="center"/>
    </xf>
    <xf numFmtId="0" fontId="12" fillId="0" borderId="27" xfId="0" applyFont="1" applyFill="1" applyBorder="1" applyAlignment="1">
      <alignment horizontal="center" vertical="center"/>
    </xf>
    <xf numFmtId="0" fontId="12" fillId="0" borderId="28" xfId="0" applyFont="1" applyFill="1" applyBorder="1" applyAlignment="1">
      <alignment horizontal="center" vertical="center"/>
    </xf>
    <xf numFmtId="0" fontId="12" fillId="0" borderId="29" xfId="0" applyFont="1" applyFill="1" applyBorder="1" applyAlignment="1">
      <alignment horizontal="center" vertical="center"/>
    </xf>
    <xf numFmtId="170" fontId="12" fillId="2" borderId="30" xfId="0" applyNumberFormat="1" applyFont="1" applyFill="1" applyBorder="1" applyAlignment="1">
      <alignment horizontal="center" vertical="center"/>
    </xf>
    <xf numFmtId="170" fontId="12" fillId="2" borderId="25" xfId="0" applyNumberFormat="1" applyFont="1" applyFill="1" applyBorder="1" applyAlignment="1">
      <alignment horizontal="center" vertical="center"/>
    </xf>
    <xf numFmtId="168" fontId="12" fillId="0" borderId="0" xfId="0" applyNumberFormat="1" applyFont="1" applyAlignment="1">
      <alignment horizontal="center" vertical="center"/>
    </xf>
    <xf numFmtId="168" fontId="12" fillId="0" borderId="0" xfId="0" applyNumberFormat="1" applyFont="1" applyFill="1" applyBorder="1" applyAlignment="1">
      <alignment horizontal="center" vertical="center"/>
    </xf>
    <xf numFmtId="170" fontId="12" fillId="4" borderId="30" xfId="0" applyNumberFormat="1" applyFont="1" applyFill="1" applyBorder="1" applyAlignment="1">
      <alignment horizontal="center" vertical="center"/>
    </xf>
    <xf numFmtId="170" fontId="12" fillId="4" borderId="25" xfId="0" applyNumberFormat="1" applyFont="1" applyFill="1" applyBorder="1" applyAlignment="1">
      <alignment horizontal="center" vertical="center"/>
    </xf>
    <xf numFmtId="170" fontId="12" fillId="4" borderId="26" xfId="0" applyNumberFormat="1" applyFont="1" applyFill="1" applyBorder="1" applyAlignment="1">
      <alignment horizontal="center" vertical="center"/>
    </xf>
    <xf numFmtId="0" fontId="12" fillId="2" borderId="27"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29" xfId="0" applyFont="1" applyFill="1" applyBorder="1" applyAlignment="1">
      <alignment horizontal="center" vertical="center"/>
    </xf>
    <xf numFmtId="0" fontId="12" fillId="0" borderId="19" xfId="0" applyFont="1" applyBorder="1" applyAlignment="1">
      <alignment horizontal="left" vertical="center"/>
    </xf>
    <xf numFmtId="0" fontId="12" fillId="0" borderId="64" xfId="0" applyFont="1" applyBorder="1" applyAlignment="1">
      <alignment horizontal="left" vertical="center"/>
    </xf>
    <xf numFmtId="0" fontId="12" fillId="0" borderId="20" xfId="0" applyFont="1" applyFill="1" applyBorder="1" applyAlignment="1">
      <alignment horizontal="left" vertical="center"/>
    </xf>
    <xf numFmtId="0" fontId="12" fillId="0" borderId="18" xfId="0" applyFont="1" applyFill="1" applyBorder="1" applyAlignment="1">
      <alignment horizontal="left" vertical="center"/>
    </xf>
    <xf numFmtId="0" fontId="12" fillId="0" borderId="24" xfId="0" applyFont="1" applyFill="1" applyBorder="1" applyAlignment="1">
      <alignment horizontal="left" vertical="center"/>
    </xf>
    <xf numFmtId="0" fontId="12" fillId="0" borderId="22" xfId="0" applyFont="1" applyFill="1" applyBorder="1" applyAlignment="1">
      <alignment horizontal="left" vertical="center"/>
    </xf>
    <xf numFmtId="170" fontId="12" fillId="4" borderId="27" xfId="0" applyNumberFormat="1" applyFont="1" applyFill="1" applyBorder="1" applyAlignment="1">
      <alignment horizontal="center" vertical="center"/>
    </xf>
    <xf numFmtId="170" fontId="12" fillId="4" borderId="28" xfId="0" applyNumberFormat="1" applyFont="1" applyFill="1" applyBorder="1" applyAlignment="1">
      <alignment horizontal="center" vertical="center"/>
    </xf>
    <xf numFmtId="170" fontId="12" fillId="4" borderId="29" xfId="0" applyNumberFormat="1" applyFont="1" applyFill="1" applyBorder="1" applyAlignment="1">
      <alignment horizontal="center" vertical="center"/>
    </xf>
    <xf numFmtId="0" fontId="12" fillId="0" borderId="30" xfId="0" applyFont="1" applyFill="1" applyBorder="1" applyAlignment="1">
      <alignment horizontal="center" vertical="center"/>
    </xf>
    <xf numFmtId="0" fontId="12" fillId="0" borderId="32" xfId="0" applyFont="1" applyFill="1" applyBorder="1" applyAlignment="1">
      <alignment horizontal="center"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33" xfId="0" applyFont="1" applyFill="1" applyBorder="1" applyAlignment="1">
      <alignment horizontal="left" vertical="center"/>
    </xf>
    <xf numFmtId="0" fontId="12" fillId="0" borderId="34" xfId="0" applyFont="1" applyFill="1" applyBorder="1" applyAlignment="1">
      <alignment horizontal="left" vertical="center"/>
    </xf>
    <xf numFmtId="0" fontId="12" fillId="0" borderId="41" xfId="0" applyFont="1" applyFill="1" applyBorder="1" applyAlignment="1">
      <alignment horizontal="left" vertical="center"/>
    </xf>
    <xf numFmtId="0" fontId="12" fillId="0" borderId="42" xfId="0" applyFont="1" applyFill="1" applyBorder="1" applyAlignment="1">
      <alignment horizontal="left" vertical="center"/>
    </xf>
    <xf numFmtId="0" fontId="12" fillId="0" borderId="25" xfId="0" applyFont="1" applyFill="1" applyBorder="1" applyAlignment="1">
      <alignment horizontal="center"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2" fillId="0" borderId="38" xfId="0" applyFont="1" applyBorder="1" applyAlignment="1">
      <alignment horizontal="left" vertical="center"/>
    </xf>
    <xf numFmtId="0" fontId="12" fillId="0" borderId="39" xfId="0" applyFont="1" applyBorder="1" applyAlignment="1">
      <alignment horizontal="left" vertical="center"/>
    </xf>
    <xf numFmtId="0" fontId="12" fillId="0" borderId="27" xfId="0" applyFont="1" applyBorder="1" applyAlignment="1">
      <alignment horizontal="center" vertical="center"/>
    </xf>
    <xf numFmtId="0" fontId="12" fillId="0" borderId="28" xfId="0" applyFont="1" applyBorder="1" applyAlignment="1">
      <alignment horizontal="center" vertical="center"/>
    </xf>
    <xf numFmtId="0" fontId="12" fillId="0" borderId="45" xfId="0" applyFont="1" applyBorder="1" applyAlignment="1">
      <alignment horizontal="center" vertical="center"/>
    </xf>
    <xf numFmtId="0" fontId="12" fillId="4" borderId="45" xfId="0" applyFont="1" applyFill="1" applyBorder="1" applyAlignment="1">
      <alignment horizontal="center" vertical="center"/>
    </xf>
    <xf numFmtId="0" fontId="12" fillId="4" borderId="71" xfId="0" applyFont="1" applyFill="1" applyBorder="1" applyAlignment="1">
      <alignment horizontal="center" vertical="center" wrapText="1"/>
    </xf>
    <xf numFmtId="0" fontId="12" fillId="4" borderId="35" xfId="0" applyFont="1" applyFill="1" applyBorder="1" applyAlignment="1">
      <alignment horizontal="center" vertical="center" wrapText="1"/>
    </xf>
    <xf numFmtId="0" fontId="12" fillId="4" borderId="28" xfId="0" applyFont="1" applyFill="1" applyBorder="1" applyAlignment="1">
      <alignment horizontal="center" vertical="center" wrapText="1"/>
    </xf>
    <xf numFmtId="0" fontId="12" fillId="4" borderId="18" xfId="0" applyFont="1" applyFill="1" applyBorder="1" applyAlignment="1">
      <alignment horizontal="center" vertical="center" wrapText="1"/>
    </xf>
    <xf numFmtId="0" fontId="12" fillId="4" borderId="29" xfId="0" applyFont="1" applyFill="1" applyBorder="1" applyAlignment="1">
      <alignment horizontal="center" vertical="center" wrapText="1"/>
    </xf>
    <xf numFmtId="0" fontId="12" fillId="4" borderId="21" xfId="0" applyFont="1" applyFill="1" applyBorder="1" applyAlignment="1">
      <alignment horizontal="center" vertical="center" wrapText="1"/>
    </xf>
    <xf numFmtId="0" fontId="12" fillId="4" borderId="30" xfId="0" applyFont="1" applyFill="1" applyBorder="1" applyAlignment="1">
      <alignment horizontal="center" vertical="center" wrapText="1"/>
    </xf>
    <xf numFmtId="0" fontId="12" fillId="4" borderId="25" xfId="0" applyFont="1" applyFill="1" applyBorder="1" applyAlignment="1">
      <alignment horizontal="center" vertical="center" wrapText="1"/>
    </xf>
    <xf numFmtId="0" fontId="12" fillId="4" borderId="32" xfId="0" applyFont="1" applyFill="1" applyBorder="1" applyAlignment="1">
      <alignment horizontal="center" vertical="center" wrapText="1"/>
    </xf>
    <xf numFmtId="0" fontId="12" fillId="4" borderId="1" xfId="0" applyFont="1" applyFill="1" applyBorder="1" applyAlignment="1">
      <alignment horizontal="center" vertical="center"/>
    </xf>
    <xf numFmtId="0" fontId="12" fillId="4" borderId="2" xfId="0" applyFont="1" applyFill="1" applyBorder="1" applyAlignment="1">
      <alignment horizontal="center" vertical="center"/>
    </xf>
    <xf numFmtId="0" fontId="12" fillId="0" borderId="20" xfId="0" applyFont="1" applyBorder="1" applyAlignment="1">
      <alignment horizontal="center" vertical="center"/>
    </xf>
    <xf numFmtId="0" fontId="12" fillId="0" borderId="41" xfId="0" applyFont="1" applyBorder="1" applyAlignment="1">
      <alignment horizontal="center" vertical="center"/>
    </xf>
    <xf numFmtId="0" fontId="12" fillId="4" borderId="27" xfId="0" applyFont="1" applyFill="1" applyBorder="1" applyAlignment="1">
      <alignment horizontal="center" vertical="center" wrapText="1"/>
    </xf>
    <xf numFmtId="0" fontId="12" fillId="0" borderId="24" xfId="0" applyFont="1" applyBorder="1" applyAlignment="1">
      <alignment horizontal="center" vertical="center"/>
    </xf>
    <xf numFmtId="0" fontId="12" fillId="4" borderId="45" xfId="0" applyFont="1" applyFill="1" applyBorder="1" applyAlignment="1">
      <alignment horizontal="center" vertical="center" wrapText="1"/>
    </xf>
    <xf numFmtId="0" fontId="12" fillId="4" borderId="17" xfId="0" applyFont="1" applyFill="1" applyBorder="1" applyAlignment="1">
      <alignment horizontal="center" vertical="center"/>
    </xf>
    <xf numFmtId="0" fontId="12" fillId="4" borderId="35" xfId="0" applyFont="1" applyFill="1" applyBorder="1" applyAlignment="1">
      <alignment horizontal="center" vertical="center"/>
    </xf>
    <xf numFmtId="0" fontId="12" fillId="4" borderId="42" xfId="0" applyFont="1" applyFill="1" applyBorder="1" applyAlignment="1">
      <alignment horizontal="center" vertical="center"/>
    </xf>
    <xf numFmtId="0" fontId="12" fillId="4" borderId="10" xfId="0" applyFont="1" applyFill="1" applyBorder="1" applyAlignment="1">
      <alignment horizontal="center" vertical="center"/>
    </xf>
    <xf numFmtId="0" fontId="12" fillId="0" borderId="20" xfId="0" applyFont="1" applyFill="1" applyBorder="1" applyAlignment="1">
      <alignment vertical="center"/>
    </xf>
    <xf numFmtId="0" fontId="12" fillId="0" borderId="18" xfId="0" applyFont="1" applyFill="1" applyBorder="1" applyAlignment="1">
      <alignment vertical="center"/>
    </xf>
    <xf numFmtId="0" fontId="12" fillId="3" borderId="20" xfId="0" applyFont="1" applyFill="1" applyBorder="1" applyAlignment="1">
      <alignment vertical="center"/>
    </xf>
    <xf numFmtId="0" fontId="12" fillId="3" borderId="18" xfId="0" applyFont="1" applyFill="1" applyBorder="1" applyAlignment="1">
      <alignment vertical="center"/>
    </xf>
    <xf numFmtId="0" fontId="12" fillId="3" borderId="24" xfId="0" applyFont="1" applyFill="1" applyBorder="1" applyAlignment="1">
      <alignment vertical="center"/>
    </xf>
    <xf numFmtId="0" fontId="12" fillId="3" borderId="22" xfId="0" applyFont="1" applyFill="1" applyBorder="1" applyAlignment="1">
      <alignment vertical="center"/>
    </xf>
    <xf numFmtId="0" fontId="12" fillId="4" borderId="27" xfId="0" applyFont="1" applyFill="1" applyBorder="1" applyAlignment="1">
      <alignment horizontal="left" vertical="center"/>
    </xf>
    <xf numFmtId="0" fontId="12" fillId="4" borderId="28" xfId="0" applyFont="1" applyFill="1" applyBorder="1" applyAlignment="1">
      <alignment horizontal="left" vertical="center"/>
    </xf>
    <xf numFmtId="0" fontId="12" fillId="4" borderId="29" xfId="0" applyFont="1" applyFill="1" applyBorder="1" applyAlignment="1">
      <alignment horizontal="left" vertical="center"/>
    </xf>
    <xf numFmtId="0" fontId="12" fillId="8" borderId="31" xfId="0" applyFont="1" applyFill="1" applyBorder="1" applyAlignment="1">
      <alignment horizontal="left" vertical="center"/>
    </xf>
    <xf numFmtId="0" fontId="12" fillId="8" borderId="80" xfId="0" applyFont="1" applyFill="1" applyBorder="1" applyAlignment="1">
      <alignment horizontal="left" vertical="center"/>
    </xf>
    <xf numFmtId="0" fontId="12" fillId="8" borderId="11" xfId="0" applyFont="1" applyFill="1" applyBorder="1" applyAlignment="1">
      <alignment horizontal="left" vertical="center"/>
    </xf>
    <xf numFmtId="0" fontId="12" fillId="0" borderId="40" xfId="0" applyFont="1" applyFill="1" applyBorder="1" applyAlignment="1">
      <alignment horizontal="left" vertical="center"/>
    </xf>
    <xf numFmtId="0" fontId="12" fillId="0" borderId="75" xfId="0" applyFont="1" applyFill="1" applyBorder="1" applyAlignment="1">
      <alignment horizontal="left" vertical="center"/>
    </xf>
    <xf numFmtId="0" fontId="12" fillId="0" borderId="4" xfId="0" applyFont="1" applyBorder="1" applyAlignment="1">
      <alignment horizontal="center" vertical="center"/>
    </xf>
    <xf numFmtId="0" fontId="12" fillId="2" borderId="30" xfId="0" applyFont="1" applyFill="1" applyBorder="1" applyAlignment="1">
      <alignment horizontal="left" vertical="center"/>
    </xf>
    <xf numFmtId="0" fontId="12" fillId="2" borderId="32" xfId="0" applyFont="1" applyFill="1" applyBorder="1" applyAlignment="1">
      <alignment horizontal="left" vertical="center"/>
    </xf>
    <xf numFmtId="9" fontId="12" fillId="4" borderId="30" xfId="0" applyNumberFormat="1" applyFont="1" applyFill="1" applyBorder="1" applyAlignment="1">
      <alignment horizontal="center" vertical="center"/>
    </xf>
    <xf numFmtId="9" fontId="12" fillId="4" borderId="25" xfId="0" applyNumberFormat="1" applyFont="1" applyFill="1" applyBorder="1" applyAlignment="1">
      <alignment horizontal="center" vertical="center"/>
    </xf>
    <xf numFmtId="9" fontId="12" fillId="4" borderId="26" xfId="0" applyNumberFormat="1" applyFont="1" applyFill="1" applyBorder="1" applyAlignment="1">
      <alignment horizontal="center" vertical="center"/>
    </xf>
    <xf numFmtId="9" fontId="12" fillId="4" borderId="27" xfId="0" applyNumberFormat="1" applyFont="1" applyFill="1" applyBorder="1" applyAlignment="1">
      <alignment horizontal="center" vertical="center"/>
    </xf>
    <xf numFmtId="9" fontId="12" fillId="4" borderId="28" xfId="0" applyNumberFormat="1" applyFont="1" applyFill="1" applyBorder="1" applyAlignment="1">
      <alignment horizontal="center" vertical="center"/>
    </xf>
    <xf numFmtId="9" fontId="12" fillId="4" borderId="29" xfId="0" applyNumberFormat="1" applyFont="1" applyFill="1" applyBorder="1" applyAlignment="1">
      <alignment horizontal="center" vertical="center"/>
    </xf>
    <xf numFmtId="0" fontId="12" fillId="4" borderId="26" xfId="0" applyFont="1" applyFill="1" applyBorder="1" applyAlignment="1">
      <alignment horizontal="center" vertical="center" wrapText="1"/>
    </xf>
    <xf numFmtId="168" fontId="12" fillId="0" borderId="4" xfId="0" applyNumberFormat="1" applyFont="1" applyBorder="1" applyAlignment="1">
      <alignment horizontal="center" vertical="center"/>
    </xf>
    <xf numFmtId="9" fontId="12" fillId="4" borderId="20" xfId="0" applyNumberFormat="1" applyFont="1" applyFill="1" applyBorder="1" applyAlignment="1">
      <alignment horizontal="center" vertical="center"/>
    </xf>
    <xf numFmtId="9" fontId="12" fillId="4" borderId="18" xfId="0" applyNumberFormat="1" applyFont="1" applyFill="1" applyBorder="1" applyAlignment="1">
      <alignment horizontal="center" vertical="center"/>
    </xf>
    <xf numFmtId="9" fontId="12" fillId="4" borderId="21" xfId="0" applyNumberFormat="1" applyFont="1" applyFill="1" applyBorder="1" applyAlignment="1">
      <alignment horizontal="center" vertical="center"/>
    </xf>
    <xf numFmtId="9" fontId="12" fillId="2" borderId="30" xfId="0" applyNumberFormat="1" applyFont="1" applyFill="1" applyBorder="1" applyAlignment="1">
      <alignment horizontal="center" vertical="center"/>
    </xf>
    <xf numFmtId="9" fontId="12" fillId="2" borderId="25" xfId="0" applyNumberFormat="1" applyFont="1" applyFill="1" applyBorder="1" applyAlignment="1">
      <alignment horizontal="center" vertical="center"/>
    </xf>
    <xf numFmtId="9" fontId="12" fillId="2" borderId="32" xfId="0" applyNumberFormat="1" applyFont="1" applyFill="1" applyBorder="1" applyAlignment="1">
      <alignment horizontal="center" vertical="center"/>
    </xf>
    <xf numFmtId="168" fontId="20" fillId="0" borderId="74" xfId="0" applyNumberFormat="1" applyFont="1" applyBorder="1" applyAlignment="1">
      <alignment horizontal="center" vertical="center"/>
    </xf>
    <xf numFmtId="168" fontId="20" fillId="0" borderId="2" xfId="0" applyNumberFormat="1" applyFont="1" applyBorder="1" applyAlignment="1">
      <alignment horizontal="center" vertical="center"/>
    </xf>
    <xf numFmtId="0" fontId="12" fillId="6" borderId="30" xfId="0" applyFont="1" applyFill="1" applyBorder="1" applyAlignment="1">
      <alignment horizontal="center" vertical="center"/>
    </xf>
    <xf numFmtId="0" fontId="12" fillId="6" borderId="25" xfId="0" applyFont="1" applyFill="1" applyBorder="1" applyAlignment="1">
      <alignment horizontal="center" vertical="center"/>
    </xf>
    <xf numFmtId="0" fontId="12" fillId="6" borderId="32" xfId="0" applyFont="1" applyFill="1" applyBorder="1" applyAlignment="1">
      <alignment horizontal="center" vertical="center"/>
    </xf>
  </cellXfs>
  <cellStyles count="29">
    <cellStyle name="Normal" xfId="0" builtinId="0"/>
    <cellStyle name="Porcentaje" xfId="1" builtinId="5"/>
    <cellStyle name="Обычный 2" xfId="3"/>
    <cellStyle name="Обычный 2 2" xfId="5"/>
    <cellStyle name="Обычный 3" xfId="4"/>
    <cellStyle name="Обычный 3 2" xfId="9"/>
    <cellStyle name="Обычный 3 2 2" xfId="15"/>
    <cellStyle name="Обычный 3 2 2 2" xfId="26"/>
    <cellStyle name="Обычный 3 2 3" xfId="21"/>
    <cellStyle name="Обычный 3 3" xfId="12"/>
    <cellStyle name="Обычный 3 4" xfId="13"/>
    <cellStyle name="Обычный 3 4 2" xfId="24"/>
    <cellStyle name="Обычный 3 5" xfId="19"/>
    <cellStyle name="Обычный 4" xfId="7"/>
    <cellStyle name="Обычный 4 2" xfId="10"/>
    <cellStyle name="Обычный 4 2 2" xfId="16"/>
    <cellStyle name="Обычный 4 2 2 2" xfId="27"/>
    <cellStyle name="Обычный 4 2 3" xfId="22"/>
    <cellStyle name="Обычный 4 3" xfId="14"/>
    <cellStyle name="Обычный 4 3 2" xfId="25"/>
    <cellStyle name="Обычный 4 4" xfId="20"/>
    <cellStyle name="Обычный 5" xfId="11"/>
    <cellStyle name="Обычный 5 2" xfId="18"/>
    <cellStyle name="Обычный 5 2 2" xfId="28"/>
    <cellStyle name="Обычный 5 3" xfId="23"/>
    <cellStyle name="Процентный 2" xfId="2"/>
    <cellStyle name="Процентный 2 2" xfId="6"/>
    <cellStyle name="Финансовый 2" xfId="8"/>
    <cellStyle name="Финансовый 3" xfId="17"/>
  </cellStyles>
  <dxfs count="58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('1'!$V$2,'1'!$V$7,'1'!$V$12,'1'!$V$17,'1'!$V$22,'1'!$V$27,'1'!$V$32,'1'!$V$37,'1'!$V$42,'1'!$V$47)</c:f>
              <c:numCache>
                <c:formatCode>#,##0_ ;[Red]\-#,##0\ </c:formatCode>
                <c:ptCount val="10"/>
                <c:pt idx="0">
                  <c:v>0</c:v>
                </c:pt>
                <c:pt idx="1">
                  <c:v>592</c:v>
                </c:pt>
                <c:pt idx="2">
                  <c:v>1367</c:v>
                </c:pt>
                <c:pt idx="3">
                  <c:v>1112</c:v>
                </c:pt>
                <c:pt idx="4">
                  <c:v>1016</c:v>
                </c:pt>
                <c:pt idx="5">
                  <c:v>970</c:v>
                </c:pt>
                <c:pt idx="6">
                  <c:v>1178</c:v>
                </c:pt>
                <c:pt idx="7">
                  <c:v>1093</c:v>
                </c:pt>
                <c:pt idx="8">
                  <c:v>0</c:v>
                </c:pt>
                <c:pt idx="9">
                  <c:v>0</c:v>
                </c:pt>
              </c:numCache>
            </c:numRef>
          </c:val>
          <c:smooth val="0"/>
          <c:extLst>
            <c:ext xmlns:c16="http://schemas.microsoft.com/office/drawing/2014/chart" uri="{C3380CC4-5D6E-409C-BE32-E72D297353CC}">
              <c16:uniqueId val="{00000000-7D40-40F5-A815-7FCC1EDC5ABE}"/>
            </c:ext>
          </c:extLst>
        </c:ser>
        <c:ser>
          <c:idx val="1"/>
          <c:order val="1"/>
          <c:marker>
            <c:symbol val="none"/>
          </c:marker>
          <c:val>
            <c:numRef>
              <c:f>('1'!$W$2,'1'!$W$7,'1'!$W$12,'1'!$W$17,'1'!$W$22,'1'!$W$27,'1'!$W$32,'1'!$W$37,'1'!$W$42,'1'!$W$47)</c:f>
              <c:numCache>
                <c:formatCode>#,##0_ ;[Red]\-#,##0\ </c:formatCode>
                <c:ptCount val="10"/>
                <c:pt idx="0">
                  <c:v>0</c:v>
                </c:pt>
                <c:pt idx="1">
                  <c:v>363</c:v>
                </c:pt>
                <c:pt idx="2">
                  <c:v>772</c:v>
                </c:pt>
                <c:pt idx="3">
                  <c:v>686</c:v>
                </c:pt>
                <c:pt idx="4">
                  <c:v>670</c:v>
                </c:pt>
                <c:pt idx="5">
                  <c:v>663</c:v>
                </c:pt>
                <c:pt idx="6">
                  <c:v>717</c:v>
                </c:pt>
                <c:pt idx="7">
                  <c:v>701</c:v>
                </c:pt>
                <c:pt idx="8">
                  <c:v>0</c:v>
                </c:pt>
                <c:pt idx="9">
                  <c:v>0</c:v>
                </c:pt>
              </c:numCache>
            </c:numRef>
          </c:val>
          <c:smooth val="0"/>
          <c:extLst>
            <c:ext xmlns:c16="http://schemas.microsoft.com/office/drawing/2014/chart" uri="{C3380CC4-5D6E-409C-BE32-E72D297353CC}">
              <c16:uniqueId val="{00000001-7D40-40F5-A815-7FCC1EDC5ABE}"/>
            </c:ext>
          </c:extLst>
        </c:ser>
        <c:ser>
          <c:idx val="2"/>
          <c:order val="2"/>
          <c:marker>
            <c:symbol val="none"/>
          </c:marker>
          <c:val>
            <c:numRef>
              <c:f>('1'!$X$2,'1'!$X$7,'1'!$X$12,'1'!$X$17,'1'!$X$22,'1'!$X$27,'1'!$X$32,'1'!$X$37,'1'!$X$42,'1'!$X$47)</c:f>
              <c:numCache>
                <c:formatCode>#,##0_ ;[Red]\-#,##0\ </c:formatCode>
                <c:ptCount val="10"/>
                <c:pt idx="0">
                  <c:v>0</c:v>
                </c:pt>
                <c:pt idx="1">
                  <c:v>220</c:v>
                </c:pt>
                <c:pt idx="2">
                  <c:v>437</c:v>
                </c:pt>
                <c:pt idx="3">
                  <c:v>381</c:v>
                </c:pt>
                <c:pt idx="4">
                  <c:v>396</c:v>
                </c:pt>
                <c:pt idx="5">
                  <c:v>399</c:v>
                </c:pt>
                <c:pt idx="6">
                  <c:v>392</c:v>
                </c:pt>
                <c:pt idx="7">
                  <c:v>363</c:v>
                </c:pt>
                <c:pt idx="8">
                  <c:v>0</c:v>
                </c:pt>
                <c:pt idx="9">
                  <c:v>0</c:v>
                </c:pt>
              </c:numCache>
            </c:numRef>
          </c:val>
          <c:smooth val="0"/>
          <c:extLst>
            <c:ext xmlns:c16="http://schemas.microsoft.com/office/drawing/2014/chart" uri="{C3380CC4-5D6E-409C-BE32-E72D297353CC}">
              <c16:uniqueId val="{00000002-7D40-40F5-A815-7FCC1EDC5ABE}"/>
            </c:ext>
          </c:extLst>
        </c:ser>
        <c:dLbls>
          <c:showLegendKey val="0"/>
          <c:showVal val="0"/>
          <c:showCatName val="0"/>
          <c:showSerName val="0"/>
          <c:showPercent val="0"/>
          <c:showBubbleSize val="0"/>
        </c:dLbls>
        <c:smooth val="0"/>
        <c:axId val="196679984"/>
        <c:axId val="196680544"/>
      </c:lineChart>
      <c:catAx>
        <c:axId val="196679984"/>
        <c:scaling>
          <c:orientation val="minMax"/>
        </c:scaling>
        <c:delete val="0"/>
        <c:axPos val="b"/>
        <c:majorTickMark val="out"/>
        <c:minorTickMark val="none"/>
        <c:tickLblPos val="nextTo"/>
        <c:crossAx val="196680544"/>
        <c:crosses val="autoZero"/>
        <c:auto val="1"/>
        <c:lblAlgn val="ctr"/>
        <c:lblOffset val="100"/>
        <c:noMultiLvlLbl val="0"/>
      </c:catAx>
      <c:valAx>
        <c:axId val="196680544"/>
        <c:scaling>
          <c:orientation val="minMax"/>
        </c:scaling>
        <c:delete val="0"/>
        <c:axPos val="l"/>
        <c:majorGridlines/>
        <c:numFmt formatCode="#,##0_ ;[Red]\-#,##0\ " sourceLinked="1"/>
        <c:majorTickMark val="out"/>
        <c:minorTickMark val="none"/>
        <c:tickLblPos val="nextTo"/>
        <c:crossAx val="196679984"/>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('1'!$V$3,'1'!$V$8,'1'!$V$13,'1'!$V$18,'1'!$V$23,'1'!$V$28,'1'!$V$33,'1'!$V$38,'1'!$V$43,'1'!$V$48)</c:f>
              <c:numCache>
                <c:formatCode>#,##0_ ;[Red]\-#,##0\ </c:formatCode>
                <c:ptCount val="10"/>
                <c:pt idx="0">
                  <c:v>0</c:v>
                </c:pt>
                <c:pt idx="1">
                  <c:v>0</c:v>
                </c:pt>
                <c:pt idx="2">
                  <c:v>0</c:v>
                </c:pt>
                <c:pt idx="3">
                  <c:v>172</c:v>
                </c:pt>
                <c:pt idx="4">
                  <c:v>122</c:v>
                </c:pt>
                <c:pt idx="5">
                  <c:v>155</c:v>
                </c:pt>
                <c:pt idx="6">
                  <c:v>113</c:v>
                </c:pt>
                <c:pt idx="7">
                  <c:v>595</c:v>
                </c:pt>
                <c:pt idx="8">
                  <c:v>0</c:v>
                </c:pt>
                <c:pt idx="9">
                  <c:v>0</c:v>
                </c:pt>
              </c:numCache>
            </c:numRef>
          </c:val>
          <c:smooth val="0"/>
          <c:extLst>
            <c:ext xmlns:c16="http://schemas.microsoft.com/office/drawing/2014/chart" uri="{C3380CC4-5D6E-409C-BE32-E72D297353CC}">
              <c16:uniqueId val="{00000000-2756-4696-921C-D4960709E841}"/>
            </c:ext>
          </c:extLst>
        </c:ser>
        <c:ser>
          <c:idx val="1"/>
          <c:order val="1"/>
          <c:marker>
            <c:symbol val="none"/>
          </c:marker>
          <c:val>
            <c:numRef>
              <c:f>('1'!$W$3,'1'!$W$8,'1'!$W$13,'1'!$W$18,'1'!$W$23,'1'!$W$28,'1'!$W$33,'1'!$W$38,'1'!$W$43,'1'!$W$48)</c:f>
              <c:numCache>
                <c:formatCode>#,##0_ ;[Red]\-#,##0\ </c:formatCode>
                <c:ptCount val="10"/>
                <c:pt idx="0">
                  <c:v>0</c:v>
                </c:pt>
                <c:pt idx="1">
                  <c:v>0</c:v>
                </c:pt>
                <c:pt idx="2">
                  <c:v>0</c:v>
                </c:pt>
                <c:pt idx="3">
                  <c:v>123</c:v>
                </c:pt>
                <c:pt idx="4">
                  <c:v>120</c:v>
                </c:pt>
                <c:pt idx="5">
                  <c:v>152</c:v>
                </c:pt>
                <c:pt idx="6">
                  <c:v>126</c:v>
                </c:pt>
                <c:pt idx="7">
                  <c:v>362</c:v>
                </c:pt>
                <c:pt idx="8">
                  <c:v>0</c:v>
                </c:pt>
                <c:pt idx="9">
                  <c:v>0</c:v>
                </c:pt>
              </c:numCache>
            </c:numRef>
          </c:val>
          <c:smooth val="0"/>
          <c:extLst>
            <c:ext xmlns:c16="http://schemas.microsoft.com/office/drawing/2014/chart" uri="{C3380CC4-5D6E-409C-BE32-E72D297353CC}">
              <c16:uniqueId val="{00000001-2756-4696-921C-D4960709E841}"/>
            </c:ext>
          </c:extLst>
        </c:ser>
        <c:ser>
          <c:idx val="2"/>
          <c:order val="2"/>
          <c:marker>
            <c:symbol val="none"/>
          </c:marker>
          <c:val>
            <c:numRef>
              <c:f>('1'!$X$3,'1'!$X$8,'1'!$X$13,'1'!$X$18,'1'!$X$23,'1'!$X$28,'1'!$X$33,'1'!$X$38,'1'!$X$43,'1'!$X$48)</c:f>
              <c:numCache>
                <c:formatCode>#,##0_ ;[Red]\-#,##0\ </c:formatCode>
                <c:ptCount val="10"/>
                <c:pt idx="0">
                  <c:v>0</c:v>
                </c:pt>
                <c:pt idx="1">
                  <c:v>0</c:v>
                </c:pt>
                <c:pt idx="2">
                  <c:v>0</c:v>
                </c:pt>
                <c:pt idx="3">
                  <c:v>69</c:v>
                </c:pt>
                <c:pt idx="4">
                  <c:v>63</c:v>
                </c:pt>
                <c:pt idx="5">
                  <c:v>77</c:v>
                </c:pt>
                <c:pt idx="6">
                  <c:v>63</c:v>
                </c:pt>
                <c:pt idx="7">
                  <c:v>190</c:v>
                </c:pt>
                <c:pt idx="8">
                  <c:v>0</c:v>
                </c:pt>
                <c:pt idx="9">
                  <c:v>0</c:v>
                </c:pt>
              </c:numCache>
            </c:numRef>
          </c:val>
          <c:smooth val="0"/>
          <c:extLst>
            <c:ext xmlns:c16="http://schemas.microsoft.com/office/drawing/2014/chart" uri="{C3380CC4-5D6E-409C-BE32-E72D297353CC}">
              <c16:uniqueId val="{00000002-2756-4696-921C-D4960709E841}"/>
            </c:ext>
          </c:extLst>
        </c:ser>
        <c:dLbls>
          <c:showLegendKey val="0"/>
          <c:showVal val="0"/>
          <c:showCatName val="0"/>
          <c:showSerName val="0"/>
          <c:showPercent val="0"/>
          <c:showBubbleSize val="0"/>
        </c:dLbls>
        <c:smooth val="0"/>
        <c:axId val="196683904"/>
        <c:axId val="196684464"/>
      </c:lineChart>
      <c:catAx>
        <c:axId val="196683904"/>
        <c:scaling>
          <c:orientation val="minMax"/>
        </c:scaling>
        <c:delete val="0"/>
        <c:axPos val="b"/>
        <c:majorTickMark val="out"/>
        <c:minorTickMark val="none"/>
        <c:tickLblPos val="nextTo"/>
        <c:crossAx val="196684464"/>
        <c:crosses val="autoZero"/>
        <c:auto val="1"/>
        <c:lblAlgn val="ctr"/>
        <c:lblOffset val="100"/>
        <c:noMultiLvlLbl val="0"/>
      </c:catAx>
      <c:valAx>
        <c:axId val="196684464"/>
        <c:scaling>
          <c:orientation val="minMax"/>
        </c:scaling>
        <c:delete val="0"/>
        <c:axPos val="l"/>
        <c:majorGridlines/>
        <c:numFmt formatCode="#,##0_ ;[Red]\-#,##0\ " sourceLinked="1"/>
        <c:majorTickMark val="out"/>
        <c:minorTickMark val="none"/>
        <c:tickLblPos val="nextTo"/>
        <c:crossAx val="19668390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('1'!$V$4,'1'!$V$9,'1'!$V$14,'1'!$V$19,'1'!$V$24,'1'!$V$29,'1'!$V$34,'1'!$V$39,'1'!$V$44,'1'!$V$49)</c:f>
              <c:numCache>
                <c:formatCode>#,##0_ ;[Red]\-#,##0\ </c:formatCode>
                <c:ptCount val="10"/>
                <c:pt idx="0">
                  <c:v>0</c:v>
                </c:pt>
                <c:pt idx="1">
                  <c:v>0</c:v>
                </c:pt>
                <c:pt idx="2">
                  <c:v>0</c:v>
                </c:pt>
                <c:pt idx="3">
                  <c:v>0</c:v>
                </c:pt>
                <c:pt idx="4">
                  <c:v>243</c:v>
                </c:pt>
                <c:pt idx="5">
                  <c:v>464</c:v>
                </c:pt>
                <c:pt idx="6">
                  <c:v>584</c:v>
                </c:pt>
                <c:pt idx="7">
                  <c:v>928</c:v>
                </c:pt>
                <c:pt idx="8">
                  <c:v>0</c:v>
                </c:pt>
                <c:pt idx="9">
                  <c:v>0</c:v>
                </c:pt>
              </c:numCache>
            </c:numRef>
          </c:val>
          <c:smooth val="0"/>
          <c:extLst>
            <c:ext xmlns:c16="http://schemas.microsoft.com/office/drawing/2014/chart" uri="{C3380CC4-5D6E-409C-BE32-E72D297353CC}">
              <c16:uniqueId val="{00000000-D7A2-4B71-982E-37AA01FDEA4D}"/>
            </c:ext>
          </c:extLst>
        </c:ser>
        <c:ser>
          <c:idx val="1"/>
          <c:order val="1"/>
          <c:marker>
            <c:symbol val="none"/>
          </c:marker>
          <c:val>
            <c:numRef>
              <c:f>('1'!$W$4,'1'!$W$9,'1'!$W$14,'1'!$W$19,'1'!$W$24,'1'!$W$29,'1'!$W$34,'1'!$W$39,'1'!$W$44,'1'!$W$49)</c:f>
              <c:numCache>
                <c:formatCode>#,##0_ ;[Red]\-#,##0\ </c:formatCode>
                <c:ptCount val="10"/>
                <c:pt idx="0">
                  <c:v>0</c:v>
                </c:pt>
                <c:pt idx="1">
                  <c:v>0</c:v>
                </c:pt>
                <c:pt idx="2">
                  <c:v>0</c:v>
                </c:pt>
                <c:pt idx="3">
                  <c:v>0</c:v>
                </c:pt>
                <c:pt idx="4">
                  <c:v>167</c:v>
                </c:pt>
                <c:pt idx="5">
                  <c:v>318</c:v>
                </c:pt>
                <c:pt idx="6">
                  <c:v>395</c:v>
                </c:pt>
                <c:pt idx="7">
                  <c:v>479</c:v>
                </c:pt>
                <c:pt idx="8">
                  <c:v>0</c:v>
                </c:pt>
                <c:pt idx="9">
                  <c:v>0</c:v>
                </c:pt>
              </c:numCache>
            </c:numRef>
          </c:val>
          <c:smooth val="0"/>
          <c:extLst>
            <c:ext xmlns:c16="http://schemas.microsoft.com/office/drawing/2014/chart" uri="{C3380CC4-5D6E-409C-BE32-E72D297353CC}">
              <c16:uniqueId val="{00000001-D7A2-4B71-982E-37AA01FDEA4D}"/>
            </c:ext>
          </c:extLst>
        </c:ser>
        <c:ser>
          <c:idx val="2"/>
          <c:order val="2"/>
          <c:marker>
            <c:symbol val="none"/>
          </c:marker>
          <c:val>
            <c:numRef>
              <c:f>('1'!$X$4,'1'!$X$9,'1'!$X$14,'1'!$X$19,'1'!$X$24,'1'!$X$29,'1'!$X$34,'1'!$X$39,'1'!$X$44,'1'!$X$49)</c:f>
              <c:numCache>
                <c:formatCode>#,##0_ ;[Red]\-#,##0\ </c:formatCode>
                <c:ptCount val="10"/>
                <c:pt idx="0">
                  <c:v>0</c:v>
                </c:pt>
                <c:pt idx="1">
                  <c:v>0</c:v>
                </c:pt>
                <c:pt idx="2">
                  <c:v>0</c:v>
                </c:pt>
                <c:pt idx="3">
                  <c:v>0</c:v>
                </c:pt>
                <c:pt idx="4">
                  <c:v>95</c:v>
                </c:pt>
                <c:pt idx="5">
                  <c:v>178</c:v>
                </c:pt>
                <c:pt idx="6">
                  <c:v>234</c:v>
                </c:pt>
                <c:pt idx="7">
                  <c:v>254</c:v>
                </c:pt>
                <c:pt idx="8">
                  <c:v>0</c:v>
                </c:pt>
                <c:pt idx="9">
                  <c:v>0</c:v>
                </c:pt>
              </c:numCache>
            </c:numRef>
          </c:val>
          <c:smooth val="0"/>
          <c:extLst>
            <c:ext xmlns:c16="http://schemas.microsoft.com/office/drawing/2014/chart" uri="{C3380CC4-5D6E-409C-BE32-E72D297353CC}">
              <c16:uniqueId val="{00000002-D7A2-4B71-982E-37AA01FDEA4D}"/>
            </c:ext>
          </c:extLst>
        </c:ser>
        <c:dLbls>
          <c:showLegendKey val="0"/>
          <c:showVal val="0"/>
          <c:showCatName val="0"/>
          <c:showSerName val="0"/>
          <c:showPercent val="0"/>
          <c:showBubbleSize val="0"/>
        </c:dLbls>
        <c:smooth val="0"/>
        <c:axId val="197189584"/>
        <c:axId val="197190144"/>
      </c:lineChart>
      <c:catAx>
        <c:axId val="197189584"/>
        <c:scaling>
          <c:orientation val="minMax"/>
        </c:scaling>
        <c:delete val="0"/>
        <c:axPos val="b"/>
        <c:majorTickMark val="out"/>
        <c:minorTickMark val="none"/>
        <c:tickLblPos val="nextTo"/>
        <c:crossAx val="197190144"/>
        <c:crosses val="autoZero"/>
        <c:auto val="1"/>
        <c:lblAlgn val="ctr"/>
        <c:lblOffset val="100"/>
        <c:noMultiLvlLbl val="0"/>
      </c:catAx>
      <c:valAx>
        <c:axId val="197190144"/>
        <c:scaling>
          <c:orientation val="minMax"/>
        </c:scaling>
        <c:delete val="0"/>
        <c:axPos val="l"/>
        <c:majorGridlines/>
        <c:numFmt formatCode="#,##0_ ;[Red]\-#,##0\ " sourceLinked="1"/>
        <c:majorTickMark val="out"/>
        <c:minorTickMark val="none"/>
        <c:tickLblPos val="nextTo"/>
        <c:crossAx val="19718958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('1'!$Y$1,'1'!$Y$6,'1'!$Y$11,'1'!$Y$16,'1'!$Y$21,'1'!$Y$26,'1'!$Y$31,'1'!$Y$36,'1'!$Y$41,'1'!$Y$46)</c:f>
              <c:numCache>
                <c:formatCode>#,##0_ ;[Red]\-#,##0\ </c:formatCode>
                <c:ptCount val="10"/>
                <c:pt idx="0">
                  <c:v>0</c:v>
                </c:pt>
                <c:pt idx="1">
                  <c:v>1175</c:v>
                </c:pt>
                <c:pt idx="2">
                  <c:v>2576</c:v>
                </c:pt>
                <c:pt idx="3">
                  <c:v>2543</c:v>
                </c:pt>
                <c:pt idx="4">
                  <c:v>2892</c:v>
                </c:pt>
                <c:pt idx="5">
                  <c:v>3376</c:v>
                </c:pt>
                <c:pt idx="6">
                  <c:v>3802</c:v>
                </c:pt>
                <c:pt idx="7">
                  <c:v>4965</c:v>
                </c:pt>
                <c:pt idx="8">
                  <c:v>0</c:v>
                </c:pt>
                <c:pt idx="9">
                  <c:v>0</c:v>
                </c:pt>
              </c:numCache>
            </c:numRef>
          </c:val>
          <c:smooth val="0"/>
          <c:extLst>
            <c:ext xmlns:c16="http://schemas.microsoft.com/office/drawing/2014/chart" uri="{C3380CC4-5D6E-409C-BE32-E72D297353CC}">
              <c16:uniqueId val="{00000000-16AF-4B57-AFEB-FF933280CCDD}"/>
            </c:ext>
          </c:extLst>
        </c:ser>
        <c:dLbls>
          <c:showLegendKey val="0"/>
          <c:showVal val="0"/>
          <c:showCatName val="0"/>
          <c:showSerName val="0"/>
          <c:showPercent val="0"/>
          <c:showBubbleSize val="0"/>
        </c:dLbls>
        <c:smooth val="0"/>
        <c:axId val="197192384"/>
        <c:axId val="197192944"/>
      </c:lineChart>
      <c:catAx>
        <c:axId val="197192384"/>
        <c:scaling>
          <c:orientation val="minMax"/>
        </c:scaling>
        <c:delete val="0"/>
        <c:axPos val="b"/>
        <c:majorTickMark val="out"/>
        <c:minorTickMark val="none"/>
        <c:tickLblPos val="nextTo"/>
        <c:crossAx val="197192944"/>
        <c:crosses val="autoZero"/>
        <c:auto val="1"/>
        <c:lblAlgn val="ctr"/>
        <c:lblOffset val="100"/>
        <c:noMultiLvlLbl val="0"/>
      </c:catAx>
      <c:valAx>
        <c:axId val="197192944"/>
        <c:scaling>
          <c:orientation val="minMax"/>
        </c:scaling>
        <c:delete val="0"/>
        <c:axPos val="l"/>
        <c:majorGridlines/>
        <c:numFmt formatCode="#,##0_ ;[Red]\-#,##0\ " sourceLinked="1"/>
        <c:majorTickMark val="out"/>
        <c:minorTickMark val="none"/>
        <c:tickLblPos val="nextTo"/>
        <c:crossAx val="197192384"/>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('2'!$V$2,'2'!$V$7,'2'!$V$12,'2'!$V$17,'2'!$V$22,'2'!$V$27,'2'!$V$32,'2'!$V$37,'2'!$V$42,'2'!$V$47)</c:f>
              <c:numCache>
                <c:formatCode>#,##0_ ;[Red]\-#,##0\ </c:formatCode>
                <c:ptCount val="10"/>
                <c:pt idx="0">
                  <c:v>0</c:v>
                </c:pt>
                <c:pt idx="1">
                  <c:v>592</c:v>
                </c:pt>
                <c:pt idx="2">
                  <c:v>1367</c:v>
                </c:pt>
                <c:pt idx="3">
                  <c:v>1112</c:v>
                </c:pt>
                <c:pt idx="4">
                  <c:v>1016</c:v>
                </c:pt>
                <c:pt idx="5">
                  <c:v>970</c:v>
                </c:pt>
                <c:pt idx="6">
                  <c:v>1178</c:v>
                </c:pt>
                <c:pt idx="7">
                  <c:v>1093</c:v>
                </c:pt>
                <c:pt idx="8">
                  <c:v>0</c:v>
                </c:pt>
                <c:pt idx="9">
                  <c:v>0</c:v>
                </c:pt>
              </c:numCache>
            </c:numRef>
          </c:val>
          <c:smooth val="0"/>
          <c:extLst>
            <c:ext xmlns:c16="http://schemas.microsoft.com/office/drawing/2014/chart" uri="{C3380CC4-5D6E-409C-BE32-E72D297353CC}">
              <c16:uniqueId val="{00000000-F752-4B4D-A0C6-80D3E794905F}"/>
            </c:ext>
          </c:extLst>
        </c:ser>
        <c:ser>
          <c:idx val="1"/>
          <c:order val="1"/>
          <c:marker>
            <c:symbol val="none"/>
          </c:marker>
          <c:val>
            <c:numRef>
              <c:f>('2'!$W$2,'2'!$W$7,'2'!$W$12,'2'!$W$17,'2'!$W$22,'2'!$W$27,'2'!$W$32,'2'!$W$37,'2'!$W$42,'2'!$W$47)</c:f>
              <c:numCache>
                <c:formatCode>#,##0_ ;[Red]\-#,##0\ </c:formatCode>
                <c:ptCount val="10"/>
                <c:pt idx="0">
                  <c:v>0</c:v>
                </c:pt>
                <c:pt idx="1">
                  <c:v>363</c:v>
                </c:pt>
                <c:pt idx="2">
                  <c:v>772</c:v>
                </c:pt>
                <c:pt idx="3">
                  <c:v>686</c:v>
                </c:pt>
                <c:pt idx="4">
                  <c:v>670</c:v>
                </c:pt>
                <c:pt idx="5">
                  <c:v>663</c:v>
                </c:pt>
                <c:pt idx="6">
                  <c:v>717</c:v>
                </c:pt>
                <c:pt idx="7">
                  <c:v>701</c:v>
                </c:pt>
                <c:pt idx="8">
                  <c:v>0</c:v>
                </c:pt>
                <c:pt idx="9">
                  <c:v>0</c:v>
                </c:pt>
              </c:numCache>
            </c:numRef>
          </c:val>
          <c:smooth val="0"/>
          <c:extLst>
            <c:ext xmlns:c16="http://schemas.microsoft.com/office/drawing/2014/chart" uri="{C3380CC4-5D6E-409C-BE32-E72D297353CC}">
              <c16:uniqueId val="{00000001-F752-4B4D-A0C6-80D3E794905F}"/>
            </c:ext>
          </c:extLst>
        </c:ser>
        <c:ser>
          <c:idx val="2"/>
          <c:order val="2"/>
          <c:marker>
            <c:symbol val="none"/>
          </c:marker>
          <c:val>
            <c:numRef>
              <c:f>('2'!$X$2,'2'!$X$7,'2'!$X$12,'2'!$X$17,'2'!$X$22,'2'!$X$27,'2'!$X$32,'2'!$X$37,'2'!$X$42,'2'!$X$47)</c:f>
              <c:numCache>
                <c:formatCode>#,##0_ ;[Red]\-#,##0\ </c:formatCode>
                <c:ptCount val="10"/>
                <c:pt idx="0">
                  <c:v>0</c:v>
                </c:pt>
                <c:pt idx="1">
                  <c:v>220</c:v>
                </c:pt>
                <c:pt idx="2">
                  <c:v>437</c:v>
                </c:pt>
                <c:pt idx="3">
                  <c:v>381</c:v>
                </c:pt>
                <c:pt idx="4">
                  <c:v>396</c:v>
                </c:pt>
                <c:pt idx="5">
                  <c:v>399</c:v>
                </c:pt>
                <c:pt idx="6">
                  <c:v>392</c:v>
                </c:pt>
                <c:pt idx="7">
                  <c:v>363</c:v>
                </c:pt>
                <c:pt idx="8">
                  <c:v>0</c:v>
                </c:pt>
                <c:pt idx="9">
                  <c:v>0</c:v>
                </c:pt>
              </c:numCache>
            </c:numRef>
          </c:val>
          <c:smooth val="0"/>
          <c:extLst>
            <c:ext xmlns:c16="http://schemas.microsoft.com/office/drawing/2014/chart" uri="{C3380CC4-5D6E-409C-BE32-E72D297353CC}">
              <c16:uniqueId val="{00000002-F752-4B4D-A0C6-80D3E794905F}"/>
            </c:ext>
          </c:extLst>
        </c:ser>
        <c:dLbls>
          <c:showLegendKey val="0"/>
          <c:showVal val="0"/>
          <c:showCatName val="0"/>
          <c:showSerName val="0"/>
          <c:showPercent val="0"/>
          <c:showBubbleSize val="0"/>
        </c:dLbls>
        <c:smooth val="0"/>
        <c:axId val="197881120"/>
        <c:axId val="197881680"/>
      </c:lineChart>
      <c:catAx>
        <c:axId val="197881120"/>
        <c:scaling>
          <c:orientation val="minMax"/>
        </c:scaling>
        <c:delete val="0"/>
        <c:axPos val="b"/>
        <c:majorTickMark val="out"/>
        <c:minorTickMark val="none"/>
        <c:tickLblPos val="nextTo"/>
        <c:crossAx val="197881680"/>
        <c:crosses val="autoZero"/>
        <c:auto val="1"/>
        <c:lblAlgn val="ctr"/>
        <c:lblOffset val="100"/>
        <c:noMultiLvlLbl val="0"/>
      </c:catAx>
      <c:valAx>
        <c:axId val="197881680"/>
        <c:scaling>
          <c:orientation val="minMax"/>
        </c:scaling>
        <c:delete val="0"/>
        <c:axPos val="l"/>
        <c:majorGridlines/>
        <c:numFmt formatCode="#,##0_ ;[Red]\-#,##0\ " sourceLinked="1"/>
        <c:majorTickMark val="out"/>
        <c:minorTickMark val="none"/>
        <c:tickLblPos val="nextTo"/>
        <c:crossAx val="197881120"/>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('2'!$V$3,'2'!$V$8,'2'!$V$13,'2'!$V$18,'2'!$V$23,'2'!$V$28,'2'!$V$33,'2'!$V$38,'2'!$V$43,'2'!$V$48)</c:f>
              <c:numCache>
                <c:formatCode>#,##0_ ;[Red]\-#,##0\ </c:formatCode>
                <c:ptCount val="10"/>
                <c:pt idx="0">
                  <c:v>0</c:v>
                </c:pt>
                <c:pt idx="1">
                  <c:v>0</c:v>
                </c:pt>
                <c:pt idx="2">
                  <c:v>0</c:v>
                </c:pt>
                <c:pt idx="3">
                  <c:v>172</c:v>
                </c:pt>
                <c:pt idx="4">
                  <c:v>122</c:v>
                </c:pt>
                <c:pt idx="5">
                  <c:v>155</c:v>
                </c:pt>
                <c:pt idx="6">
                  <c:v>113</c:v>
                </c:pt>
                <c:pt idx="7">
                  <c:v>595</c:v>
                </c:pt>
                <c:pt idx="8">
                  <c:v>0</c:v>
                </c:pt>
                <c:pt idx="9">
                  <c:v>0</c:v>
                </c:pt>
              </c:numCache>
            </c:numRef>
          </c:val>
          <c:smooth val="0"/>
          <c:extLst>
            <c:ext xmlns:c16="http://schemas.microsoft.com/office/drawing/2014/chart" uri="{C3380CC4-5D6E-409C-BE32-E72D297353CC}">
              <c16:uniqueId val="{00000000-CB69-4656-BF9F-74E72DC1E5A6}"/>
            </c:ext>
          </c:extLst>
        </c:ser>
        <c:ser>
          <c:idx val="1"/>
          <c:order val="1"/>
          <c:marker>
            <c:symbol val="none"/>
          </c:marker>
          <c:val>
            <c:numRef>
              <c:f>('2'!$W$3,'2'!$W$8,'2'!$W$13,'2'!$W$18,'2'!$W$23,'2'!$W$28,'2'!$W$33,'2'!$W$38,'2'!$W$43,'2'!$W$48)</c:f>
              <c:numCache>
                <c:formatCode>#,##0_ ;[Red]\-#,##0\ </c:formatCode>
                <c:ptCount val="10"/>
                <c:pt idx="0">
                  <c:v>0</c:v>
                </c:pt>
                <c:pt idx="1">
                  <c:v>0</c:v>
                </c:pt>
                <c:pt idx="2">
                  <c:v>0</c:v>
                </c:pt>
                <c:pt idx="3">
                  <c:v>123</c:v>
                </c:pt>
                <c:pt idx="4">
                  <c:v>120</c:v>
                </c:pt>
                <c:pt idx="5">
                  <c:v>152</c:v>
                </c:pt>
                <c:pt idx="6">
                  <c:v>126</c:v>
                </c:pt>
                <c:pt idx="7">
                  <c:v>362</c:v>
                </c:pt>
                <c:pt idx="8">
                  <c:v>0</c:v>
                </c:pt>
                <c:pt idx="9">
                  <c:v>0</c:v>
                </c:pt>
              </c:numCache>
            </c:numRef>
          </c:val>
          <c:smooth val="0"/>
          <c:extLst>
            <c:ext xmlns:c16="http://schemas.microsoft.com/office/drawing/2014/chart" uri="{C3380CC4-5D6E-409C-BE32-E72D297353CC}">
              <c16:uniqueId val="{00000001-CB69-4656-BF9F-74E72DC1E5A6}"/>
            </c:ext>
          </c:extLst>
        </c:ser>
        <c:ser>
          <c:idx val="2"/>
          <c:order val="2"/>
          <c:marker>
            <c:symbol val="none"/>
          </c:marker>
          <c:val>
            <c:numRef>
              <c:f>('2'!$X$3,'2'!$X$8,'2'!$X$13,'2'!$X$18,'2'!$X$23,'2'!$X$28,'2'!$X$33,'2'!$X$38,'2'!$X$43,'2'!$X$48)</c:f>
              <c:numCache>
                <c:formatCode>#,##0_ ;[Red]\-#,##0\ </c:formatCode>
                <c:ptCount val="10"/>
                <c:pt idx="0">
                  <c:v>0</c:v>
                </c:pt>
                <c:pt idx="1">
                  <c:v>0</c:v>
                </c:pt>
                <c:pt idx="2">
                  <c:v>0</c:v>
                </c:pt>
                <c:pt idx="3">
                  <c:v>69</c:v>
                </c:pt>
                <c:pt idx="4">
                  <c:v>63</c:v>
                </c:pt>
                <c:pt idx="5">
                  <c:v>77</c:v>
                </c:pt>
                <c:pt idx="6">
                  <c:v>63</c:v>
                </c:pt>
                <c:pt idx="7">
                  <c:v>190</c:v>
                </c:pt>
                <c:pt idx="8">
                  <c:v>0</c:v>
                </c:pt>
                <c:pt idx="9">
                  <c:v>0</c:v>
                </c:pt>
              </c:numCache>
            </c:numRef>
          </c:val>
          <c:smooth val="0"/>
          <c:extLst>
            <c:ext xmlns:c16="http://schemas.microsoft.com/office/drawing/2014/chart" uri="{C3380CC4-5D6E-409C-BE32-E72D297353CC}">
              <c16:uniqueId val="{00000002-CB69-4656-BF9F-74E72DC1E5A6}"/>
            </c:ext>
          </c:extLst>
        </c:ser>
        <c:dLbls>
          <c:showLegendKey val="0"/>
          <c:showVal val="0"/>
          <c:showCatName val="0"/>
          <c:showSerName val="0"/>
          <c:showPercent val="0"/>
          <c:showBubbleSize val="0"/>
        </c:dLbls>
        <c:smooth val="0"/>
        <c:axId val="249432432"/>
        <c:axId val="249432992"/>
      </c:lineChart>
      <c:catAx>
        <c:axId val="249432432"/>
        <c:scaling>
          <c:orientation val="minMax"/>
        </c:scaling>
        <c:delete val="0"/>
        <c:axPos val="b"/>
        <c:majorTickMark val="out"/>
        <c:minorTickMark val="none"/>
        <c:tickLblPos val="nextTo"/>
        <c:crossAx val="249432992"/>
        <c:crosses val="autoZero"/>
        <c:auto val="1"/>
        <c:lblAlgn val="ctr"/>
        <c:lblOffset val="100"/>
        <c:noMultiLvlLbl val="0"/>
      </c:catAx>
      <c:valAx>
        <c:axId val="249432992"/>
        <c:scaling>
          <c:orientation val="minMax"/>
        </c:scaling>
        <c:delete val="0"/>
        <c:axPos val="l"/>
        <c:majorGridlines/>
        <c:numFmt formatCode="#,##0_ ;[Red]\-#,##0\ " sourceLinked="1"/>
        <c:majorTickMark val="out"/>
        <c:minorTickMark val="none"/>
        <c:tickLblPos val="nextTo"/>
        <c:crossAx val="24943243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('2'!$V$4,'2'!$V$9,'2'!$V$14,'2'!$V$19,'2'!$V$24,'2'!$V$29,'2'!$V$34,'2'!$V$39,'2'!$V$44,'2'!$V$49)</c:f>
              <c:numCache>
                <c:formatCode>#,##0_ ;[Red]\-#,##0\ </c:formatCode>
                <c:ptCount val="10"/>
                <c:pt idx="0">
                  <c:v>0</c:v>
                </c:pt>
                <c:pt idx="1">
                  <c:v>0</c:v>
                </c:pt>
                <c:pt idx="2">
                  <c:v>0</c:v>
                </c:pt>
                <c:pt idx="3">
                  <c:v>0</c:v>
                </c:pt>
                <c:pt idx="4">
                  <c:v>243</c:v>
                </c:pt>
                <c:pt idx="5">
                  <c:v>464</c:v>
                </c:pt>
                <c:pt idx="6">
                  <c:v>584</c:v>
                </c:pt>
                <c:pt idx="7">
                  <c:v>928</c:v>
                </c:pt>
                <c:pt idx="8">
                  <c:v>0</c:v>
                </c:pt>
                <c:pt idx="9">
                  <c:v>0</c:v>
                </c:pt>
              </c:numCache>
            </c:numRef>
          </c:val>
          <c:smooth val="0"/>
          <c:extLst>
            <c:ext xmlns:c16="http://schemas.microsoft.com/office/drawing/2014/chart" uri="{C3380CC4-5D6E-409C-BE32-E72D297353CC}">
              <c16:uniqueId val="{00000000-1BFD-4828-8638-6A7646894060}"/>
            </c:ext>
          </c:extLst>
        </c:ser>
        <c:ser>
          <c:idx val="1"/>
          <c:order val="1"/>
          <c:marker>
            <c:symbol val="none"/>
          </c:marker>
          <c:val>
            <c:numRef>
              <c:f>('2'!$W$4,'2'!$W$9,'2'!$W$14,'2'!$W$19,'2'!$W$24,'2'!$W$29,'2'!$W$34,'2'!$W$39,'2'!$W$44,'2'!$W$49)</c:f>
              <c:numCache>
                <c:formatCode>#,##0_ ;[Red]\-#,##0\ </c:formatCode>
                <c:ptCount val="10"/>
                <c:pt idx="0">
                  <c:v>0</c:v>
                </c:pt>
                <c:pt idx="1">
                  <c:v>0</c:v>
                </c:pt>
                <c:pt idx="2">
                  <c:v>0</c:v>
                </c:pt>
                <c:pt idx="3">
                  <c:v>0</c:v>
                </c:pt>
                <c:pt idx="4">
                  <c:v>167</c:v>
                </c:pt>
                <c:pt idx="5">
                  <c:v>318</c:v>
                </c:pt>
                <c:pt idx="6">
                  <c:v>395</c:v>
                </c:pt>
                <c:pt idx="7">
                  <c:v>479</c:v>
                </c:pt>
                <c:pt idx="8">
                  <c:v>0</c:v>
                </c:pt>
                <c:pt idx="9">
                  <c:v>0</c:v>
                </c:pt>
              </c:numCache>
            </c:numRef>
          </c:val>
          <c:smooth val="0"/>
          <c:extLst>
            <c:ext xmlns:c16="http://schemas.microsoft.com/office/drawing/2014/chart" uri="{C3380CC4-5D6E-409C-BE32-E72D297353CC}">
              <c16:uniqueId val="{00000001-1BFD-4828-8638-6A7646894060}"/>
            </c:ext>
          </c:extLst>
        </c:ser>
        <c:ser>
          <c:idx val="2"/>
          <c:order val="2"/>
          <c:marker>
            <c:symbol val="none"/>
          </c:marker>
          <c:val>
            <c:numRef>
              <c:f>('2'!$X$4,'2'!$X$9,'2'!$X$14,'2'!$X$19,'2'!$X$24,'2'!$X$29,'2'!$X$34,'2'!$X$39,'2'!$X$44,'2'!$X$49)</c:f>
              <c:numCache>
                <c:formatCode>#,##0_ ;[Red]\-#,##0\ </c:formatCode>
                <c:ptCount val="10"/>
                <c:pt idx="0">
                  <c:v>0</c:v>
                </c:pt>
                <c:pt idx="1">
                  <c:v>0</c:v>
                </c:pt>
                <c:pt idx="2">
                  <c:v>0</c:v>
                </c:pt>
                <c:pt idx="3">
                  <c:v>0</c:v>
                </c:pt>
                <c:pt idx="4">
                  <c:v>95</c:v>
                </c:pt>
                <c:pt idx="5">
                  <c:v>178</c:v>
                </c:pt>
                <c:pt idx="6">
                  <c:v>234</c:v>
                </c:pt>
                <c:pt idx="7">
                  <c:v>254</c:v>
                </c:pt>
                <c:pt idx="8">
                  <c:v>0</c:v>
                </c:pt>
                <c:pt idx="9">
                  <c:v>0</c:v>
                </c:pt>
              </c:numCache>
            </c:numRef>
          </c:val>
          <c:smooth val="0"/>
          <c:extLst>
            <c:ext xmlns:c16="http://schemas.microsoft.com/office/drawing/2014/chart" uri="{C3380CC4-5D6E-409C-BE32-E72D297353CC}">
              <c16:uniqueId val="{00000002-1BFD-4828-8638-6A7646894060}"/>
            </c:ext>
          </c:extLst>
        </c:ser>
        <c:dLbls>
          <c:showLegendKey val="0"/>
          <c:showVal val="0"/>
          <c:showCatName val="0"/>
          <c:showSerName val="0"/>
          <c:showPercent val="0"/>
          <c:showBubbleSize val="0"/>
        </c:dLbls>
        <c:smooth val="0"/>
        <c:axId val="249436352"/>
        <c:axId val="249436912"/>
      </c:lineChart>
      <c:catAx>
        <c:axId val="249436352"/>
        <c:scaling>
          <c:orientation val="minMax"/>
        </c:scaling>
        <c:delete val="0"/>
        <c:axPos val="b"/>
        <c:majorTickMark val="out"/>
        <c:minorTickMark val="none"/>
        <c:tickLblPos val="nextTo"/>
        <c:crossAx val="249436912"/>
        <c:crosses val="autoZero"/>
        <c:auto val="1"/>
        <c:lblAlgn val="ctr"/>
        <c:lblOffset val="100"/>
        <c:noMultiLvlLbl val="0"/>
      </c:catAx>
      <c:valAx>
        <c:axId val="249436912"/>
        <c:scaling>
          <c:orientation val="minMax"/>
        </c:scaling>
        <c:delete val="0"/>
        <c:axPos val="l"/>
        <c:majorGridlines/>
        <c:numFmt formatCode="#,##0_ ;[Red]\-#,##0\ " sourceLinked="1"/>
        <c:majorTickMark val="out"/>
        <c:minorTickMark val="none"/>
        <c:tickLblPos val="nextTo"/>
        <c:crossAx val="24943635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('2'!$Y$1,'2'!$Y$6,'2'!$Y$11,'2'!$Y$16,'2'!$Y$21,'2'!$Y$26,'2'!$Y$31,'2'!$Y$36,'2'!$Y$41,'2'!$Y$46)</c:f>
              <c:numCache>
                <c:formatCode>#,##0_ ;[Red]\-#,##0\ </c:formatCode>
                <c:ptCount val="10"/>
                <c:pt idx="0">
                  <c:v>0</c:v>
                </c:pt>
                <c:pt idx="1">
                  <c:v>1175</c:v>
                </c:pt>
                <c:pt idx="2">
                  <c:v>2576</c:v>
                </c:pt>
                <c:pt idx="3">
                  <c:v>2543</c:v>
                </c:pt>
                <c:pt idx="4">
                  <c:v>2892</c:v>
                </c:pt>
                <c:pt idx="5">
                  <c:v>3376</c:v>
                </c:pt>
                <c:pt idx="6">
                  <c:v>3802</c:v>
                </c:pt>
                <c:pt idx="7">
                  <c:v>4965</c:v>
                </c:pt>
                <c:pt idx="8">
                  <c:v>0</c:v>
                </c:pt>
                <c:pt idx="9">
                  <c:v>0</c:v>
                </c:pt>
              </c:numCache>
            </c:numRef>
          </c:val>
          <c:smooth val="0"/>
          <c:extLst>
            <c:ext xmlns:c16="http://schemas.microsoft.com/office/drawing/2014/chart" uri="{C3380CC4-5D6E-409C-BE32-E72D297353CC}">
              <c16:uniqueId val="{00000000-47CA-4736-AAF8-57F07741A12E}"/>
            </c:ext>
          </c:extLst>
        </c:ser>
        <c:dLbls>
          <c:showLegendKey val="0"/>
          <c:showVal val="0"/>
          <c:showCatName val="0"/>
          <c:showSerName val="0"/>
          <c:showPercent val="0"/>
          <c:showBubbleSize val="0"/>
        </c:dLbls>
        <c:smooth val="0"/>
        <c:axId val="250213472"/>
        <c:axId val="250214032"/>
      </c:lineChart>
      <c:catAx>
        <c:axId val="250213472"/>
        <c:scaling>
          <c:orientation val="minMax"/>
        </c:scaling>
        <c:delete val="0"/>
        <c:axPos val="b"/>
        <c:majorTickMark val="out"/>
        <c:minorTickMark val="none"/>
        <c:tickLblPos val="nextTo"/>
        <c:crossAx val="250214032"/>
        <c:crosses val="autoZero"/>
        <c:auto val="1"/>
        <c:lblAlgn val="ctr"/>
        <c:lblOffset val="100"/>
        <c:noMultiLvlLbl val="0"/>
      </c:catAx>
      <c:valAx>
        <c:axId val="250214032"/>
        <c:scaling>
          <c:orientation val="minMax"/>
        </c:scaling>
        <c:delete val="0"/>
        <c:axPos val="l"/>
        <c:majorGridlines/>
        <c:numFmt formatCode="#,##0_ ;[Red]\-#,##0\ " sourceLinked="1"/>
        <c:majorTickMark val="out"/>
        <c:minorTickMark val="none"/>
        <c:tickLblPos val="nextTo"/>
        <c:crossAx val="250213472"/>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('3'!$V$2,'3'!$V$7,'3'!$V$12,'3'!$V$17,'3'!$V$22,'3'!$V$27,'3'!$V$32,'3'!$V$37,'3'!$V$42,'3'!$V$47)</c:f>
              <c:numCache>
                <c:formatCode>#,##0_ ;[Red]\-#,##0\ </c:formatCode>
                <c:ptCount val="10"/>
                <c:pt idx="0">
                  <c:v>0</c:v>
                </c:pt>
                <c:pt idx="1">
                  <c:v>592</c:v>
                </c:pt>
                <c:pt idx="2">
                  <c:v>1367</c:v>
                </c:pt>
                <c:pt idx="3">
                  <c:v>1112</c:v>
                </c:pt>
                <c:pt idx="4">
                  <c:v>1016</c:v>
                </c:pt>
                <c:pt idx="5">
                  <c:v>970</c:v>
                </c:pt>
                <c:pt idx="6">
                  <c:v>1178</c:v>
                </c:pt>
                <c:pt idx="7">
                  <c:v>1093</c:v>
                </c:pt>
                <c:pt idx="8">
                  <c:v>0</c:v>
                </c:pt>
                <c:pt idx="9">
                  <c:v>0</c:v>
                </c:pt>
              </c:numCache>
            </c:numRef>
          </c:val>
          <c:smooth val="0"/>
          <c:extLst>
            <c:ext xmlns:c16="http://schemas.microsoft.com/office/drawing/2014/chart" uri="{C3380CC4-5D6E-409C-BE32-E72D297353CC}">
              <c16:uniqueId val="{00000000-1288-4582-A658-8892B3B60936}"/>
            </c:ext>
          </c:extLst>
        </c:ser>
        <c:ser>
          <c:idx val="1"/>
          <c:order val="1"/>
          <c:marker>
            <c:symbol val="none"/>
          </c:marker>
          <c:val>
            <c:numRef>
              <c:f>('3'!$W$2,'3'!$W$7,'3'!$W$12,'3'!$W$17,'3'!$W$22,'3'!$W$27,'3'!$W$32,'3'!$W$37,'3'!$W$42,'3'!$W$47)</c:f>
              <c:numCache>
                <c:formatCode>#,##0_ ;[Red]\-#,##0\ </c:formatCode>
                <c:ptCount val="10"/>
                <c:pt idx="0">
                  <c:v>0</c:v>
                </c:pt>
                <c:pt idx="1">
                  <c:v>363</c:v>
                </c:pt>
                <c:pt idx="2">
                  <c:v>772</c:v>
                </c:pt>
                <c:pt idx="3">
                  <c:v>686</c:v>
                </c:pt>
                <c:pt idx="4">
                  <c:v>670</c:v>
                </c:pt>
                <c:pt idx="5">
                  <c:v>663</c:v>
                </c:pt>
                <c:pt idx="6">
                  <c:v>717</c:v>
                </c:pt>
                <c:pt idx="7">
                  <c:v>701</c:v>
                </c:pt>
                <c:pt idx="8">
                  <c:v>0</c:v>
                </c:pt>
                <c:pt idx="9">
                  <c:v>0</c:v>
                </c:pt>
              </c:numCache>
            </c:numRef>
          </c:val>
          <c:smooth val="0"/>
          <c:extLst>
            <c:ext xmlns:c16="http://schemas.microsoft.com/office/drawing/2014/chart" uri="{C3380CC4-5D6E-409C-BE32-E72D297353CC}">
              <c16:uniqueId val="{00000001-1288-4582-A658-8892B3B60936}"/>
            </c:ext>
          </c:extLst>
        </c:ser>
        <c:ser>
          <c:idx val="2"/>
          <c:order val="2"/>
          <c:marker>
            <c:symbol val="none"/>
          </c:marker>
          <c:val>
            <c:numRef>
              <c:f>('3'!$X$2,'3'!$X$7,'3'!$X$12,'3'!$X$17,'3'!$X$22,'3'!$X$27,'3'!$X$32,'3'!$X$37,'3'!$X$42,'3'!$X$47)</c:f>
              <c:numCache>
                <c:formatCode>#,##0_ ;[Red]\-#,##0\ </c:formatCode>
                <c:ptCount val="10"/>
                <c:pt idx="0">
                  <c:v>0</c:v>
                </c:pt>
                <c:pt idx="1">
                  <c:v>220</c:v>
                </c:pt>
                <c:pt idx="2">
                  <c:v>437</c:v>
                </c:pt>
                <c:pt idx="3">
                  <c:v>381</c:v>
                </c:pt>
                <c:pt idx="4">
                  <c:v>396</c:v>
                </c:pt>
                <c:pt idx="5">
                  <c:v>399</c:v>
                </c:pt>
                <c:pt idx="6">
                  <c:v>392</c:v>
                </c:pt>
                <c:pt idx="7">
                  <c:v>363</c:v>
                </c:pt>
                <c:pt idx="8">
                  <c:v>0</c:v>
                </c:pt>
                <c:pt idx="9">
                  <c:v>0</c:v>
                </c:pt>
              </c:numCache>
            </c:numRef>
          </c:val>
          <c:smooth val="0"/>
          <c:extLst>
            <c:ext xmlns:c16="http://schemas.microsoft.com/office/drawing/2014/chart" uri="{C3380CC4-5D6E-409C-BE32-E72D297353CC}">
              <c16:uniqueId val="{00000002-1288-4582-A658-8892B3B60936}"/>
            </c:ext>
          </c:extLst>
        </c:ser>
        <c:dLbls>
          <c:showLegendKey val="0"/>
          <c:showVal val="0"/>
          <c:showCatName val="0"/>
          <c:showSerName val="0"/>
          <c:showPercent val="0"/>
          <c:showBubbleSize val="0"/>
        </c:dLbls>
        <c:smooth val="0"/>
        <c:axId val="249655504"/>
        <c:axId val="249656064"/>
      </c:lineChart>
      <c:catAx>
        <c:axId val="249655504"/>
        <c:scaling>
          <c:orientation val="minMax"/>
        </c:scaling>
        <c:delete val="0"/>
        <c:axPos val="b"/>
        <c:majorTickMark val="out"/>
        <c:minorTickMark val="none"/>
        <c:tickLblPos val="nextTo"/>
        <c:crossAx val="249656064"/>
        <c:crosses val="autoZero"/>
        <c:auto val="1"/>
        <c:lblAlgn val="ctr"/>
        <c:lblOffset val="100"/>
        <c:noMultiLvlLbl val="0"/>
      </c:catAx>
      <c:valAx>
        <c:axId val="249656064"/>
        <c:scaling>
          <c:orientation val="minMax"/>
        </c:scaling>
        <c:delete val="0"/>
        <c:axPos val="l"/>
        <c:majorGridlines/>
        <c:numFmt formatCode="#,##0_ ;[Red]\-#,##0\ " sourceLinked="1"/>
        <c:majorTickMark val="out"/>
        <c:minorTickMark val="none"/>
        <c:tickLblPos val="nextTo"/>
        <c:crossAx val="249655504"/>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('3'!$V$3,'3'!$V$8,'3'!$V$13,'3'!$V$18,'3'!$V$23,'3'!$V$28,'3'!$V$33,'3'!$V$38,'3'!$V$43,'3'!$V$48)</c:f>
              <c:numCache>
                <c:formatCode>#,##0_ ;[Red]\-#,##0\ </c:formatCode>
                <c:ptCount val="10"/>
                <c:pt idx="0">
                  <c:v>0</c:v>
                </c:pt>
                <c:pt idx="1">
                  <c:v>0</c:v>
                </c:pt>
                <c:pt idx="2">
                  <c:v>0</c:v>
                </c:pt>
                <c:pt idx="3">
                  <c:v>172</c:v>
                </c:pt>
                <c:pt idx="4">
                  <c:v>122</c:v>
                </c:pt>
                <c:pt idx="5">
                  <c:v>155</c:v>
                </c:pt>
                <c:pt idx="6">
                  <c:v>113</c:v>
                </c:pt>
                <c:pt idx="7">
                  <c:v>595</c:v>
                </c:pt>
                <c:pt idx="8">
                  <c:v>0</c:v>
                </c:pt>
                <c:pt idx="9">
                  <c:v>0</c:v>
                </c:pt>
              </c:numCache>
            </c:numRef>
          </c:val>
          <c:smooth val="0"/>
          <c:extLst>
            <c:ext xmlns:c16="http://schemas.microsoft.com/office/drawing/2014/chart" uri="{C3380CC4-5D6E-409C-BE32-E72D297353CC}">
              <c16:uniqueId val="{00000000-2269-4F9A-9106-35D064BD518C}"/>
            </c:ext>
          </c:extLst>
        </c:ser>
        <c:ser>
          <c:idx val="1"/>
          <c:order val="1"/>
          <c:marker>
            <c:symbol val="none"/>
          </c:marker>
          <c:val>
            <c:numRef>
              <c:f>('3'!$W$3,'3'!$W$8,'3'!$W$13,'3'!$W$18,'3'!$W$23,'3'!$W$28,'3'!$W$33,'3'!$W$38,'3'!$W$43,'3'!$W$48)</c:f>
              <c:numCache>
                <c:formatCode>#,##0_ ;[Red]\-#,##0\ </c:formatCode>
                <c:ptCount val="10"/>
                <c:pt idx="0">
                  <c:v>0</c:v>
                </c:pt>
                <c:pt idx="1">
                  <c:v>0</c:v>
                </c:pt>
                <c:pt idx="2">
                  <c:v>0</c:v>
                </c:pt>
                <c:pt idx="3">
                  <c:v>123</c:v>
                </c:pt>
                <c:pt idx="4">
                  <c:v>120</c:v>
                </c:pt>
                <c:pt idx="5">
                  <c:v>152</c:v>
                </c:pt>
                <c:pt idx="6">
                  <c:v>126</c:v>
                </c:pt>
                <c:pt idx="7">
                  <c:v>362</c:v>
                </c:pt>
                <c:pt idx="8">
                  <c:v>0</c:v>
                </c:pt>
                <c:pt idx="9">
                  <c:v>0</c:v>
                </c:pt>
              </c:numCache>
            </c:numRef>
          </c:val>
          <c:smooth val="0"/>
          <c:extLst>
            <c:ext xmlns:c16="http://schemas.microsoft.com/office/drawing/2014/chart" uri="{C3380CC4-5D6E-409C-BE32-E72D297353CC}">
              <c16:uniqueId val="{00000001-2269-4F9A-9106-35D064BD518C}"/>
            </c:ext>
          </c:extLst>
        </c:ser>
        <c:ser>
          <c:idx val="2"/>
          <c:order val="2"/>
          <c:marker>
            <c:symbol val="none"/>
          </c:marker>
          <c:val>
            <c:numRef>
              <c:f>('3'!$X$3,'3'!$X$8,'3'!$X$13,'3'!$X$18,'3'!$X$23,'3'!$X$28,'3'!$X$33,'3'!$X$38,'3'!$X$43,'3'!$X$48)</c:f>
              <c:numCache>
                <c:formatCode>#,##0_ ;[Red]\-#,##0\ </c:formatCode>
                <c:ptCount val="10"/>
                <c:pt idx="0">
                  <c:v>0</c:v>
                </c:pt>
                <c:pt idx="1">
                  <c:v>0</c:v>
                </c:pt>
                <c:pt idx="2">
                  <c:v>0</c:v>
                </c:pt>
                <c:pt idx="3">
                  <c:v>69</c:v>
                </c:pt>
                <c:pt idx="4">
                  <c:v>63</c:v>
                </c:pt>
                <c:pt idx="5">
                  <c:v>77</c:v>
                </c:pt>
                <c:pt idx="6">
                  <c:v>63</c:v>
                </c:pt>
                <c:pt idx="7">
                  <c:v>190</c:v>
                </c:pt>
                <c:pt idx="8">
                  <c:v>0</c:v>
                </c:pt>
                <c:pt idx="9">
                  <c:v>0</c:v>
                </c:pt>
              </c:numCache>
            </c:numRef>
          </c:val>
          <c:smooth val="0"/>
          <c:extLst>
            <c:ext xmlns:c16="http://schemas.microsoft.com/office/drawing/2014/chart" uri="{C3380CC4-5D6E-409C-BE32-E72D297353CC}">
              <c16:uniqueId val="{00000002-2269-4F9A-9106-35D064BD518C}"/>
            </c:ext>
          </c:extLst>
        </c:ser>
        <c:dLbls>
          <c:showLegendKey val="0"/>
          <c:showVal val="0"/>
          <c:showCatName val="0"/>
          <c:showSerName val="0"/>
          <c:showPercent val="0"/>
          <c:showBubbleSize val="0"/>
        </c:dLbls>
        <c:smooth val="0"/>
        <c:axId val="249659424"/>
        <c:axId val="249659984"/>
      </c:lineChart>
      <c:catAx>
        <c:axId val="249659424"/>
        <c:scaling>
          <c:orientation val="minMax"/>
        </c:scaling>
        <c:delete val="0"/>
        <c:axPos val="b"/>
        <c:majorTickMark val="out"/>
        <c:minorTickMark val="none"/>
        <c:tickLblPos val="nextTo"/>
        <c:crossAx val="249659984"/>
        <c:crosses val="autoZero"/>
        <c:auto val="1"/>
        <c:lblAlgn val="ctr"/>
        <c:lblOffset val="100"/>
        <c:noMultiLvlLbl val="0"/>
      </c:catAx>
      <c:valAx>
        <c:axId val="249659984"/>
        <c:scaling>
          <c:orientation val="minMax"/>
        </c:scaling>
        <c:delete val="0"/>
        <c:axPos val="l"/>
        <c:majorGridlines/>
        <c:numFmt formatCode="#,##0_ ;[Red]\-#,##0\ " sourceLinked="1"/>
        <c:majorTickMark val="out"/>
        <c:minorTickMark val="none"/>
        <c:tickLblPos val="nextTo"/>
        <c:crossAx val="24965942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('3'!$V$4,'3'!$V$9,'3'!$V$14,'3'!$V$19,'3'!$V$24,'3'!$V$29,'3'!$V$34,'3'!$V$39,'3'!$V$44,'3'!$V$49)</c:f>
              <c:numCache>
                <c:formatCode>#,##0_ ;[Red]\-#,##0\ </c:formatCode>
                <c:ptCount val="10"/>
                <c:pt idx="0">
                  <c:v>0</c:v>
                </c:pt>
                <c:pt idx="1">
                  <c:v>0</c:v>
                </c:pt>
                <c:pt idx="2">
                  <c:v>0</c:v>
                </c:pt>
                <c:pt idx="3">
                  <c:v>0</c:v>
                </c:pt>
                <c:pt idx="4">
                  <c:v>243</c:v>
                </c:pt>
                <c:pt idx="5">
                  <c:v>464</c:v>
                </c:pt>
                <c:pt idx="6">
                  <c:v>584</c:v>
                </c:pt>
                <c:pt idx="7">
                  <c:v>928</c:v>
                </c:pt>
                <c:pt idx="8">
                  <c:v>0</c:v>
                </c:pt>
                <c:pt idx="9">
                  <c:v>0</c:v>
                </c:pt>
              </c:numCache>
            </c:numRef>
          </c:val>
          <c:smooth val="0"/>
          <c:extLst>
            <c:ext xmlns:c16="http://schemas.microsoft.com/office/drawing/2014/chart" uri="{C3380CC4-5D6E-409C-BE32-E72D297353CC}">
              <c16:uniqueId val="{00000000-2DC1-4B6B-AE30-F41999F51930}"/>
            </c:ext>
          </c:extLst>
        </c:ser>
        <c:ser>
          <c:idx val="1"/>
          <c:order val="1"/>
          <c:marker>
            <c:symbol val="none"/>
          </c:marker>
          <c:val>
            <c:numRef>
              <c:f>('3'!$W$4,'3'!$W$9,'3'!$W$14,'3'!$W$19,'3'!$W$24,'3'!$W$29,'3'!$W$34,'3'!$W$39,'3'!$W$44,'3'!$W$49)</c:f>
              <c:numCache>
                <c:formatCode>#,##0_ ;[Red]\-#,##0\ </c:formatCode>
                <c:ptCount val="10"/>
                <c:pt idx="0">
                  <c:v>0</c:v>
                </c:pt>
                <c:pt idx="1">
                  <c:v>0</c:v>
                </c:pt>
                <c:pt idx="2">
                  <c:v>0</c:v>
                </c:pt>
                <c:pt idx="3">
                  <c:v>0</c:v>
                </c:pt>
                <c:pt idx="4">
                  <c:v>167</c:v>
                </c:pt>
                <c:pt idx="5">
                  <c:v>318</c:v>
                </c:pt>
                <c:pt idx="6">
                  <c:v>395</c:v>
                </c:pt>
                <c:pt idx="7">
                  <c:v>479</c:v>
                </c:pt>
                <c:pt idx="8">
                  <c:v>0</c:v>
                </c:pt>
                <c:pt idx="9">
                  <c:v>0</c:v>
                </c:pt>
              </c:numCache>
            </c:numRef>
          </c:val>
          <c:smooth val="0"/>
          <c:extLst>
            <c:ext xmlns:c16="http://schemas.microsoft.com/office/drawing/2014/chart" uri="{C3380CC4-5D6E-409C-BE32-E72D297353CC}">
              <c16:uniqueId val="{00000001-2DC1-4B6B-AE30-F41999F51930}"/>
            </c:ext>
          </c:extLst>
        </c:ser>
        <c:ser>
          <c:idx val="2"/>
          <c:order val="2"/>
          <c:marker>
            <c:symbol val="none"/>
          </c:marker>
          <c:val>
            <c:numRef>
              <c:f>('3'!$X$4,'3'!$X$9,'3'!$X$14,'3'!$X$19,'3'!$X$24,'3'!$X$29,'3'!$X$34,'3'!$X$39,'3'!$X$44,'3'!$X$49)</c:f>
              <c:numCache>
                <c:formatCode>#,##0_ ;[Red]\-#,##0\ </c:formatCode>
                <c:ptCount val="10"/>
                <c:pt idx="0">
                  <c:v>0</c:v>
                </c:pt>
                <c:pt idx="1">
                  <c:v>0</c:v>
                </c:pt>
                <c:pt idx="2">
                  <c:v>0</c:v>
                </c:pt>
                <c:pt idx="3">
                  <c:v>0</c:v>
                </c:pt>
                <c:pt idx="4">
                  <c:v>95</c:v>
                </c:pt>
                <c:pt idx="5">
                  <c:v>178</c:v>
                </c:pt>
                <c:pt idx="6">
                  <c:v>234</c:v>
                </c:pt>
                <c:pt idx="7">
                  <c:v>254</c:v>
                </c:pt>
                <c:pt idx="8">
                  <c:v>0</c:v>
                </c:pt>
                <c:pt idx="9">
                  <c:v>0</c:v>
                </c:pt>
              </c:numCache>
            </c:numRef>
          </c:val>
          <c:smooth val="0"/>
          <c:extLst>
            <c:ext xmlns:c16="http://schemas.microsoft.com/office/drawing/2014/chart" uri="{C3380CC4-5D6E-409C-BE32-E72D297353CC}">
              <c16:uniqueId val="{00000002-2DC1-4B6B-AE30-F41999F51930}"/>
            </c:ext>
          </c:extLst>
        </c:ser>
        <c:dLbls>
          <c:showLegendKey val="0"/>
          <c:showVal val="0"/>
          <c:showCatName val="0"/>
          <c:showSerName val="0"/>
          <c:showPercent val="0"/>
          <c:showBubbleSize val="0"/>
        </c:dLbls>
        <c:smooth val="0"/>
        <c:axId val="251017296"/>
        <c:axId val="251017856"/>
      </c:lineChart>
      <c:catAx>
        <c:axId val="251017296"/>
        <c:scaling>
          <c:orientation val="minMax"/>
        </c:scaling>
        <c:delete val="0"/>
        <c:axPos val="b"/>
        <c:majorTickMark val="out"/>
        <c:minorTickMark val="none"/>
        <c:tickLblPos val="nextTo"/>
        <c:crossAx val="251017856"/>
        <c:crosses val="autoZero"/>
        <c:auto val="1"/>
        <c:lblAlgn val="ctr"/>
        <c:lblOffset val="100"/>
        <c:noMultiLvlLbl val="0"/>
      </c:catAx>
      <c:valAx>
        <c:axId val="251017856"/>
        <c:scaling>
          <c:orientation val="minMax"/>
        </c:scaling>
        <c:delete val="0"/>
        <c:axPos val="l"/>
        <c:majorGridlines/>
        <c:numFmt formatCode="#,##0_ ;[Red]\-#,##0\ " sourceLinked="1"/>
        <c:majorTickMark val="out"/>
        <c:minorTickMark val="none"/>
        <c:tickLblPos val="nextTo"/>
        <c:crossAx val="25101729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('3'!$Y$1,'3'!$Y$6,'3'!$Y$11,'3'!$Y$16,'3'!$Y$21,'3'!$Y$26,'3'!$Y$31,'3'!$Y$36,'3'!$Y$41,'3'!$Y$46)</c:f>
              <c:numCache>
                <c:formatCode>#,##0_ ;[Red]\-#,##0\ </c:formatCode>
                <c:ptCount val="10"/>
                <c:pt idx="0">
                  <c:v>0</c:v>
                </c:pt>
                <c:pt idx="1">
                  <c:v>1175</c:v>
                </c:pt>
                <c:pt idx="2">
                  <c:v>2576</c:v>
                </c:pt>
                <c:pt idx="3">
                  <c:v>2543</c:v>
                </c:pt>
                <c:pt idx="4">
                  <c:v>2892</c:v>
                </c:pt>
                <c:pt idx="5">
                  <c:v>3376</c:v>
                </c:pt>
                <c:pt idx="6">
                  <c:v>3802</c:v>
                </c:pt>
                <c:pt idx="7">
                  <c:v>4965</c:v>
                </c:pt>
                <c:pt idx="8">
                  <c:v>0</c:v>
                </c:pt>
                <c:pt idx="9">
                  <c:v>0</c:v>
                </c:pt>
              </c:numCache>
            </c:numRef>
          </c:val>
          <c:smooth val="0"/>
          <c:extLst>
            <c:ext xmlns:c16="http://schemas.microsoft.com/office/drawing/2014/chart" uri="{C3380CC4-5D6E-409C-BE32-E72D297353CC}">
              <c16:uniqueId val="{00000000-9AE2-4573-8E58-30C75D12F895}"/>
            </c:ext>
          </c:extLst>
        </c:ser>
        <c:dLbls>
          <c:showLegendKey val="0"/>
          <c:showVal val="0"/>
          <c:showCatName val="0"/>
          <c:showSerName val="0"/>
          <c:showPercent val="0"/>
          <c:showBubbleSize val="0"/>
        </c:dLbls>
        <c:smooth val="0"/>
        <c:axId val="251020096"/>
        <c:axId val="251020656"/>
      </c:lineChart>
      <c:catAx>
        <c:axId val="251020096"/>
        <c:scaling>
          <c:orientation val="minMax"/>
        </c:scaling>
        <c:delete val="0"/>
        <c:axPos val="b"/>
        <c:majorTickMark val="out"/>
        <c:minorTickMark val="none"/>
        <c:tickLblPos val="nextTo"/>
        <c:crossAx val="251020656"/>
        <c:crosses val="autoZero"/>
        <c:auto val="1"/>
        <c:lblAlgn val="ctr"/>
        <c:lblOffset val="100"/>
        <c:noMultiLvlLbl val="0"/>
      </c:catAx>
      <c:valAx>
        <c:axId val="251020656"/>
        <c:scaling>
          <c:orientation val="minMax"/>
        </c:scaling>
        <c:delete val="0"/>
        <c:axPos val="l"/>
        <c:majorGridlines/>
        <c:numFmt formatCode="#,##0_ ;[Red]\-#,##0\ " sourceLinked="1"/>
        <c:majorTickMark val="out"/>
        <c:minorTickMark val="none"/>
        <c:tickLblPos val="nextTo"/>
        <c:crossAx val="251020096"/>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('4'!$V$2,'4'!$V$7,'4'!$V$12,'4'!$V$17,'4'!$V$22,'4'!$V$27,'4'!$V$32,'4'!$V$37,'4'!$V$42,'4'!$V$47)</c:f>
              <c:numCache>
                <c:formatCode>#,##0_ ;[Red]\-#,##0\ </c:formatCode>
                <c:ptCount val="10"/>
                <c:pt idx="0">
                  <c:v>0</c:v>
                </c:pt>
                <c:pt idx="1">
                  <c:v>592</c:v>
                </c:pt>
                <c:pt idx="2">
                  <c:v>1367</c:v>
                </c:pt>
                <c:pt idx="3">
                  <c:v>1112</c:v>
                </c:pt>
                <c:pt idx="4">
                  <c:v>1016</c:v>
                </c:pt>
                <c:pt idx="5">
                  <c:v>970</c:v>
                </c:pt>
                <c:pt idx="6">
                  <c:v>1178</c:v>
                </c:pt>
                <c:pt idx="7">
                  <c:v>1093</c:v>
                </c:pt>
                <c:pt idx="8">
                  <c:v>0</c:v>
                </c:pt>
                <c:pt idx="9">
                  <c:v>0</c:v>
                </c:pt>
              </c:numCache>
            </c:numRef>
          </c:val>
          <c:smooth val="0"/>
          <c:extLst>
            <c:ext xmlns:c16="http://schemas.microsoft.com/office/drawing/2014/chart" uri="{C3380CC4-5D6E-409C-BE32-E72D297353CC}">
              <c16:uniqueId val="{00000000-2588-400B-B6C6-0CE7E546ADBA}"/>
            </c:ext>
          </c:extLst>
        </c:ser>
        <c:ser>
          <c:idx val="1"/>
          <c:order val="1"/>
          <c:marker>
            <c:symbol val="none"/>
          </c:marker>
          <c:val>
            <c:numRef>
              <c:f>('4'!$W$2,'4'!$W$7,'4'!$W$12,'4'!$W$17,'4'!$W$22,'4'!$W$27,'4'!$W$32,'4'!$W$37,'4'!$W$42,'4'!$W$47)</c:f>
              <c:numCache>
                <c:formatCode>#,##0_ ;[Red]\-#,##0\ </c:formatCode>
                <c:ptCount val="10"/>
                <c:pt idx="0">
                  <c:v>0</c:v>
                </c:pt>
                <c:pt idx="1">
                  <c:v>363</c:v>
                </c:pt>
                <c:pt idx="2">
                  <c:v>772</c:v>
                </c:pt>
                <c:pt idx="3">
                  <c:v>686</c:v>
                </c:pt>
                <c:pt idx="4">
                  <c:v>670</c:v>
                </c:pt>
                <c:pt idx="5">
                  <c:v>663</c:v>
                </c:pt>
                <c:pt idx="6">
                  <c:v>717</c:v>
                </c:pt>
                <c:pt idx="7">
                  <c:v>701</c:v>
                </c:pt>
                <c:pt idx="8">
                  <c:v>0</c:v>
                </c:pt>
                <c:pt idx="9">
                  <c:v>0</c:v>
                </c:pt>
              </c:numCache>
            </c:numRef>
          </c:val>
          <c:smooth val="0"/>
          <c:extLst>
            <c:ext xmlns:c16="http://schemas.microsoft.com/office/drawing/2014/chart" uri="{C3380CC4-5D6E-409C-BE32-E72D297353CC}">
              <c16:uniqueId val="{00000001-2588-400B-B6C6-0CE7E546ADBA}"/>
            </c:ext>
          </c:extLst>
        </c:ser>
        <c:ser>
          <c:idx val="2"/>
          <c:order val="2"/>
          <c:marker>
            <c:symbol val="none"/>
          </c:marker>
          <c:val>
            <c:numRef>
              <c:f>('4'!$X$2,'4'!$X$7,'4'!$X$12,'4'!$X$17,'4'!$X$22,'4'!$X$27,'4'!$X$32,'4'!$X$37,'4'!$X$42,'4'!$X$47)</c:f>
              <c:numCache>
                <c:formatCode>#,##0_ ;[Red]\-#,##0\ </c:formatCode>
                <c:ptCount val="10"/>
                <c:pt idx="0">
                  <c:v>0</c:v>
                </c:pt>
                <c:pt idx="1">
                  <c:v>220</c:v>
                </c:pt>
                <c:pt idx="2">
                  <c:v>437</c:v>
                </c:pt>
                <c:pt idx="3">
                  <c:v>381</c:v>
                </c:pt>
                <c:pt idx="4">
                  <c:v>396</c:v>
                </c:pt>
                <c:pt idx="5">
                  <c:v>399</c:v>
                </c:pt>
                <c:pt idx="6">
                  <c:v>392</c:v>
                </c:pt>
                <c:pt idx="7">
                  <c:v>363</c:v>
                </c:pt>
                <c:pt idx="8">
                  <c:v>0</c:v>
                </c:pt>
                <c:pt idx="9">
                  <c:v>0</c:v>
                </c:pt>
              </c:numCache>
            </c:numRef>
          </c:val>
          <c:smooth val="0"/>
          <c:extLst>
            <c:ext xmlns:c16="http://schemas.microsoft.com/office/drawing/2014/chart" uri="{C3380CC4-5D6E-409C-BE32-E72D297353CC}">
              <c16:uniqueId val="{00000002-2588-400B-B6C6-0CE7E546ADBA}"/>
            </c:ext>
          </c:extLst>
        </c:ser>
        <c:dLbls>
          <c:showLegendKey val="0"/>
          <c:showVal val="0"/>
          <c:showCatName val="0"/>
          <c:showSerName val="0"/>
          <c:showPercent val="0"/>
          <c:showBubbleSize val="0"/>
        </c:dLbls>
        <c:smooth val="0"/>
        <c:axId val="251812496"/>
        <c:axId val="251813056"/>
      </c:lineChart>
      <c:catAx>
        <c:axId val="251812496"/>
        <c:scaling>
          <c:orientation val="minMax"/>
        </c:scaling>
        <c:delete val="0"/>
        <c:axPos val="b"/>
        <c:majorTickMark val="out"/>
        <c:minorTickMark val="none"/>
        <c:tickLblPos val="nextTo"/>
        <c:crossAx val="251813056"/>
        <c:crosses val="autoZero"/>
        <c:auto val="1"/>
        <c:lblAlgn val="ctr"/>
        <c:lblOffset val="100"/>
        <c:noMultiLvlLbl val="0"/>
      </c:catAx>
      <c:valAx>
        <c:axId val="251813056"/>
        <c:scaling>
          <c:orientation val="minMax"/>
        </c:scaling>
        <c:delete val="0"/>
        <c:axPos val="l"/>
        <c:majorGridlines/>
        <c:numFmt formatCode="#,##0_ ;[Red]\-#,##0\ " sourceLinked="1"/>
        <c:majorTickMark val="out"/>
        <c:minorTickMark val="none"/>
        <c:tickLblPos val="nextTo"/>
        <c:crossAx val="251812496"/>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('4'!$V$3,'4'!$V$8,'4'!$V$13,'4'!$V$18,'4'!$V$23,'4'!$V$28,'4'!$V$33,'4'!$V$38,'4'!$V$43,'4'!$V$48)</c:f>
              <c:numCache>
                <c:formatCode>#,##0_ ;[Red]\-#,##0\ </c:formatCode>
                <c:ptCount val="10"/>
                <c:pt idx="0">
                  <c:v>0</c:v>
                </c:pt>
                <c:pt idx="1">
                  <c:v>0</c:v>
                </c:pt>
                <c:pt idx="2">
                  <c:v>0</c:v>
                </c:pt>
                <c:pt idx="3">
                  <c:v>172</c:v>
                </c:pt>
                <c:pt idx="4">
                  <c:v>122</c:v>
                </c:pt>
                <c:pt idx="5">
                  <c:v>155</c:v>
                </c:pt>
                <c:pt idx="6">
                  <c:v>113</c:v>
                </c:pt>
                <c:pt idx="7">
                  <c:v>595</c:v>
                </c:pt>
                <c:pt idx="8">
                  <c:v>0</c:v>
                </c:pt>
                <c:pt idx="9">
                  <c:v>0</c:v>
                </c:pt>
              </c:numCache>
            </c:numRef>
          </c:val>
          <c:smooth val="0"/>
          <c:extLst>
            <c:ext xmlns:c16="http://schemas.microsoft.com/office/drawing/2014/chart" uri="{C3380CC4-5D6E-409C-BE32-E72D297353CC}">
              <c16:uniqueId val="{00000000-B96A-41F1-AFC5-E4B4E928D161}"/>
            </c:ext>
          </c:extLst>
        </c:ser>
        <c:ser>
          <c:idx val="1"/>
          <c:order val="1"/>
          <c:marker>
            <c:symbol val="none"/>
          </c:marker>
          <c:val>
            <c:numRef>
              <c:f>('4'!$W$3,'4'!$W$8,'4'!$W$13,'4'!$W$18,'4'!$W$23,'4'!$W$28,'4'!$W$33,'4'!$W$38,'4'!$W$43,'4'!$W$48)</c:f>
              <c:numCache>
                <c:formatCode>#,##0_ ;[Red]\-#,##0\ </c:formatCode>
                <c:ptCount val="10"/>
                <c:pt idx="0">
                  <c:v>0</c:v>
                </c:pt>
                <c:pt idx="1">
                  <c:v>0</c:v>
                </c:pt>
                <c:pt idx="2">
                  <c:v>0</c:v>
                </c:pt>
                <c:pt idx="3">
                  <c:v>123</c:v>
                </c:pt>
                <c:pt idx="4">
                  <c:v>120</c:v>
                </c:pt>
                <c:pt idx="5">
                  <c:v>152</c:v>
                </c:pt>
                <c:pt idx="6">
                  <c:v>126</c:v>
                </c:pt>
                <c:pt idx="7">
                  <c:v>362</c:v>
                </c:pt>
                <c:pt idx="8">
                  <c:v>0</c:v>
                </c:pt>
                <c:pt idx="9">
                  <c:v>0</c:v>
                </c:pt>
              </c:numCache>
            </c:numRef>
          </c:val>
          <c:smooth val="0"/>
          <c:extLst>
            <c:ext xmlns:c16="http://schemas.microsoft.com/office/drawing/2014/chart" uri="{C3380CC4-5D6E-409C-BE32-E72D297353CC}">
              <c16:uniqueId val="{00000001-B96A-41F1-AFC5-E4B4E928D161}"/>
            </c:ext>
          </c:extLst>
        </c:ser>
        <c:ser>
          <c:idx val="2"/>
          <c:order val="2"/>
          <c:marker>
            <c:symbol val="none"/>
          </c:marker>
          <c:val>
            <c:numRef>
              <c:f>('4'!$X$3,'4'!$X$8,'4'!$X$13,'4'!$X$18,'4'!$X$23,'4'!$X$28,'4'!$X$33,'4'!$X$38,'4'!$X$43,'4'!$X$48)</c:f>
              <c:numCache>
                <c:formatCode>#,##0_ ;[Red]\-#,##0\ </c:formatCode>
                <c:ptCount val="10"/>
                <c:pt idx="0">
                  <c:v>0</c:v>
                </c:pt>
                <c:pt idx="1">
                  <c:v>0</c:v>
                </c:pt>
                <c:pt idx="2">
                  <c:v>0</c:v>
                </c:pt>
                <c:pt idx="3">
                  <c:v>69</c:v>
                </c:pt>
                <c:pt idx="4">
                  <c:v>63</c:v>
                </c:pt>
                <c:pt idx="5">
                  <c:v>77</c:v>
                </c:pt>
                <c:pt idx="6">
                  <c:v>63</c:v>
                </c:pt>
                <c:pt idx="7">
                  <c:v>190</c:v>
                </c:pt>
                <c:pt idx="8">
                  <c:v>0</c:v>
                </c:pt>
                <c:pt idx="9">
                  <c:v>0</c:v>
                </c:pt>
              </c:numCache>
            </c:numRef>
          </c:val>
          <c:smooth val="0"/>
          <c:extLst>
            <c:ext xmlns:c16="http://schemas.microsoft.com/office/drawing/2014/chart" uri="{C3380CC4-5D6E-409C-BE32-E72D297353CC}">
              <c16:uniqueId val="{00000002-B96A-41F1-AFC5-E4B4E928D161}"/>
            </c:ext>
          </c:extLst>
        </c:ser>
        <c:dLbls>
          <c:showLegendKey val="0"/>
          <c:showVal val="0"/>
          <c:showCatName val="0"/>
          <c:showSerName val="0"/>
          <c:showPercent val="0"/>
          <c:showBubbleSize val="0"/>
        </c:dLbls>
        <c:smooth val="0"/>
        <c:axId val="251816416"/>
        <c:axId val="251816976"/>
      </c:lineChart>
      <c:catAx>
        <c:axId val="251816416"/>
        <c:scaling>
          <c:orientation val="minMax"/>
        </c:scaling>
        <c:delete val="0"/>
        <c:axPos val="b"/>
        <c:majorTickMark val="out"/>
        <c:minorTickMark val="none"/>
        <c:tickLblPos val="nextTo"/>
        <c:crossAx val="251816976"/>
        <c:crosses val="autoZero"/>
        <c:auto val="1"/>
        <c:lblAlgn val="ctr"/>
        <c:lblOffset val="100"/>
        <c:noMultiLvlLbl val="0"/>
      </c:catAx>
      <c:valAx>
        <c:axId val="251816976"/>
        <c:scaling>
          <c:orientation val="minMax"/>
        </c:scaling>
        <c:delete val="0"/>
        <c:axPos val="l"/>
        <c:majorGridlines/>
        <c:numFmt formatCode="#,##0_ ;[Red]\-#,##0\ " sourceLinked="1"/>
        <c:majorTickMark val="out"/>
        <c:minorTickMark val="none"/>
        <c:tickLblPos val="nextTo"/>
        <c:crossAx val="25181641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('4'!$V$4,'4'!$V$9,'4'!$V$14,'4'!$V$19,'4'!$V$24,'4'!$V$29,'4'!$V$34,'4'!$V$39,'4'!$V$44,'4'!$V$49)</c:f>
              <c:numCache>
                <c:formatCode>#,##0_ ;[Red]\-#,##0\ </c:formatCode>
                <c:ptCount val="10"/>
                <c:pt idx="0">
                  <c:v>0</c:v>
                </c:pt>
                <c:pt idx="1">
                  <c:v>0</c:v>
                </c:pt>
                <c:pt idx="2">
                  <c:v>0</c:v>
                </c:pt>
                <c:pt idx="3">
                  <c:v>0</c:v>
                </c:pt>
                <c:pt idx="4">
                  <c:v>243</c:v>
                </c:pt>
                <c:pt idx="5">
                  <c:v>464</c:v>
                </c:pt>
                <c:pt idx="6">
                  <c:v>584</c:v>
                </c:pt>
                <c:pt idx="7">
                  <c:v>928</c:v>
                </c:pt>
                <c:pt idx="8">
                  <c:v>0</c:v>
                </c:pt>
                <c:pt idx="9">
                  <c:v>0</c:v>
                </c:pt>
              </c:numCache>
            </c:numRef>
          </c:val>
          <c:smooth val="0"/>
          <c:extLst>
            <c:ext xmlns:c16="http://schemas.microsoft.com/office/drawing/2014/chart" uri="{C3380CC4-5D6E-409C-BE32-E72D297353CC}">
              <c16:uniqueId val="{00000000-81E8-446A-9873-3A3EC894B9F2}"/>
            </c:ext>
          </c:extLst>
        </c:ser>
        <c:ser>
          <c:idx val="1"/>
          <c:order val="1"/>
          <c:marker>
            <c:symbol val="none"/>
          </c:marker>
          <c:val>
            <c:numRef>
              <c:f>('4'!$W$4,'4'!$W$9,'4'!$W$14,'4'!$W$19,'4'!$W$24,'4'!$W$29,'4'!$W$34,'4'!$W$39,'4'!$W$44,'4'!$W$49)</c:f>
              <c:numCache>
                <c:formatCode>#,##0_ ;[Red]\-#,##0\ </c:formatCode>
                <c:ptCount val="10"/>
                <c:pt idx="0">
                  <c:v>0</c:v>
                </c:pt>
                <c:pt idx="1">
                  <c:v>0</c:v>
                </c:pt>
                <c:pt idx="2">
                  <c:v>0</c:v>
                </c:pt>
                <c:pt idx="3">
                  <c:v>0</c:v>
                </c:pt>
                <c:pt idx="4">
                  <c:v>167</c:v>
                </c:pt>
                <c:pt idx="5">
                  <c:v>318</c:v>
                </c:pt>
                <c:pt idx="6">
                  <c:v>395</c:v>
                </c:pt>
                <c:pt idx="7">
                  <c:v>479</c:v>
                </c:pt>
                <c:pt idx="8">
                  <c:v>0</c:v>
                </c:pt>
                <c:pt idx="9">
                  <c:v>0</c:v>
                </c:pt>
              </c:numCache>
            </c:numRef>
          </c:val>
          <c:smooth val="0"/>
          <c:extLst>
            <c:ext xmlns:c16="http://schemas.microsoft.com/office/drawing/2014/chart" uri="{C3380CC4-5D6E-409C-BE32-E72D297353CC}">
              <c16:uniqueId val="{00000001-81E8-446A-9873-3A3EC894B9F2}"/>
            </c:ext>
          </c:extLst>
        </c:ser>
        <c:ser>
          <c:idx val="2"/>
          <c:order val="2"/>
          <c:marker>
            <c:symbol val="none"/>
          </c:marker>
          <c:val>
            <c:numRef>
              <c:f>('4'!$X$4,'4'!$X$9,'4'!$X$14,'4'!$X$19,'4'!$X$24,'4'!$X$29,'4'!$X$34,'4'!$X$39,'4'!$X$44,'4'!$X$49)</c:f>
              <c:numCache>
                <c:formatCode>#,##0_ ;[Red]\-#,##0\ </c:formatCode>
                <c:ptCount val="10"/>
                <c:pt idx="0">
                  <c:v>0</c:v>
                </c:pt>
                <c:pt idx="1">
                  <c:v>0</c:v>
                </c:pt>
                <c:pt idx="2">
                  <c:v>0</c:v>
                </c:pt>
                <c:pt idx="3">
                  <c:v>0</c:v>
                </c:pt>
                <c:pt idx="4">
                  <c:v>95</c:v>
                </c:pt>
                <c:pt idx="5">
                  <c:v>178</c:v>
                </c:pt>
                <c:pt idx="6">
                  <c:v>234</c:v>
                </c:pt>
                <c:pt idx="7">
                  <c:v>254</c:v>
                </c:pt>
                <c:pt idx="8">
                  <c:v>0</c:v>
                </c:pt>
                <c:pt idx="9">
                  <c:v>0</c:v>
                </c:pt>
              </c:numCache>
            </c:numRef>
          </c:val>
          <c:smooth val="0"/>
          <c:extLst>
            <c:ext xmlns:c16="http://schemas.microsoft.com/office/drawing/2014/chart" uri="{C3380CC4-5D6E-409C-BE32-E72D297353CC}">
              <c16:uniqueId val="{00000002-81E8-446A-9873-3A3EC894B9F2}"/>
            </c:ext>
          </c:extLst>
        </c:ser>
        <c:dLbls>
          <c:showLegendKey val="0"/>
          <c:showVal val="0"/>
          <c:showCatName val="0"/>
          <c:showSerName val="0"/>
          <c:showPercent val="0"/>
          <c:showBubbleSize val="0"/>
        </c:dLbls>
        <c:smooth val="0"/>
        <c:axId val="251589792"/>
        <c:axId val="251590352"/>
      </c:lineChart>
      <c:catAx>
        <c:axId val="251589792"/>
        <c:scaling>
          <c:orientation val="minMax"/>
        </c:scaling>
        <c:delete val="0"/>
        <c:axPos val="b"/>
        <c:majorTickMark val="out"/>
        <c:minorTickMark val="none"/>
        <c:tickLblPos val="nextTo"/>
        <c:crossAx val="251590352"/>
        <c:crosses val="autoZero"/>
        <c:auto val="1"/>
        <c:lblAlgn val="ctr"/>
        <c:lblOffset val="100"/>
        <c:noMultiLvlLbl val="0"/>
      </c:catAx>
      <c:valAx>
        <c:axId val="251590352"/>
        <c:scaling>
          <c:orientation val="minMax"/>
        </c:scaling>
        <c:delete val="0"/>
        <c:axPos val="l"/>
        <c:majorGridlines/>
        <c:numFmt formatCode="#,##0_ ;[Red]\-#,##0\ " sourceLinked="1"/>
        <c:majorTickMark val="out"/>
        <c:minorTickMark val="none"/>
        <c:tickLblPos val="nextTo"/>
        <c:crossAx val="25158979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('4'!$Y$1,'4'!$Y$6,'4'!$Y$11,'4'!$Y$16,'4'!$Y$21,'4'!$Y$26,'4'!$Y$31,'4'!$Y$36,'4'!$Y$41,'4'!$Y$46)</c:f>
              <c:numCache>
                <c:formatCode>#,##0_ ;[Red]\-#,##0\ </c:formatCode>
                <c:ptCount val="10"/>
                <c:pt idx="0">
                  <c:v>0</c:v>
                </c:pt>
                <c:pt idx="1">
                  <c:v>1175</c:v>
                </c:pt>
                <c:pt idx="2">
                  <c:v>2576</c:v>
                </c:pt>
                <c:pt idx="3">
                  <c:v>2543</c:v>
                </c:pt>
                <c:pt idx="4">
                  <c:v>2892</c:v>
                </c:pt>
                <c:pt idx="5">
                  <c:v>3376</c:v>
                </c:pt>
                <c:pt idx="6">
                  <c:v>3802</c:v>
                </c:pt>
                <c:pt idx="7">
                  <c:v>4965</c:v>
                </c:pt>
                <c:pt idx="8">
                  <c:v>0</c:v>
                </c:pt>
                <c:pt idx="9">
                  <c:v>0</c:v>
                </c:pt>
              </c:numCache>
            </c:numRef>
          </c:val>
          <c:smooth val="0"/>
          <c:extLst>
            <c:ext xmlns:c16="http://schemas.microsoft.com/office/drawing/2014/chart" uri="{C3380CC4-5D6E-409C-BE32-E72D297353CC}">
              <c16:uniqueId val="{00000000-97FA-41CC-9002-380744F0C1EE}"/>
            </c:ext>
          </c:extLst>
        </c:ser>
        <c:dLbls>
          <c:showLegendKey val="0"/>
          <c:showVal val="0"/>
          <c:showCatName val="0"/>
          <c:showSerName val="0"/>
          <c:showPercent val="0"/>
          <c:showBubbleSize val="0"/>
        </c:dLbls>
        <c:smooth val="0"/>
        <c:axId val="252000192"/>
        <c:axId val="252000752"/>
      </c:lineChart>
      <c:catAx>
        <c:axId val="252000192"/>
        <c:scaling>
          <c:orientation val="minMax"/>
        </c:scaling>
        <c:delete val="0"/>
        <c:axPos val="b"/>
        <c:majorTickMark val="out"/>
        <c:minorTickMark val="none"/>
        <c:tickLblPos val="nextTo"/>
        <c:crossAx val="252000752"/>
        <c:crosses val="autoZero"/>
        <c:auto val="1"/>
        <c:lblAlgn val="ctr"/>
        <c:lblOffset val="100"/>
        <c:noMultiLvlLbl val="0"/>
      </c:catAx>
      <c:valAx>
        <c:axId val="252000752"/>
        <c:scaling>
          <c:orientation val="minMax"/>
        </c:scaling>
        <c:delete val="0"/>
        <c:axPos val="l"/>
        <c:majorGridlines/>
        <c:numFmt formatCode="#,##0_ ;[Red]\-#,##0\ " sourceLinked="1"/>
        <c:majorTickMark val="out"/>
        <c:minorTickMark val="none"/>
        <c:tickLblPos val="nextTo"/>
        <c:crossAx val="252000192"/>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('5'!$V$2,'5'!$V$7,'5'!$V$12,'5'!$V$17,'5'!$V$22,'5'!$V$27,'5'!$V$32,'5'!$V$37,'5'!$V$42,'5'!$V$47)</c:f>
              <c:numCache>
                <c:formatCode>#,##0_ ;[Red]\-#,##0\ </c:formatCode>
                <c:ptCount val="10"/>
                <c:pt idx="0">
                  <c:v>0</c:v>
                </c:pt>
                <c:pt idx="1">
                  <c:v>592</c:v>
                </c:pt>
                <c:pt idx="2">
                  <c:v>1367</c:v>
                </c:pt>
                <c:pt idx="3">
                  <c:v>1112</c:v>
                </c:pt>
                <c:pt idx="4">
                  <c:v>1016</c:v>
                </c:pt>
                <c:pt idx="5">
                  <c:v>970</c:v>
                </c:pt>
                <c:pt idx="6">
                  <c:v>1178</c:v>
                </c:pt>
                <c:pt idx="7">
                  <c:v>1093</c:v>
                </c:pt>
                <c:pt idx="8">
                  <c:v>0</c:v>
                </c:pt>
                <c:pt idx="9">
                  <c:v>0</c:v>
                </c:pt>
              </c:numCache>
            </c:numRef>
          </c:val>
          <c:smooth val="0"/>
          <c:extLst>
            <c:ext xmlns:c16="http://schemas.microsoft.com/office/drawing/2014/chart" uri="{C3380CC4-5D6E-409C-BE32-E72D297353CC}">
              <c16:uniqueId val="{00000000-6B62-41BD-9591-47723EA54F53}"/>
            </c:ext>
          </c:extLst>
        </c:ser>
        <c:ser>
          <c:idx val="1"/>
          <c:order val="1"/>
          <c:marker>
            <c:symbol val="none"/>
          </c:marker>
          <c:val>
            <c:numRef>
              <c:f>('5'!$W$2,'5'!$W$7,'5'!$W$12,'5'!$W$17,'5'!$W$22,'5'!$W$27,'5'!$W$32,'5'!$W$37,'5'!$W$42,'5'!$W$47)</c:f>
              <c:numCache>
                <c:formatCode>#,##0_ ;[Red]\-#,##0\ </c:formatCode>
                <c:ptCount val="10"/>
                <c:pt idx="0">
                  <c:v>0</c:v>
                </c:pt>
                <c:pt idx="1">
                  <c:v>363</c:v>
                </c:pt>
                <c:pt idx="2">
                  <c:v>772</c:v>
                </c:pt>
                <c:pt idx="3">
                  <c:v>686</c:v>
                </c:pt>
                <c:pt idx="4">
                  <c:v>670</c:v>
                </c:pt>
                <c:pt idx="5">
                  <c:v>663</c:v>
                </c:pt>
                <c:pt idx="6">
                  <c:v>717</c:v>
                </c:pt>
                <c:pt idx="7">
                  <c:v>701</c:v>
                </c:pt>
                <c:pt idx="8">
                  <c:v>0</c:v>
                </c:pt>
                <c:pt idx="9">
                  <c:v>0</c:v>
                </c:pt>
              </c:numCache>
            </c:numRef>
          </c:val>
          <c:smooth val="0"/>
          <c:extLst>
            <c:ext xmlns:c16="http://schemas.microsoft.com/office/drawing/2014/chart" uri="{C3380CC4-5D6E-409C-BE32-E72D297353CC}">
              <c16:uniqueId val="{00000001-6B62-41BD-9591-47723EA54F53}"/>
            </c:ext>
          </c:extLst>
        </c:ser>
        <c:ser>
          <c:idx val="2"/>
          <c:order val="2"/>
          <c:marker>
            <c:symbol val="none"/>
          </c:marker>
          <c:val>
            <c:numRef>
              <c:f>('5'!$X$2,'5'!$X$7,'5'!$X$12,'5'!$X$17,'5'!$X$22,'5'!$X$27,'5'!$X$32,'5'!$X$37,'5'!$X$42,'5'!$X$47)</c:f>
              <c:numCache>
                <c:formatCode>#,##0_ ;[Red]\-#,##0\ </c:formatCode>
                <c:ptCount val="10"/>
                <c:pt idx="0">
                  <c:v>0</c:v>
                </c:pt>
                <c:pt idx="1">
                  <c:v>220</c:v>
                </c:pt>
                <c:pt idx="2">
                  <c:v>437</c:v>
                </c:pt>
                <c:pt idx="3">
                  <c:v>381</c:v>
                </c:pt>
                <c:pt idx="4">
                  <c:v>396</c:v>
                </c:pt>
                <c:pt idx="5">
                  <c:v>399</c:v>
                </c:pt>
                <c:pt idx="6">
                  <c:v>392</c:v>
                </c:pt>
                <c:pt idx="7">
                  <c:v>363</c:v>
                </c:pt>
                <c:pt idx="8">
                  <c:v>0</c:v>
                </c:pt>
                <c:pt idx="9">
                  <c:v>0</c:v>
                </c:pt>
              </c:numCache>
            </c:numRef>
          </c:val>
          <c:smooth val="0"/>
          <c:extLst>
            <c:ext xmlns:c16="http://schemas.microsoft.com/office/drawing/2014/chart" uri="{C3380CC4-5D6E-409C-BE32-E72D297353CC}">
              <c16:uniqueId val="{00000002-6B62-41BD-9591-47723EA54F53}"/>
            </c:ext>
          </c:extLst>
        </c:ser>
        <c:dLbls>
          <c:showLegendKey val="0"/>
          <c:showVal val="0"/>
          <c:showCatName val="0"/>
          <c:showSerName val="0"/>
          <c:showPercent val="0"/>
          <c:showBubbleSize val="0"/>
        </c:dLbls>
        <c:smooth val="0"/>
        <c:axId val="252006912"/>
        <c:axId val="252247584"/>
      </c:lineChart>
      <c:catAx>
        <c:axId val="252006912"/>
        <c:scaling>
          <c:orientation val="minMax"/>
        </c:scaling>
        <c:delete val="0"/>
        <c:axPos val="b"/>
        <c:majorTickMark val="out"/>
        <c:minorTickMark val="none"/>
        <c:tickLblPos val="nextTo"/>
        <c:crossAx val="252247584"/>
        <c:crosses val="autoZero"/>
        <c:auto val="1"/>
        <c:lblAlgn val="ctr"/>
        <c:lblOffset val="100"/>
        <c:noMultiLvlLbl val="0"/>
      </c:catAx>
      <c:valAx>
        <c:axId val="252247584"/>
        <c:scaling>
          <c:orientation val="minMax"/>
        </c:scaling>
        <c:delete val="0"/>
        <c:axPos val="l"/>
        <c:majorGridlines/>
        <c:numFmt formatCode="#,##0_ ;[Red]\-#,##0\ " sourceLinked="1"/>
        <c:majorTickMark val="out"/>
        <c:minorTickMark val="none"/>
        <c:tickLblPos val="nextTo"/>
        <c:crossAx val="252006912"/>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('5'!$V$3,'5'!$V$8,'5'!$V$13,'5'!$V$18,'5'!$V$23,'5'!$V$28,'5'!$V$33,'5'!$V$38,'5'!$V$43,'5'!$V$48)</c:f>
              <c:numCache>
                <c:formatCode>#,##0_ ;[Red]\-#,##0\ </c:formatCode>
                <c:ptCount val="10"/>
                <c:pt idx="0">
                  <c:v>0</c:v>
                </c:pt>
                <c:pt idx="1">
                  <c:v>0</c:v>
                </c:pt>
                <c:pt idx="2">
                  <c:v>0</c:v>
                </c:pt>
                <c:pt idx="3">
                  <c:v>172</c:v>
                </c:pt>
                <c:pt idx="4">
                  <c:v>122</c:v>
                </c:pt>
                <c:pt idx="5">
                  <c:v>155</c:v>
                </c:pt>
                <c:pt idx="6">
                  <c:v>113</c:v>
                </c:pt>
                <c:pt idx="7">
                  <c:v>595</c:v>
                </c:pt>
                <c:pt idx="8">
                  <c:v>0</c:v>
                </c:pt>
                <c:pt idx="9">
                  <c:v>0</c:v>
                </c:pt>
              </c:numCache>
            </c:numRef>
          </c:val>
          <c:smooth val="0"/>
          <c:extLst>
            <c:ext xmlns:c16="http://schemas.microsoft.com/office/drawing/2014/chart" uri="{C3380CC4-5D6E-409C-BE32-E72D297353CC}">
              <c16:uniqueId val="{00000000-F61E-4476-8D77-9686F3AAC0FB}"/>
            </c:ext>
          </c:extLst>
        </c:ser>
        <c:ser>
          <c:idx val="1"/>
          <c:order val="1"/>
          <c:marker>
            <c:symbol val="none"/>
          </c:marker>
          <c:val>
            <c:numRef>
              <c:f>('5'!$W$3,'5'!$W$8,'5'!$W$13,'5'!$W$18,'5'!$W$23,'5'!$W$28,'5'!$W$33,'5'!$W$38,'5'!$W$43,'5'!$W$48)</c:f>
              <c:numCache>
                <c:formatCode>#,##0_ ;[Red]\-#,##0\ </c:formatCode>
                <c:ptCount val="10"/>
                <c:pt idx="0">
                  <c:v>0</c:v>
                </c:pt>
                <c:pt idx="1">
                  <c:v>0</c:v>
                </c:pt>
                <c:pt idx="2">
                  <c:v>0</c:v>
                </c:pt>
                <c:pt idx="3">
                  <c:v>123</c:v>
                </c:pt>
                <c:pt idx="4">
                  <c:v>120</c:v>
                </c:pt>
                <c:pt idx="5">
                  <c:v>152</c:v>
                </c:pt>
                <c:pt idx="6">
                  <c:v>126</c:v>
                </c:pt>
                <c:pt idx="7">
                  <c:v>362</c:v>
                </c:pt>
                <c:pt idx="8">
                  <c:v>0</c:v>
                </c:pt>
                <c:pt idx="9">
                  <c:v>0</c:v>
                </c:pt>
              </c:numCache>
            </c:numRef>
          </c:val>
          <c:smooth val="0"/>
          <c:extLst>
            <c:ext xmlns:c16="http://schemas.microsoft.com/office/drawing/2014/chart" uri="{C3380CC4-5D6E-409C-BE32-E72D297353CC}">
              <c16:uniqueId val="{00000001-F61E-4476-8D77-9686F3AAC0FB}"/>
            </c:ext>
          </c:extLst>
        </c:ser>
        <c:ser>
          <c:idx val="2"/>
          <c:order val="2"/>
          <c:marker>
            <c:symbol val="none"/>
          </c:marker>
          <c:val>
            <c:numRef>
              <c:f>('5'!$X$3,'5'!$X$8,'5'!$X$13,'5'!$X$18,'5'!$X$23,'5'!$X$28,'5'!$X$33,'5'!$X$38,'5'!$X$43,'5'!$X$48)</c:f>
              <c:numCache>
                <c:formatCode>#,##0_ ;[Red]\-#,##0\ </c:formatCode>
                <c:ptCount val="10"/>
                <c:pt idx="0">
                  <c:v>0</c:v>
                </c:pt>
                <c:pt idx="1">
                  <c:v>0</c:v>
                </c:pt>
                <c:pt idx="2">
                  <c:v>0</c:v>
                </c:pt>
                <c:pt idx="3">
                  <c:v>69</c:v>
                </c:pt>
                <c:pt idx="4">
                  <c:v>63</c:v>
                </c:pt>
                <c:pt idx="5">
                  <c:v>77</c:v>
                </c:pt>
                <c:pt idx="6">
                  <c:v>63</c:v>
                </c:pt>
                <c:pt idx="7">
                  <c:v>190</c:v>
                </c:pt>
                <c:pt idx="8">
                  <c:v>0</c:v>
                </c:pt>
                <c:pt idx="9">
                  <c:v>0</c:v>
                </c:pt>
              </c:numCache>
            </c:numRef>
          </c:val>
          <c:smooth val="0"/>
          <c:extLst>
            <c:ext xmlns:c16="http://schemas.microsoft.com/office/drawing/2014/chart" uri="{C3380CC4-5D6E-409C-BE32-E72D297353CC}">
              <c16:uniqueId val="{00000002-F61E-4476-8D77-9686F3AAC0FB}"/>
            </c:ext>
          </c:extLst>
        </c:ser>
        <c:dLbls>
          <c:showLegendKey val="0"/>
          <c:showVal val="0"/>
          <c:showCatName val="0"/>
          <c:showSerName val="0"/>
          <c:showPercent val="0"/>
          <c:showBubbleSize val="0"/>
        </c:dLbls>
        <c:smooth val="0"/>
        <c:axId val="252250944"/>
        <c:axId val="252251504"/>
      </c:lineChart>
      <c:catAx>
        <c:axId val="252250944"/>
        <c:scaling>
          <c:orientation val="minMax"/>
        </c:scaling>
        <c:delete val="0"/>
        <c:axPos val="b"/>
        <c:majorTickMark val="out"/>
        <c:minorTickMark val="none"/>
        <c:tickLblPos val="nextTo"/>
        <c:crossAx val="252251504"/>
        <c:crosses val="autoZero"/>
        <c:auto val="1"/>
        <c:lblAlgn val="ctr"/>
        <c:lblOffset val="100"/>
        <c:noMultiLvlLbl val="0"/>
      </c:catAx>
      <c:valAx>
        <c:axId val="252251504"/>
        <c:scaling>
          <c:orientation val="minMax"/>
        </c:scaling>
        <c:delete val="0"/>
        <c:axPos val="l"/>
        <c:majorGridlines/>
        <c:numFmt formatCode="#,##0_ ;[Red]\-#,##0\ " sourceLinked="1"/>
        <c:majorTickMark val="out"/>
        <c:minorTickMark val="none"/>
        <c:tickLblPos val="nextTo"/>
        <c:crossAx val="25225094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('5'!$V$4,'5'!$V$9,'5'!$V$14,'5'!$V$19,'5'!$V$24,'5'!$V$29,'5'!$V$34,'5'!$V$39,'5'!$V$44,'5'!$V$49)</c:f>
              <c:numCache>
                <c:formatCode>#,##0_ ;[Red]\-#,##0\ </c:formatCode>
                <c:ptCount val="10"/>
                <c:pt idx="0">
                  <c:v>0</c:v>
                </c:pt>
                <c:pt idx="1">
                  <c:v>0</c:v>
                </c:pt>
                <c:pt idx="2">
                  <c:v>0</c:v>
                </c:pt>
                <c:pt idx="3">
                  <c:v>0</c:v>
                </c:pt>
                <c:pt idx="4">
                  <c:v>243</c:v>
                </c:pt>
                <c:pt idx="5">
                  <c:v>464</c:v>
                </c:pt>
                <c:pt idx="6">
                  <c:v>584</c:v>
                </c:pt>
                <c:pt idx="7">
                  <c:v>928</c:v>
                </c:pt>
                <c:pt idx="8">
                  <c:v>0</c:v>
                </c:pt>
                <c:pt idx="9">
                  <c:v>0</c:v>
                </c:pt>
              </c:numCache>
            </c:numRef>
          </c:val>
          <c:smooth val="0"/>
          <c:extLst>
            <c:ext xmlns:c16="http://schemas.microsoft.com/office/drawing/2014/chart" uri="{C3380CC4-5D6E-409C-BE32-E72D297353CC}">
              <c16:uniqueId val="{00000000-79B2-441B-A7B4-85F8635E11E9}"/>
            </c:ext>
          </c:extLst>
        </c:ser>
        <c:ser>
          <c:idx val="1"/>
          <c:order val="1"/>
          <c:marker>
            <c:symbol val="none"/>
          </c:marker>
          <c:val>
            <c:numRef>
              <c:f>('5'!$W$4,'5'!$W$9,'5'!$W$14,'5'!$W$19,'5'!$W$24,'5'!$W$29,'5'!$W$34,'5'!$W$39,'5'!$W$44,'5'!$W$49)</c:f>
              <c:numCache>
                <c:formatCode>#,##0_ ;[Red]\-#,##0\ </c:formatCode>
                <c:ptCount val="10"/>
                <c:pt idx="0">
                  <c:v>0</c:v>
                </c:pt>
                <c:pt idx="1">
                  <c:v>0</c:v>
                </c:pt>
                <c:pt idx="2">
                  <c:v>0</c:v>
                </c:pt>
                <c:pt idx="3">
                  <c:v>0</c:v>
                </c:pt>
                <c:pt idx="4">
                  <c:v>167</c:v>
                </c:pt>
                <c:pt idx="5">
                  <c:v>318</c:v>
                </c:pt>
                <c:pt idx="6">
                  <c:v>395</c:v>
                </c:pt>
                <c:pt idx="7">
                  <c:v>479</c:v>
                </c:pt>
                <c:pt idx="8">
                  <c:v>0</c:v>
                </c:pt>
                <c:pt idx="9">
                  <c:v>0</c:v>
                </c:pt>
              </c:numCache>
            </c:numRef>
          </c:val>
          <c:smooth val="0"/>
          <c:extLst>
            <c:ext xmlns:c16="http://schemas.microsoft.com/office/drawing/2014/chart" uri="{C3380CC4-5D6E-409C-BE32-E72D297353CC}">
              <c16:uniqueId val="{00000001-79B2-441B-A7B4-85F8635E11E9}"/>
            </c:ext>
          </c:extLst>
        </c:ser>
        <c:ser>
          <c:idx val="2"/>
          <c:order val="2"/>
          <c:marker>
            <c:symbol val="none"/>
          </c:marker>
          <c:val>
            <c:numRef>
              <c:f>('5'!$X$4,'5'!$X$9,'5'!$X$14,'5'!$X$19,'5'!$X$24,'5'!$X$29,'5'!$X$34,'5'!$X$39,'5'!$X$44,'5'!$X$49)</c:f>
              <c:numCache>
                <c:formatCode>#,##0_ ;[Red]\-#,##0\ </c:formatCode>
                <c:ptCount val="10"/>
                <c:pt idx="0">
                  <c:v>0</c:v>
                </c:pt>
                <c:pt idx="1">
                  <c:v>0</c:v>
                </c:pt>
                <c:pt idx="2">
                  <c:v>0</c:v>
                </c:pt>
                <c:pt idx="3">
                  <c:v>0</c:v>
                </c:pt>
                <c:pt idx="4">
                  <c:v>95</c:v>
                </c:pt>
                <c:pt idx="5">
                  <c:v>178</c:v>
                </c:pt>
                <c:pt idx="6">
                  <c:v>234</c:v>
                </c:pt>
                <c:pt idx="7">
                  <c:v>254</c:v>
                </c:pt>
                <c:pt idx="8">
                  <c:v>0</c:v>
                </c:pt>
                <c:pt idx="9">
                  <c:v>0</c:v>
                </c:pt>
              </c:numCache>
            </c:numRef>
          </c:val>
          <c:smooth val="0"/>
          <c:extLst>
            <c:ext xmlns:c16="http://schemas.microsoft.com/office/drawing/2014/chart" uri="{C3380CC4-5D6E-409C-BE32-E72D297353CC}">
              <c16:uniqueId val="{00000002-79B2-441B-A7B4-85F8635E11E9}"/>
            </c:ext>
          </c:extLst>
        </c:ser>
        <c:dLbls>
          <c:showLegendKey val="0"/>
          <c:showVal val="0"/>
          <c:showCatName val="0"/>
          <c:showSerName val="0"/>
          <c:showPercent val="0"/>
          <c:showBubbleSize val="0"/>
        </c:dLbls>
        <c:smooth val="0"/>
        <c:axId val="252254864"/>
        <c:axId val="252982704"/>
      </c:lineChart>
      <c:catAx>
        <c:axId val="252254864"/>
        <c:scaling>
          <c:orientation val="minMax"/>
        </c:scaling>
        <c:delete val="0"/>
        <c:axPos val="b"/>
        <c:majorTickMark val="out"/>
        <c:minorTickMark val="none"/>
        <c:tickLblPos val="nextTo"/>
        <c:crossAx val="252982704"/>
        <c:crosses val="autoZero"/>
        <c:auto val="1"/>
        <c:lblAlgn val="ctr"/>
        <c:lblOffset val="100"/>
        <c:noMultiLvlLbl val="0"/>
      </c:catAx>
      <c:valAx>
        <c:axId val="252982704"/>
        <c:scaling>
          <c:orientation val="minMax"/>
        </c:scaling>
        <c:delete val="0"/>
        <c:axPos val="l"/>
        <c:majorGridlines/>
        <c:numFmt formatCode="#,##0_ ;[Red]\-#,##0\ " sourceLinked="1"/>
        <c:majorTickMark val="out"/>
        <c:minorTickMark val="none"/>
        <c:tickLblPos val="nextTo"/>
        <c:crossAx val="25225486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('5'!$Y$1,'5'!$Y$6,'5'!$Y$11,'5'!$Y$16,'5'!$Y$21,'5'!$Y$26,'5'!$Y$31,'5'!$Y$36,'5'!$Y$41,'5'!$Y$46)</c:f>
              <c:numCache>
                <c:formatCode>#,##0_ ;[Red]\-#,##0\ </c:formatCode>
                <c:ptCount val="10"/>
                <c:pt idx="0">
                  <c:v>0</c:v>
                </c:pt>
                <c:pt idx="1">
                  <c:v>1175</c:v>
                </c:pt>
                <c:pt idx="2">
                  <c:v>2576</c:v>
                </c:pt>
                <c:pt idx="3">
                  <c:v>2543</c:v>
                </c:pt>
                <c:pt idx="4">
                  <c:v>2892</c:v>
                </c:pt>
                <c:pt idx="5">
                  <c:v>3376</c:v>
                </c:pt>
                <c:pt idx="6">
                  <c:v>3802</c:v>
                </c:pt>
                <c:pt idx="7">
                  <c:v>4965</c:v>
                </c:pt>
                <c:pt idx="8">
                  <c:v>0</c:v>
                </c:pt>
                <c:pt idx="9">
                  <c:v>0</c:v>
                </c:pt>
              </c:numCache>
            </c:numRef>
          </c:val>
          <c:smooth val="0"/>
          <c:extLst>
            <c:ext xmlns:c16="http://schemas.microsoft.com/office/drawing/2014/chart" uri="{C3380CC4-5D6E-409C-BE32-E72D297353CC}">
              <c16:uniqueId val="{00000000-D318-4643-B083-99AEC2DFEC59}"/>
            </c:ext>
          </c:extLst>
        </c:ser>
        <c:dLbls>
          <c:showLegendKey val="0"/>
          <c:showVal val="0"/>
          <c:showCatName val="0"/>
          <c:showSerName val="0"/>
          <c:showPercent val="0"/>
          <c:showBubbleSize val="0"/>
        </c:dLbls>
        <c:smooth val="0"/>
        <c:axId val="252984944"/>
        <c:axId val="252985504"/>
      </c:lineChart>
      <c:catAx>
        <c:axId val="252984944"/>
        <c:scaling>
          <c:orientation val="minMax"/>
        </c:scaling>
        <c:delete val="0"/>
        <c:axPos val="b"/>
        <c:majorTickMark val="out"/>
        <c:minorTickMark val="none"/>
        <c:tickLblPos val="nextTo"/>
        <c:crossAx val="252985504"/>
        <c:crosses val="autoZero"/>
        <c:auto val="1"/>
        <c:lblAlgn val="ctr"/>
        <c:lblOffset val="100"/>
        <c:noMultiLvlLbl val="0"/>
      </c:catAx>
      <c:valAx>
        <c:axId val="252985504"/>
        <c:scaling>
          <c:orientation val="minMax"/>
        </c:scaling>
        <c:delete val="0"/>
        <c:axPos val="l"/>
        <c:majorGridlines/>
        <c:numFmt formatCode="#,##0_ ;[Red]\-#,##0\ " sourceLinked="1"/>
        <c:majorTickMark val="out"/>
        <c:minorTickMark val="none"/>
        <c:tickLblPos val="nextTo"/>
        <c:crossAx val="252984944"/>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(Strategy!$Z$2,Strategy!$Z$7,Strategy!$Z$12,Strategy!$Z$17,Strategy!$Z$22,Strategy!$Z$27,Strategy!$Z$32,Strategy!$Z$37,Strategy!$Z$42,Strategy!$Z$47)</c:f>
              <c:numCache>
                <c:formatCode>#,##0_ ;[Red]\-#,##0\ </c:formatCode>
                <c:ptCount val="10"/>
                <c:pt idx="0">
                  <c:v>0</c:v>
                </c:pt>
                <c:pt idx="1">
                  <c:v>592</c:v>
                </c:pt>
                <c:pt idx="2">
                  <c:v>1367</c:v>
                </c:pt>
                <c:pt idx="3">
                  <c:v>1112</c:v>
                </c:pt>
                <c:pt idx="4">
                  <c:v>1016</c:v>
                </c:pt>
                <c:pt idx="5">
                  <c:v>970</c:v>
                </c:pt>
                <c:pt idx="6">
                  <c:v>1178</c:v>
                </c:pt>
                <c:pt idx="7">
                  <c:v>1093</c:v>
                </c:pt>
                <c:pt idx="8">
                  <c:v>0</c:v>
                </c:pt>
                <c:pt idx="9">
                  <c:v>0</c:v>
                </c:pt>
              </c:numCache>
            </c:numRef>
          </c:val>
          <c:smooth val="0"/>
          <c:extLst>
            <c:ext xmlns:c16="http://schemas.microsoft.com/office/drawing/2014/chart" uri="{C3380CC4-5D6E-409C-BE32-E72D297353CC}">
              <c16:uniqueId val="{00000000-BE36-4E34-BE74-280AFBB669FE}"/>
            </c:ext>
          </c:extLst>
        </c:ser>
        <c:ser>
          <c:idx val="1"/>
          <c:order val="1"/>
          <c:marker>
            <c:symbol val="none"/>
          </c:marker>
          <c:val>
            <c:numRef>
              <c:f>(Strategy!$AA$2,Strategy!$AA$7,Strategy!$AA$12,Strategy!$AA$17,Strategy!$AA$22,Strategy!$AA$27,Strategy!$AA$32,Strategy!$AA$37,Strategy!$AA$42,Strategy!$AA$47)</c:f>
              <c:numCache>
                <c:formatCode>#,##0_ ;[Red]\-#,##0\ </c:formatCode>
                <c:ptCount val="10"/>
                <c:pt idx="0">
                  <c:v>0</c:v>
                </c:pt>
                <c:pt idx="1">
                  <c:v>363</c:v>
                </c:pt>
                <c:pt idx="2">
                  <c:v>772</c:v>
                </c:pt>
                <c:pt idx="3">
                  <c:v>686</c:v>
                </c:pt>
                <c:pt idx="4">
                  <c:v>670</c:v>
                </c:pt>
                <c:pt idx="5">
                  <c:v>663</c:v>
                </c:pt>
                <c:pt idx="6">
                  <c:v>717</c:v>
                </c:pt>
                <c:pt idx="7">
                  <c:v>701</c:v>
                </c:pt>
                <c:pt idx="8">
                  <c:v>0</c:v>
                </c:pt>
                <c:pt idx="9">
                  <c:v>0</c:v>
                </c:pt>
              </c:numCache>
            </c:numRef>
          </c:val>
          <c:smooth val="0"/>
          <c:extLst>
            <c:ext xmlns:c16="http://schemas.microsoft.com/office/drawing/2014/chart" uri="{C3380CC4-5D6E-409C-BE32-E72D297353CC}">
              <c16:uniqueId val="{00000001-BE36-4E34-BE74-280AFBB669FE}"/>
            </c:ext>
          </c:extLst>
        </c:ser>
        <c:ser>
          <c:idx val="2"/>
          <c:order val="2"/>
          <c:marker>
            <c:symbol val="none"/>
          </c:marker>
          <c:val>
            <c:numRef>
              <c:f>(Strategy!$AB$2,Strategy!$AB$7,Strategy!$AB$12,Strategy!$AB$17,Strategy!$AB$22,Strategy!$AB$27,Strategy!$AB$32,Strategy!$AB$37,Strategy!$AB$42,Strategy!$AB$47)</c:f>
              <c:numCache>
                <c:formatCode>#,##0_ ;[Red]\-#,##0\ </c:formatCode>
                <c:ptCount val="10"/>
                <c:pt idx="0">
                  <c:v>0</c:v>
                </c:pt>
                <c:pt idx="1">
                  <c:v>220</c:v>
                </c:pt>
                <c:pt idx="2">
                  <c:v>437</c:v>
                </c:pt>
                <c:pt idx="3">
                  <c:v>381</c:v>
                </c:pt>
                <c:pt idx="4">
                  <c:v>396</c:v>
                </c:pt>
                <c:pt idx="5">
                  <c:v>399</c:v>
                </c:pt>
                <c:pt idx="6">
                  <c:v>392</c:v>
                </c:pt>
                <c:pt idx="7">
                  <c:v>363</c:v>
                </c:pt>
                <c:pt idx="8">
                  <c:v>0</c:v>
                </c:pt>
                <c:pt idx="9">
                  <c:v>0</c:v>
                </c:pt>
              </c:numCache>
            </c:numRef>
          </c:val>
          <c:smooth val="0"/>
          <c:extLst>
            <c:ext xmlns:c16="http://schemas.microsoft.com/office/drawing/2014/chart" uri="{C3380CC4-5D6E-409C-BE32-E72D297353CC}">
              <c16:uniqueId val="{00000002-BE36-4E34-BE74-280AFBB669FE}"/>
            </c:ext>
          </c:extLst>
        </c:ser>
        <c:dLbls>
          <c:showLegendKey val="0"/>
          <c:showVal val="0"/>
          <c:showCatName val="0"/>
          <c:showSerName val="0"/>
          <c:showPercent val="0"/>
          <c:showBubbleSize val="0"/>
        </c:dLbls>
        <c:smooth val="0"/>
        <c:axId val="256714672"/>
        <c:axId val="256715232"/>
      </c:lineChart>
      <c:catAx>
        <c:axId val="256714672"/>
        <c:scaling>
          <c:orientation val="minMax"/>
        </c:scaling>
        <c:delete val="0"/>
        <c:axPos val="b"/>
        <c:majorTickMark val="out"/>
        <c:minorTickMark val="none"/>
        <c:tickLblPos val="nextTo"/>
        <c:crossAx val="256715232"/>
        <c:crosses val="autoZero"/>
        <c:auto val="1"/>
        <c:lblAlgn val="ctr"/>
        <c:lblOffset val="100"/>
        <c:noMultiLvlLbl val="0"/>
      </c:catAx>
      <c:valAx>
        <c:axId val="256715232"/>
        <c:scaling>
          <c:orientation val="minMax"/>
        </c:scaling>
        <c:delete val="0"/>
        <c:axPos val="l"/>
        <c:majorGridlines/>
        <c:numFmt formatCode="#,##0_ ;[Red]\-#,##0\ " sourceLinked="1"/>
        <c:majorTickMark val="out"/>
        <c:minorTickMark val="none"/>
        <c:tickLblPos val="nextTo"/>
        <c:crossAx val="256714672"/>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67970576882697"/>
          <c:y val="7.5143957259149824E-2"/>
          <c:w val="0.84465501878045879"/>
          <c:h val="0.75530170403826424"/>
        </c:manualLayout>
      </c:layout>
      <c:lineChart>
        <c:grouping val="standard"/>
        <c:varyColors val="0"/>
        <c:ser>
          <c:idx val="0"/>
          <c:order val="0"/>
          <c:marker>
            <c:symbol val="none"/>
          </c:marker>
          <c:val>
            <c:numRef>
              <c:f>(Strategy!$Z$3,Strategy!$Z$8,Strategy!$Z$13,Strategy!$Z$18,Strategy!$Z$23,Strategy!$Z$28,Strategy!$Z$33,Strategy!$Z$38,Strategy!$Z$43,Strategy!$Z$48)</c:f>
              <c:numCache>
                <c:formatCode>#,##0_ ;[Red]\-#,##0\ </c:formatCode>
                <c:ptCount val="10"/>
                <c:pt idx="0">
                  <c:v>0</c:v>
                </c:pt>
                <c:pt idx="1">
                  <c:v>0</c:v>
                </c:pt>
                <c:pt idx="2">
                  <c:v>0</c:v>
                </c:pt>
                <c:pt idx="3">
                  <c:v>172</c:v>
                </c:pt>
                <c:pt idx="4">
                  <c:v>122</c:v>
                </c:pt>
                <c:pt idx="5">
                  <c:v>155</c:v>
                </c:pt>
                <c:pt idx="6">
                  <c:v>113</c:v>
                </c:pt>
                <c:pt idx="7">
                  <c:v>595</c:v>
                </c:pt>
                <c:pt idx="8">
                  <c:v>0</c:v>
                </c:pt>
                <c:pt idx="9">
                  <c:v>0</c:v>
                </c:pt>
              </c:numCache>
            </c:numRef>
          </c:val>
          <c:smooth val="0"/>
          <c:extLst>
            <c:ext xmlns:c16="http://schemas.microsoft.com/office/drawing/2014/chart" uri="{C3380CC4-5D6E-409C-BE32-E72D297353CC}">
              <c16:uniqueId val="{00000000-7AB7-4375-91C2-52FBF29414B1}"/>
            </c:ext>
          </c:extLst>
        </c:ser>
        <c:ser>
          <c:idx val="1"/>
          <c:order val="1"/>
          <c:marker>
            <c:symbol val="none"/>
          </c:marker>
          <c:val>
            <c:numRef>
              <c:f>(Strategy!$AA$3,Strategy!$AA$8,Strategy!$AA$13,Strategy!$AA$18,Strategy!$AA$23,Strategy!$AA$28,Strategy!$AA$33,Strategy!$AA$38,Strategy!$AA$43,Strategy!$AA$48)</c:f>
              <c:numCache>
                <c:formatCode>#,##0_ ;[Red]\-#,##0\ </c:formatCode>
                <c:ptCount val="10"/>
                <c:pt idx="0">
                  <c:v>0</c:v>
                </c:pt>
                <c:pt idx="1">
                  <c:v>0</c:v>
                </c:pt>
                <c:pt idx="2">
                  <c:v>0</c:v>
                </c:pt>
                <c:pt idx="3">
                  <c:v>123</c:v>
                </c:pt>
                <c:pt idx="4">
                  <c:v>120</c:v>
                </c:pt>
                <c:pt idx="5">
                  <c:v>152</c:v>
                </c:pt>
                <c:pt idx="6">
                  <c:v>126</c:v>
                </c:pt>
                <c:pt idx="7">
                  <c:v>362</c:v>
                </c:pt>
                <c:pt idx="8">
                  <c:v>0</c:v>
                </c:pt>
                <c:pt idx="9">
                  <c:v>0</c:v>
                </c:pt>
              </c:numCache>
            </c:numRef>
          </c:val>
          <c:smooth val="0"/>
          <c:extLst>
            <c:ext xmlns:c16="http://schemas.microsoft.com/office/drawing/2014/chart" uri="{C3380CC4-5D6E-409C-BE32-E72D297353CC}">
              <c16:uniqueId val="{00000001-7AB7-4375-91C2-52FBF29414B1}"/>
            </c:ext>
          </c:extLst>
        </c:ser>
        <c:ser>
          <c:idx val="2"/>
          <c:order val="2"/>
          <c:marker>
            <c:symbol val="none"/>
          </c:marker>
          <c:val>
            <c:numRef>
              <c:f>(Strategy!$AB$3,Strategy!$AB$8,Strategy!$AB$13,Strategy!$AB$18,Strategy!$AB$23,Strategy!$AB$28,Strategy!$AB$33,Strategy!$AB$38,Strategy!$AB$43,Strategy!$AB$48)</c:f>
              <c:numCache>
                <c:formatCode>#,##0_ ;[Red]\-#,##0\ </c:formatCode>
                <c:ptCount val="10"/>
                <c:pt idx="0">
                  <c:v>0</c:v>
                </c:pt>
                <c:pt idx="1">
                  <c:v>0</c:v>
                </c:pt>
                <c:pt idx="2">
                  <c:v>0</c:v>
                </c:pt>
                <c:pt idx="3">
                  <c:v>69</c:v>
                </c:pt>
                <c:pt idx="4">
                  <c:v>63</c:v>
                </c:pt>
                <c:pt idx="5">
                  <c:v>77</c:v>
                </c:pt>
                <c:pt idx="6">
                  <c:v>63</c:v>
                </c:pt>
                <c:pt idx="7">
                  <c:v>190</c:v>
                </c:pt>
                <c:pt idx="8">
                  <c:v>0</c:v>
                </c:pt>
                <c:pt idx="9">
                  <c:v>0</c:v>
                </c:pt>
              </c:numCache>
            </c:numRef>
          </c:val>
          <c:smooth val="0"/>
          <c:extLst>
            <c:ext xmlns:c16="http://schemas.microsoft.com/office/drawing/2014/chart" uri="{C3380CC4-5D6E-409C-BE32-E72D297353CC}">
              <c16:uniqueId val="{00000002-7AB7-4375-91C2-52FBF29414B1}"/>
            </c:ext>
          </c:extLst>
        </c:ser>
        <c:dLbls>
          <c:showLegendKey val="0"/>
          <c:showVal val="0"/>
          <c:showCatName val="0"/>
          <c:showSerName val="0"/>
          <c:showPercent val="0"/>
          <c:showBubbleSize val="0"/>
        </c:dLbls>
        <c:smooth val="0"/>
        <c:axId val="256718592"/>
        <c:axId val="256719152"/>
      </c:lineChart>
      <c:catAx>
        <c:axId val="256718592"/>
        <c:scaling>
          <c:orientation val="minMax"/>
        </c:scaling>
        <c:delete val="0"/>
        <c:axPos val="b"/>
        <c:majorTickMark val="out"/>
        <c:minorTickMark val="none"/>
        <c:tickLblPos val="nextTo"/>
        <c:crossAx val="256719152"/>
        <c:crosses val="autoZero"/>
        <c:auto val="1"/>
        <c:lblAlgn val="ctr"/>
        <c:lblOffset val="100"/>
        <c:noMultiLvlLbl val="0"/>
      </c:catAx>
      <c:valAx>
        <c:axId val="256719152"/>
        <c:scaling>
          <c:orientation val="minMax"/>
        </c:scaling>
        <c:delete val="0"/>
        <c:axPos val="l"/>
        <c:majorGridlines/>
        <c:numFmt formatCode="#,##0_ ;[Red]\-#,##0\ " sourceLinked="1"/>
        <c:majorTickMark val="out"/>
        <c:minorTickMark val="none"/>
        <c:tickLblPos val="nextTo"/>
        <c:crossAx val="25671859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3973605323696321"/>
          <c:h val="0.75023023676444789"/>
        </c:manualLayout>
      </c:layout>
      <c:lineChart>
        <c:grouping val="standard"/>
        <c:varyColors val="0"/>
        <c:ser>
          <c:idx val="0"/>
          <c:order val="0"/>
          <c:marker>
            <c:symbol val="none"/>
          </c:marker>
          <c:val>
            <c:numRef>
              <c:f>(Strategy!$Z$4,Strategy!$Z$9,Strategy!$Z$14,Strategy!$Z$19,Strategy!$Z$24,Strategy!$Z$29,Strategy!$Z$34,Strategy!$Z$39,Strategy!$Z$44,Strategy!$Z$49)</c:f>
              <c:numCache>
                <c:formatCode>#,##0_ ;[Red]\-#,##0\ </c:formatCode>
                <c:ptCount val="10"/>
                <c:pt idx="0">
                  <c:v>0</c:v>
                </c:pt>
                <c:pt idx="1">
                  <c:v>0</c:v>
                </c:pt>
                <c:pt idx="2">
                  <c:v>0</c:v>
                </c:pt>
                <c:pt idx="3">
                  <c:v>0</c:v>
                </c:pt>
                <c:pt idx="4">
                  <c:v>243</c:v>
                </c:pt>
                <c:pt idx="5">
                  <c:v>464</c:v>
                </c:pt>
                <c:pt idx="6">
                  <c:v>584</c:v>
                </c:pt>
                <c:pt idx="7">
                  <c:v>928</c:v>
                </c:pt>
                <c:pt idx="8">
                  <c:v>0</c:v>
                </c:pt>
                <c:pt idx="9">
                  <c:v>0</c:v>
                </c:pt>
              </c:numCache>
            </c:numRef>
          </c:val>
          <c:smooth val="0"/>
          <c:extLst>
            <c:ext xmlns:c16="http://schemas.microsoft.com/office/drawing/2014/chart" uri="{C3380CC4-5D6E-409C-BE32-E72D297353CC}">
              <c16:uniqueId val="{00000000-09DE-4D53-A90A-013CAE50369A}"/>
            </c:ext>
          </c:extLst>
        </c:ser>
        <c:ser>
          <c:idx val="1"/>
          <c:order val="1"/>
          <c:marker>
            <c:symbol val="none"/>
          </c:marker>
          <c:val>
            <c:numRef>
              <c:f>(Strategy!$AA$4,Strategy!$AA$9,Strategy!$AA$14,Strategy!$AA$19,Strategy!$AA$24,Strategy!$AA$29,Strategy!$AA$34,Strategy!$AA$39,Strategy!$AA$44,Strategy!$AA$49)</c:f>
              <c:numCache>
                <c:formatCode>#,##0_ ;[Red]\-#,##0\ </c:formatCode>
                <c:ptCount val="10"/>
                <c:pt idx="0">
                  <c:v>0</c:v>
                </c:pt>
                <c:pt idx="1">
                  <c:v>0</c:v>
                </c:pt>
                <c:pt idx="2">
                  <c:v>0</c:v>
                </c:pt>
                <c:pt idx="3">
                  <c:v>0</c:v>
                </c:pt>
                <c:pt idx="4">
                  <c:v>167</c:v>
                </c:pt>
                <c:pt idx="5">
                  <c:v>318</c:v>
                </c:pt>
                <c:pt idx="6">
                  <c:v>395</c:v>
                </c:pt>
                <c:pt idx="7">
                  <c:v>479</c:v>
                </c:pt>
                <c:pt idx="8">
                  <c:v>0</c:v>
                </c:pt>
                <c:pt idx="9">
                  <c:v>0</c:v>
                </c:pt>
              </c:numCache>
            </c:numRef>
          </c:val>
          <c:smooth val="0"/>
          <c:extLst>
            <c:ext xmlns:c16="http://schemas.microsoft.com/office/drawing/2014/chart" uri="{C3380CC4-5D6E-409C-BE32-E72D297353CC}">
              <c16:uniqueId val="{00000001-09DE-4D53-A90A-013CAE50369A}"/>
            </c:ext>
          </c:extLst>
        </c:ser>
        <c:ser>
          <c:idx val="2"/>
          <c:order val="2"/>
          <c:marker>
            <c:symbol val="none"/>
          </c:marker>
          <c:val>
            <c:numRef>
              <c:f>(Strategy!$AB$4,Strategy!$AB$9,Strategy!$AB$14,Strategy!$AB$19,Strategy!$AB$24,Strategy!$AB$29,Strategy!$AB$34,Strategy!$AB$39,Strategy!$AB$44,Strategy!$AB$49)</c:f>
              <c:numCache>
                <c:formatCode>#,##0_ ;[Red]\-#,##0\ </c:formatCode>
                <c:ptCount val="10"/>
                <c:pt idx="0">
                  <c:v>0</c:v>
                </c:pt>
                <c:pt idx="1">
                  <c:v>0</c:v>
                </c:pt>
                <c:pt idx="2">
                  <c:v>0</c:v>
                </c:pt>
                <c:pt idx="3">
                  <c:v>0</c:v>
                </c:pt>
                <c:pt idx="4">
                  <c:v>95</c:v>
                </c:pt>
                <c:pt idx="5">
                  <c:v>178</c:v>
                </c:pt>
                <c:pt idx="6">
                  <c:v>234</c:v>
                </c:pt>
                <c:pt idx="7">
                  <c:v>254</c:v>
                </c:pt>
                <c:pt idx="8">
                  <c:v>0</c:v>
                </c:pt>
                <c:pt idx="9">
                  <c:v>0</c:v>
                </c:pt>
              </c:numCache>
            </c:numRef>
          </c:val>
          <c:smooth val="0"/>
          <c:extLst>
            <c:ext xmlns:c16="http://schemas.microsoft.com/office/drawing/2014/chart" uri="{C3380CC4-5D6E-409C-BE32-E72D297353CC}">
              <c16:uniqueId val="{00000002-09DE-4D53-A90A-013CAE50369A}"/>
            </c:ext>
          </c:extLst>
        </c:ser>
        <c:dLbls>
          <c:showLegendKey val="0"/>
          <c:showVal val="0"/>
          <c:showCatName val="0"/>
          <c:showSerName val="0"/>
          <c:showPercent val="0"/>
          <c:showBubbleSize val="0"/>
        </c:dLbls>
        <c:smooth val="0"/>
        <c:axId val="256722512"/>
        <c:axId val="256723072"/>
      </c:lineChart>
      <c:catAx>
        <c:axId val="256722512"/>
        <c:scaling>
          <c:orientation val="minMax"/>
        </c:scaling>
        <c:delete val="0"/>
        <c:axPos val="b"/>
        <c:majorTickMark val="out"/>
        <c:minorTickMark val="none"/>
        <c:tickLblPos val="nextTo"/>
        <c:crossAx val="256723072"/>
        <c:crosses val="autoZero"/>
        <c:auto val="1"/>
        <c:lblAlgn val="ctr"/>
        <c:lblOffset val="100"/>
        <c:noMultiLvlLbl val="0"/>
      </c:catAx>
      <c:valAx>
        <c:axId val="256723072"/>
        <c:scaling>
          <c:orientation val="minMax"/>
        </c:scaling>
        <c:delete val="0"/>
        <c:axPos val="l"/>
        <c:majorGridlines/>
        <c:numFmt formatCode="#,##0_ ;[Red]\-#,##0\ " sourceLinked="1"/>
        <c:majorTickMark val="out"/>
        <c:minorTickMark val="none"/>
        <c:tickLblPos val="nextTo"/>
        <c:crossAx val="25672251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4550750967282595"/>
          <c:h val="0.75023023676444811"/>
        </c:manualLayout>
      </c:layout>
      <c:lineChart>
        <c:grouping val="standard"/>
        <c:varyColors val="0"/>
        <c:ser>
          <c:idx val="0"/>
          <c:order val="0"/>
          <c:marker>
            <c:symbol val="none"/>
          </c:marker>
          <c:val>
            <c:numRef>
              <c:f>(Strategy!$AC$1,Strategy!$AC$6,Strategy!$AC$11,Strategy!$AC$16,Strategy!$AC$21,Strategy!$AC$26,Strategy!$AC$31,Strategy!$AC$36,Strategy!$AC$41,Strategy!$AC$46)</c:f>
              <c:numCache>
                <c:formatCode>#,##0_ ;[Red]\-#,##0\ </c:formatCode>
                <c:ptCount val="10"/>
                <c:pt idx="0">
                  <c:v>0</c:v>
                </c:pt>
                <c:pt idx="1">
                  <c:v>1175</c:v>
                </c:pt>
                <c:pt idx="2">
                  <c:v>2576</c:v>
                </c:pt>
                <c:pt idx="3">
                  <c:v>2543</c:v>
                </c:pt>
                <c:pt idx="4">
                  <c:v>2892</c:v>
                </c:pt>
                <c:pt idx="5">
                  <c:v>3376</c:v>
                </c:pt>
                <c:pt idx="6">
                  <c:v>3802</c:v>
                </c:pt>
                <c:pt idx="7">
                  <c:v>4965</c:v>
                </c:pt>
                <c:pt idx="8">
                  <c:v>0</c:v>
                </c:pt>
                <c:pt idx="9">
                  <c:v>0</c:v>
                </c:pt>
              </c:numCache>
            </c:numRef>
          </c:val>
          <c:smooth val="0"/>
          <c:extLst>
            <c:ext xmlns:c16="http://schemas.microsoft.com/office/drawing/2014/chart" uri="{C3380CC4-5D6E-409C-BE32-E72D297353CC}">
              <c16:uniqueId val="{00000000-46FB-42A9-AEFE-993528B37BA8}"/>
            </c:ext>
          </c:extLst>
        </c:ser>
        <c:dLbls>
          <c:showLegendKey val="0"/>
          <c:showVal val="0"/>
          <c:showCatName val="0"/>
          <c:showSerName val="0"/>
          <c:showPercent val="0"/>
          <c:showBubbleSize val="0"/>
        </c:dLbls>
        <c:smooth val="0"/>
        <c:axId val="256725312"/>
        <c:axId val="256051680"/>
      </c:lineChart>
      <c:catAx>
        <c:axId val="256725312"/>
        <c:scaling>
          <c:orientation val="minMax"/>
        </c:scaling>
        <c:delete val="0"/>
        <c:axPos val="b"/>
        <c:majorTickMark val="out"/>
        <c:minorTickMark val="none"/>
        <c:tickLblPos val="nextTo"/>
        <c:crossAx val="256051680"/>
        <c:crosses val="autoZero"/>
        <c:auto val="1"/>
        <c:lblAlgn val="ctr"/>
        <c:lblOffset val="100"/>
        <c:noMultiLvlLbl val="0"/>
      </c:catAx>
      <c:valAx>
        <c:axId val="256051680"/>
        <c:scaling>
          <c:orientation val="minMax"/>
        </c:scaling>
        <c:delete val="0"/>
        <c:axPos val="l"/>
        <c:majorGridlines/>
        <c:numFmt formatCode="#,##0_ ;[Red]\-#,##0\ " sourceLinked="1"/>
        <c:majorTickMark val="out"/>
        <c:minorTickMark val="none"/>
        <c:tickLblPos val="nextTo"/>
        <c:crossAx val="256725312"/>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Strategy!$AJ$101:$AJ$113</c:f>
              <c:numCache>
                <c:formatCode>0</c:formatCode>
                <c:ptCount val="13"/>
                <c:pt idx="0">
                  <c:v>0</c:v>
                </c:pt>
                <c:pt idx="1">
                  <c:v>0</c:v>
                </c:pt>
                <c:pt idx="2">
                  <c:v>0</c:v>
                </c:pt>
                <c:pt idx="3">
                  <c:v>0</c:v>
                </c:pt>
                <c:pt idx="4">
                  <c:v>0</c:v>
                </c:pt>
                <c:pt idx="5">
                  <c:v>3</c:v>
                </c:pt>
                <c:pt idx="6">
                  <c:v>8</c:v>
                </c:pt>
                <c:pt idx="7">
                  <c:v>13</c:v>
                </c:pt>
                <c:pt idx="8">
                  <c:v>18</c:v>
                </c:pt>
                <c:pt idx="9">
                  <c:v>23</c:v>
                </c:pt>
                <c:pt idx="10">
                  <c:v>28</c:v>
                </c:pt>
                <c:pt idx="11">
                  <c:v>33</c:v>
                </c:pt>
                <c:pt idx="12">
                  <c:v>38</c:v>
                </c:pt>
              </c:numCache>
            </c:numRef>
          </c:xVal>
          <c:yVal>
            <c:numRef>
              <c:f>Strategy!$AI$101:$AI$113</c:f>
              <c:numCache>
                <c:formatCode>#,##0</c:formatCode>
                <c:ptCount val="13"/>
                <c:pt idx="0">
                  <c:v>1279661.0790242157</c:v>
                </c:pt>
                <c:pt idx="1">
                  <c:v>1279661.0790242157</c:v>
                </c:pt>
                <c:pt idx="2">
                  <c:v>1279661.0790242157</c:v>
                </c:pt>
                <c:pt idx="3">
                  <c:v>1279661.0790242157</c:v>
                </c:pt>
                <c:pt idx="4">
                  <c:v>1279661.0790242157</c:v>
                </c:pt>
                <c:pt idx="5">
                  <c:v>1273266.916325917</c:v>
                </c:pt>
                <c:pt idx="6">
                  <c:v>1287410.4670395488</c:v>
                </c:pt>
                <c:pt idx="7">
                  <c:v>1281804.6950187711</c:v>
                </c:pt>
                <c:pt idx="8">
                  <c:v>1275158.2636269471</c:v>
                </c:pt>
                <c:pt idx="9">
                  <c:v>1270496.660429833</c:v>
                </c:pt>
                <c:pt idx="10">
                  <c:v>1265591.1604210823</c:v>
                </c:pt>
                <c:pt idx="11">
                  <c:v>1261298.7622305811</c:v>
                </c:pt>
                <c:pt idx="12">
                  <c:v>1253146.2299082172</c:v>
                </c:pt>
              </c:numCache>
            </c:numRef>
          </c:yVal>
          <c:smooth val="0"/>
          <c:extLst>
            <c:ext xmlns:c16="http://schemas.microsoft.com/office/drawing/2014/chart" uri="{C3380CC4-5D6E-409C-BE32-E72D297353CC}">
              <c16:uniqueId val="{00000000-C059-4868-994D-8D5E27FE520D}"/>
            </c:ext>
          </c:extLst>
        </c:ser>
        <c:dLbls>
          <c:showLegendKey val="0"/>
          <c:showVal val="0"/>
          <c:showCatName val="0"/>
          <c:showSerName val="0"/>
          <c:showPercent val="0"/>
          <c:showBubbleSize val="0"/>
        </c:dLbls>
        <c:axId val="256053920"/>
        <c:axId val="256054480"/>
      </c:scatterChart>
      <c:valAx>
        <c:axId val="256053920"/>
        <c:scaling>
          <c:orientation val="minMax"/>
        </c:scaling>
        <c:delete val="0"/>
        <c:axPos val="b"/>
        <c:numFmt formatCode="0" sourceLinked="1"/>
        <c:majorTickMark val="out"/>
        <c:minorTickMark val="none"/>
        <c:tickLblPos val="nextTo"/>
        <c:crossAx val="256054480"/>
        <c:crosses val="autoZero"/>
        <c:crossBetween val="midCat"/>
      </c:valAx>
      <c:valAx>
        <c:axId val="256054480"/>
        <c:scaling>
          <c:orientation val="minMax"/>
        </c:scaling>
        <c:delete val="1"/>
        <c:axPos val="l"/>
        <c:majorGridlines/>
        <c:numFmt formatCode="#,##0" sourceLinked="1"/>
        <c:majorTickMark val="out"/>
        <c:minorTickMark val="none"/>
        <c:tickLblPos val="nextTo"/>
        <c:crossAx val="256053920"/>
        <c:crosses val="autoZero"/>
        <c:crossBetween val="midCat"/>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Strategy!$AJ$85:$AJ$97</c:f>
              <c:numCache>
                <c:formatCode>0</c:formatCode>
                <c:ptCount val="13"/>
                <c:pt idx="0">
                  <c:v>0</c:v>
                </c:pt>
                <c:pt idx="1">
                  <c:v>31</c:v>
                </c:pt>
                <c:pt idx="2">
                  <c:v>41</c:v>
                </c:pt>
                <c:pt idx="3">
                  <c:v>51</c:v>
                </c:pt>
                <c:pt idx="4">
                  <c:v>61</c:v>
                </c:pt>
                <c:pt idx="5">
                  <c:v>71</c:v>
                </c:pt>
                <c:pt idx="6">
                  <c:v>81</c:v>
                </c:pt>
                <c:pt idx="7">
                  <c:v>91</c:v>
                </c:pt>
                <c:pt idx="8">
                  <c:v>101</c:v>
                </c:pt>
                <c:pt idx="9">
                  <c:v>111</c:v>
                </c:pt>
                <c:pt idx="10">
                  <c:v>121</c:v>
                </c:pt>
                <c:pt idx="11">
                  <c:v>131</c:v>
                </c:pt>
                <c:pt idx="12">
                  <c:v>141</c:v>
                </c:pt>
              </c:numCache>
            </c:numRef>
          </c:xVal>
          <c:yVal>
            <c:numRef>
              <c:f>Strategy!$AI$85:$AI$97</c:f>
              <c:numCache>
                <c:formatCode>#,##0</c:formatCode>
                <c:ptCount val="13"/>
                <c:pt idx="0">
                  <c:v>0</c:v>
                </c:pt>
                <c:pt idx="1">
                  <c:v>1621806.994494291</c:v>
                </c:pt>
                <c:pt idx="2">
                  <c:v>1703168.8220013049</c:v>
                </c:pt>
                <c:pt idx="3">
                  <c:v>1760516.3655346404</c:v>
                </c:pt>
                <c:pt idx="4">
                  <c:v>1770637.0401717341</c:v>
                </c:pt>
                <c:pt idx="5">
                  <c:v>1739935.2754636924</c:v>
                </c:pt>
                <c:pt idx="6">
                  <c:v>1685122.5126709482</c:v>
                </c:pt>
                <c:pt idx="7">
                  <c:v>1635842.5132251435</c:v>
                </c:pt>
                <c:pt idx="8">
                  <c:v>1583247.676397525</c:v>
                </c:pt>
                <c:pt idx="9">
                  <c:v>1535613.2219745815</c:v>
                </c:pt>
                <c:pt idx="10">
                  <c:v>1459831.7202037871</c:v>
                </c:pt>
                <c:pt idx="11">
                  <c:v>1381506.1679541518</c:v>
                </c:pt>
                <c:pt idx="12">
                  <c:v>1304757.4991399476</c:v>
                </c:pt>
              </c:numCache>
            </c:numRef>
          </c:yVal>
          <c:smooth val="0"/>
          <c:extLst>
            <c:ext xmlns:c16="http://schemas.microsoft.com/office/drawing/2014/chart" uri="{C3380CC4-5D6E-409C-BE32-E72D297353CC}">
              <c16:uniqueId val="{00000000-6312-499F-9499-B8BD19FAE719}"/>
            </c:ext>
          </c:extLst>
        </c:ser>
        <c:dLbls>
          <c:showLegendKey val="0"/>
          <c:showVal val="0"/>
          <c:showCatName val="0"/>
          <c:showSerName val="0"/>
          <c:showPercent val="0"/>
          <c:showBubbleSize val="0"/>
        </c:dLbls>
        <c:axId val="256056720"/>
        <c:axId val="256057280"/>
      </c:scatterChart>
      <c:valAx>
        <c:axId val="256056720"/>
        <c:scaling>
          <c:orientation val="minMax"/>
        </c:scaling>
        <c:delete val="0"/>
        <c:axPos val="b"/>
        <c:numFmt formatCode="0" sourceLinked="1"/>
        <c:majorTickMark val="out"/>
        <c:minorTickMark val="none"/>
        <c:tickLblPos val="nextTo"/>
        <c:crossAx val="256057280"/>
        <c:crosses val="autoZero"/>
        <c:crossBetween val="midCat"/>
      </c:valAx>
      <c:valAx>
        <c:axId val="256057280"/>
        <c:scaling>
          <c:orientation val="minMax"/>
        </c:scaling>
        <c:delete val="1"/>
        <c:axPos val="l"/>
        <c:majorGridlines/>
        <c:numFmt formatCode="#,##0" sourceLinked="1"/>
        <c:majorTickMark val="out"/>
        <c:minorTickMark val="none"/>
        <c:tickLblPos val="nextTo"/>
        <c:crossAx val="256056720"/>
        <c:crosses val="autoZero"/>
        <c:crossBetween val="midCat"/>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Strategy!$AJ$117:$AJ$129</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Strategy!$AI$117:$AI$129</c:f>
              <c:numCache>
                <c:formatCode>#,##0</c:formatCode>
                <c:ptCount val="13"/>
                <c:pt idx="0">
                  <c:v>1452315.971551093</c:v>
                </c:pt>
                <c:pt idx="1">
                  <c:v>1452315.971551093</c:v>
                </c:pt>
                <c:pt idx="2">
                  <c:v>1452315.971551093</c:v>
                </c:pt>
                <c:pt idx="3">
                  <c:v>1452315.971551093</c:v>
                </c:pt>
                <c:pt idx="4">
                  <c:v>1452315.971551093</c:v>
                </c:pt>
                <c:pt idx="5">
                  <c:v>1452315.971551093</c:v>
                </c:pt>
                <c:pt idx="6">
                  <c:v>1452315.971551093</c:v>
                </c:pt>
                <c:pt idx="7">
                  <c:v>1444537.5044450029</c:v>
                </c:pt>
                <c:pt idx="8">
                  <c:v>1427887.234915691</c:v>
                </c:pt>
                <c:pt idx="9">
                  <c:v>1409705.6090690498</c:v>
                </c:pt>
                <c:pt idx="10">
                  <c:v>1383917.3462483063</c:v>
                </c:pt>
                <c:pt idx="11">
                  <c:v>1364710.9549988415</c:v>
                </c:pt>
                <c:pt idx="12">
                  <c:v>1345267.6228414951</c:v>
                </c:pt>
              </c:numCache>
            </c:numRef>
          </c:yVal>
          <c:smooth val="0"/>
          <c:extLst>
            <c:ext xmlns:c16="http://schemas.microsoft.com/office/drawing/2014/chart" uri="{C3380CC4-5D6E-409C-BE32-E72D297353CC}">
              <c16:uniqueId val="{00000000-22C7-46C1-8B73-B6E8CE7E954F}"/>
            </c:ext>
          </c:extLst>
        </c:ser>
        <c:dLbls>
          <c:showLegendKey val="0"/>
          <c:showVal val="0"/>
          <c:showCatName val="0"/>
          <c:showSerName val="0"/>
          <c:showPercent val="0"/>
          <c:showBubbleSize val="0"/>
        </c:dLbls>
        <c:axId val="256059520"/>
        <c:axId val="256060080"/>
      </c:scatterChart>
      <c:valAx>
        <c:axId val="256059520"/>
        <c:scaling>
          <c:orientation val="minMax"/>
        </c:scaling>
        <c:delete val="0"/>
        <c:axPos val="b"/>
        <c:numFmt formatCode="0" sourceLinked="1"/>
        <c:majorTickMark val="out"/>
        <c:minorTickMark val="none"/>
        <c:tickLblPos val="nextTo"/>
        <c:crossAx val="256060080"/>
        <c:crosses val="autoZero"/>
        <c:crossBetween val="midCat"/>
      </c:valAx>
      <c:valAx>
        <c:axId val="256060080"/>
        <c:scaling>
          <c:orientation val="minMax"/>
        </c:scaling>
        <c:delete val="1"/>
        <c:axPos val="l"/>
        <c:majorGridlines/>
        <c:numFmt formatCode="#,##0" sourceLinked="1"/>
        <c:majorTickMark val="out"/>
        <c:minorTickMark val="none"/>
        <c:tickLblPos val="nextTo"/>
        <c:crossAx val="256059520"/>
        <c:crosses val="autoZero"/>
        <c:crossBetween val="midCat"/>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Strategy!$AA$117:$AA$129</c:f>
              <c:numCache>
                <c:formatCode>0</c:formatCode>
                <c:ptCount val="13"/>
                <c:pt idx="0">
                  <c:v>0</c:v>
                </c:pt>
                <c:pt idx="1">
                  <c:v>0</c:v>
                </c:pt>
                <c:pt idx="2">
                  <c:v>0</c:v>
                </c:pt>
                <c:pt idx="3">
                  <c:v>1</c:v>
                </c:pt>
                <c:pt idx="4">
                  <c:v>2</c:v>
                </c:pt>
                <c:pt idx="5">
                  <c:v>3</c:v>
                </c:pt>
                <c:pt idx="6">
                  <c:v>4</c:v>
                </c:pt>
                <c:pt idx="7">
                  <c:v>5</c:v>
                </c:pt>
                <c:pt idx="8">
                  <c:v>6</c:v>
                </c:pt>
                <c:pt idx="9">
                  <c:v>7</c:v>
                </c:pt>
                <c:pt idx="10">
                  <c:v>8</c:v>
                </c:pt>
                <c:pt idx="11">
                  <c:v>9</c:v>
                </c:pt>
                <c:pt idx="12">
                  <c:v>10</c:v>
                </c:pt>
              </c:numCache>
            </c:numRef>
          </c:xVal>
          <c:yVal>
            <c:numRef>
              <c:f>Strategy!$Z$117:$Z$129</c:f>
              <c:numCache>
                <c:formatCode>#,##0</c:formatCode>
                <c:ptCount val="13"/>
                <c:pt idx="0">
                  <c:v>29436.679453535937</c:v>
                </c:pt>
                <c:pt idx="1">
                  <c:v>29436.679453535937</c:v>
                </c:pt>
                <c:pt idx="2">
                  <c:v>29436.679453535937</c:v>
                </c:pt>
                <c:pt idx="3">
                  <c:v>-5352610.501679413</c:v>
                </c:pt>
                <c:pt idx="4">
                  <c:v>-5665960.3631463414</c:v>
                </c:pt>
                <c:pt idx="5">
                  <c:v>162079.5503412649</c:v>
                </c:pt>
                <c:pt idx="6">
                  <c:v>210747.09627306947</c:v>
                </c:pt>
                <c:pt idx="7">
                  <c:v>206705.64346616701</c:v>
                </c:pt>
                <c:pt idx="8">
                  <c:v>195486.18591549151</c:v>
                </c:pt>
                <c:pt idx="9">
                  <c:v>210130.48455206348</c:v>
                </c:pt>
                <c:pt idx="10">
                  <c:v>178082.94855267912</c:v>
                </c:pt>
                <c:pt idx="11">
                  <c:v>203057.37672071182</c:v>
                </c:pt>
                <c:pt idx="12">
                  <c:v>-8254007.4616187662</c:v>
                </c:pt>
              </c:numCache>
            </c:numRef>
          </c:yVal>
          <c:smooth val="0"/>
          <c:extLst>
            <c:ext xmlns:c16="http://schemas.microsoft.com/office/drawing/2014/chart" uri="{C3380CC4-5D6E-409C-BE32-E72D297353CC}">
              <c16:uniqueId val="{00000000-01B3-460B-812A-2D177CA561AC}"/>
            </c:ext>
          </c:extLst>
        </c:ser>
        <c:ser>
          <c:idx val="1"/>
          <c:order val="1"/>
          <c:spPr>
            <a:ln w="28575">
              <a:noFill/>
            </a:ln>
          </c:spPr>
          <c:marker>
            <c:symbol val="circle"/>
            <c:size val="5"/>
          </c:marker>
          <c:xVal>
            <c:numRef>
              <c:f>Strategy!$AC$117:$AC$129</c:f>
              <c:numCache>
                <c:formatCode>0</c:formatCode>
                <c:ptCount val="13"/>
                <c:pt idx="0">
                  <c:v>0</c:v>
                </c:pt>
                <c:pt idx="1">
                  <c:v>0</c:v>
                </c:pt>
                <c:pt idx="2">
                  <c:v>0</c:v>
                </c:pt>
                <c:pt idx="3">
                  <c:v>0</c:v>
                </c:pt>
                <c:pt idx="4">
                  <c:v>0</c:v>
                </c:pt>
                <c:pt idx="5">
                  <c:v>1</c:v>
                </c:pt>
                <c:pt idx="6">
                  <c:v>2</c:v>
                </c:pt>
                <c:pt idx="7">
                  <c:v>3</c:v>
                </c:pt>
                <c:pt idx="8">
                  <c:v>4</c:v>
                </c:pt>
                <c:pt idx="9">
                  <c:v>5</c:v>
                </c:pt>
                <c:pt idx="10">
                  <c:v>6</c:v>
                </c:pt>
                <c:pt idx="11">
                  <c:v>7</c:v>
                </c:pt>
                <c:pt idx="12">
                  <c:v>8</c:v>
                </c:pt>
              </c:numCache>
            </c:numRef>
          </c:xVal>
          <c:yVal>
            <c:numRef>
              <c:f>Strategy!$AB$117:$AB$129</c:f>
              <c:numCache>
                <c:formatCode>#,##0</c:formatCode>
                <c:ptCount val="13"/>
                <c:pt idx="0">
                  <c:v>167458.77845365772</c:v>
                </c:pt>
                <c:pt idx="1">
                  <c:v>167458.77845365772</c:v>
                </c:pt>
                <c:pt idx="2">
                  <c:v>167458.77845365772</c:v>
                </c:pt>
                <c:pt idx="3">
                  <c:v>167458.77845365772</c:v>
                </c:pt>
                <c:pt idx="4">
                  <c:v>167458.77845365772</c:v>
                </c:pt>
                <c:pt idx="5">
                  <c:v>190479.11777761203</c:v>
                </c:pt>
                <c:pt idx="6">
                  <c:v>210747.09627306947</c:v>
                </c:pt>
                <c:pt idx="7">
                  <c:v>188395.68457991522</c:v>
                </c:pt>
                <c:pt idx="8">
                  <c:v>208602.39128125468</c:v>
                </c:pt>
                <c:pt idx="9">
                  <c:v>146746.47366048707</c:v>
                </c:pt>
                <c:pt idx="10">
                  <c:v>133017.39431450493</c:v>
                </c:pt>
                <c:pt idx="11">
                  <c:v>-1264984.3690637515</c:v>
                </c:pt>
                <c:pt idx="12">
                  <c:v>-1391676.0082325421</c:v>
                </c:pt>
              </c:numCache>
            </c:numRef>
          </c:yVal>
          <c:smooth val="0"/>
          <c:extLst>
            <c:ext xmlns:c16="http://schemas.microsoft.com/office/drawing/2014/chart" uri="{C3380CC4-5D6E-409C-BE32-E72D297353CC}">
              <c16:uniqueId val="{00000001-01B3-460B-812A-2D177CA561AC}"/>
            </c:ext>
          </c:extLst>
        </c:ser>
        <c:dLbls>
          <c:showLegendKey val="0"/>
          <c:showVal val="0"/>
          <c:showCatName val="0"/>
          <c:showSerName val="0"/>
          <c:showPercent val="0"/>
          <c:showBubbleSize val="0"/>
        </c:dLbls>
        <c:axId val="256062880"/>
        <c:axId val="256063440"/>
      </c:scatterChart>
      <c:valAx>
        <c:axId val="256062880"/>
        <c:scaling>
          <c:orientation val="minMax"/>
        </c:scaling>
        <c:delete val="0"/>
        <c:axPos val="b"/>
        <c:numFmt formatCode="0" sourceLinked="1"/>
        <c:majorTickMark val="out"/>
        <c:minorTickMark val="none"/>
        <c:tickLblPos val="nextTo"/>
        <c:crossAx val="256063440"/>
        <c:crosses val="autoZero"/>
        <c:crossBetween val="midCat"/>
      </c:valAx>
      <c:valAx>
        <c:axId val="256063440"/>
        <c:scaling>
          <c:orientation val="minMax"/>
        </c:scaling>
        <c:delete val="1"/>
        <c:axPos val="l"/>
        <c:majorGridlines/>
        <c:numFmt formatCode="#,##0" sourceLinked="1"/>
        <c:majorTickMark val="out"/>
        <c:minorTickMark val="none"/>
        <c:tickLblPos val="nextTo"/>
        <c:crossAx val="256062880"/>
        <c:crosses val="autoZero"/>
        <c:crossBetween val="midCat"/>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Strategy!$AA$101:$AA$113</c:f>
              <c:numCache>
                <c:formatCode>0%</c:formatCode>
                <c:ptCount val="13"/>
                <c:pt idx="0">
                  <c:v>0.01</c:v>
                </c:pt>
                <c:pt idx="1">
                  <c:v>0.01</c:v>
                </c:pt>
                <c:pt idx="2">
                  <c:v>0.01</c:v>
                </c:pt>
                <c:pt idx="3">
                  <c:v>0.02</c:v>
                </c:pt>
                <c:pt idx="4">
                  <c:v>0.03</c:v>
                </c:pt>
                <c:pt idx="5">
                  <c:v>0.04</c:v>
                </c:pt>
                <c:pt idx="6">
                  <c:v>0.05</c:v>
                </c:pt>
                <c:pt idx="7">
                  <c:v>0.06</c:v>
                </c:pt>
                <c:pt idx="8">
                  <c:v>7.0000000000000007E-2</c:v>
                </c:pt>
                <c:pt idx="9">
                  <c:v>0.08</c:v>
                </c:pt>
                <c:pt idx="10">
                  <c:v>0.09</c:v>
                </c:pt>
                <c:pt idx="11">
                  <c:v>0.1</c:v>
                </c:pt>
                <c:pt idx="12">
                  <c:v>0.11</c:v>
                </c:pt>
              </c:numCache>
            </c:numRef>
          </c:xVal>
          <c:yVal>
            <c:numRef>
              <c:f>Strategy!$Z$101:$Z$113</c:f>
              <c:numCache>
                <c:formatCode>#,##0</c:formatCode>
                <c:ptCount val="13"/>
                <c:pt idx="0">
                  <c:v>-3863042.1328444863</c:v>
                </c:pt>
                <c:pt idx="1">
                  <c:v>-3863042.1328444863</c:v>
                </c:pt>
                <c:pt idx="2">
                  <c:v>-3863042.1328444863</c:v>
                </c:pt>
                <c:pt idx="3">
                  <c:v>-3195070.3274662215</c:v>
                </c:pt>
                <c:pt idx="4">
                  <c:v>-10422604.279080108</c:v>
                </c:pt>
                <c:pt idx="5">
                  <c:v>-10472701.274826761</c:v>
                </c:pt>
                <c:pt idx="6">
                  <c:v>1005531.5686492192</c:v>
                </c:pt>
                <c:pt idx="7">
                  <c:v>974732.45802835771</c:v>
                </c:pt>
                <c:pt idx="8">
                  <c:v>969946.09134064591</c:v>
                </c:pt>
                <c:pt idx="9">
                  <c:v>929002.59118931345</c:v>
                </c:pt>
                <c:pt idx="10">
                  <c:v>891145.49341249431</c:v>
                </c:pt>
                <c:pt idx="11">
                  <c:v>882615.99564706523</c:v>
                </c:pt>
                <c:pt idx="12">
                  <c:v>819800.0741632079</c:v>
                </c:pt>
              </c:numCache>
            </c:numRef>
          </c:yVal>
          <c:smooth val="0"/>
          <c:extLst>
            <c:ext xmlns:c16="http://schemas.microsoft.com/office/drawing/2014/chart" uri="{C3380CC4-5D6E-409C-BE32-E72D297353CC}">
              <c16:uniqueId val="{00000000-499E-489E-A732-03A42DD2629A}"/>
            </c:ext>
          </c:extLst>
        </c:ser>
        <c:ser>
          <c:idx val="1"/>
          <c:order val="1"/>
          <c:spPr>
            <a:ln w="28575">
              <a:noFill/>
            </a:ln>
          </c:spPr>
          <c:marker>
            <c:symbol val="circle"/>
            <c:size val="5"/>
          </c:marker>
          <c:xVal>
            <c:numRef>
              <c:f>Strategy!$AC$101:$AC$113</c:f>
              <c:numCache>
                <c:formatCode>0%</c:formatCode>
                <c:ptCount val="13"/>
                <c:pt idx="0">
                  <c:v>0.01</c:v>
                </c:pt>
                <c:pt idx="1">
                  <c:v>0.01</c:v>
                </c:pt>
                <c:pt idx="2">
                  <c:v>0.01</c:v>
                </c:pt>
                <c:pt idx="3">
                  <c:v>0.01</c:v>
                </c:pt>
                <c:pt idx="4">
                  <c:v>0.01</c:v>
                </c:pt>
                <c:pt idx="5">
                  <c:v>0.01</c:v>
                </c:pt>
                <c:pt idx="6">
                  <c:v>0.01</c:v>
                </c:pt>
                <c:pt idx="7">
                  <c:v>0.02</c:v>
                </c:pt>
                <c:pt idx="8">
                  <c:v>0.03</c:v>
                </c:pt>
                <c:pt idx="9">
                  <c:v>0.04</c:v>
                </c:pt>
                <c:pt idx="10">
                  <c:v>0.05</c:v>
                </c:pt>
                <c:pt idx="11">
                  <c:v>0.06</c:v>
                </c:pt>
                <c:pt idx="12">
                  <c:v>7.0000000000000007E-2</c:v>
                </c:pt>
              </c:numCache>
            </c:numRef>
          </c:xVal>
          <c:yVal>
            <c:numRef>
              <c:f>Strategy!$AB$101:$AB$113</c:f>
              <c:numCache>
                <c:formatCode>#,##0</c:formatCode>
                <c:ptCount val="13"/>
                <c:pt idx="0">
                  <c:v>1005531.5686492192</c:v>
                </c:pt>
                <c:pt idx="1">
                  <c:v>1005531.5686492192</c:v>
                </c:pt>
                <c:pt idx="2">
                  <c:v>1005531.5686492192</c:v>
                </c:pt>
                <c:pt idx="3">
                  <c:v>1005531.5686492192</c:v>
                </c:pt>
                <c:pt idx="4">
                  <c:v>1005531.5686492192</c:v>
                </c:pt>
                <c:pt idx="5">
                  <c:v>1005531.5686492192</c:v>
                </c:pt>
                <c:pt idx="6">
                  <c:v>1005531.5686492192</c:v>
                </c:pt>
                <c:pt idx="7">
                  <c:v>998795.95715147036</c:v>
                </c:pt>
                <c:pt idx="8">
                  <c:v>986200.08406956575</c:v>
                </c:pt>
                <c:pt idx="9">
                  <c:v>969696.51963420934</c:v>
                </c:pt>
                <c:pt idx="10">
                  <c:v>954186.50462134695</c:v>
                </c:pt>
                <c:pt idx="11">
                  <c:v>937114.89854545565</c:v>
                </c:pt>
                <c:pt idx="12">
                  <c:v>919346.46300184052</c:v>
                </c:pt>
              </c:numCache>
            </c:numRef>
          </c:yVal>
          <c:smooth val="0"/>
          <c:extLst>
            <c:ext xmlns:c16="http://schemas.microsoft.com/office/drawing/2014/chart" uri="{C3380CC4-5D6E-409C-BE32-E72D297353CC}">
              <c16:uniqueId val="{00000001-499E-489E-A732-03A42DD2629A}"/>
            </c:ext>
          </c:extLst>
        </c:ser>
        <c:ser>
          <c:idx val="2"/>
          <c:order val="2"/>
          <c:spPr>
            <a:ln w="28575">
              <a:noFill/>
            </a:ln>
          </c:spPr>
          <c:xVal>
            <c:numRef>
              <c:f>Strategy!$AE$101:$AE$113</c:f>
              <c:numCache>
                <c:formatCode>0%</c:formatCode>
                <c:ptCount val="13"/>
                <c:pt idx="0">
                  <c:v>0.01</c:v>
                </c:pt>
                <c:pt idx="1">
                  <c:v>0.01</c:v>
                </c:pt>
                <c:pt idx="2">
                  <c:v>0.01</c:v>
                </c:pt>
                <c:pt idx="3">
                  <c:v>0.01</c:v>
                </c:pt>
                <c:pt idx="4">
                  <c:v>0.01</c:v>
                </c:pt>
                <c:pt idx="5">
                  <c:v>0.01</c:v>
                </c:pt>
                <c:pt idx="6">
                  <c:v>0.01</c:v>
                </c:pt>
                <c:pt idx="7">
                  <c:v>0.02</c:v>
                </c:pt>
                <c:pt idx="8">
                  <c:v>0.03</c:v>
                </c:pt>
                <c:pt idx="9">
                  <c:v>0.04</c:v>
                </c:pt>
                <c:pt idx="10">
                  <c:v>0.05</c:v>
                </c:pt>
                <c:pt idx="11">
                  <c:v>0.06</c:v>
                </c:pt>
                <c:pt idx="12">
                  <c:v>7.0000000000000007E-2</c:v>
                </c:pt>
              </c:numCache>
            </c:numRef>
          </c:xVal>
          <c:yVal>
            <c:numRef>
              <c:f>Strategy!$AD$101:$AD$113</c:f>
              <c:numCache>
                <c:formatCode>#,##0</c:formatCode>
                <c:ptCount val="13"/>
                <c:pt idx="0">
                  <c:v>1005531.5686492192</c:v>
                </c:pt>
                <c:pt idx="1">
                  <c:v>1005531.5686492192</c:v>
                </c:pt>
                <c:pt idx="2">
                  <c:v>1005531.5686492192</c:v>
                </c:pt>
                <c:pt idx="3">
                  <c:v>1005531.5686492192</c:v>
                </c:pt>
                <c:pt idx="4">
                  <c:v>1005531.5686492192</c:v>
                </c:pt>
                <c:pt idx="5">
                  <c:v>1005531.5686492192</c:v>
                </c:pt>
                <c:pt idx="6">
                  <c:v>1005531.5686492192</c:v>
                </c:pt>
                <c:pt idx="7">
                  <c:v>990711.15951818624</c:v>
                </c:pt>
                <c:pt idx="8">
                  <c:v>967822.94353123242</c:v>
                </c:pt>
                <c:pt idx="9">
                  <c:v>939691.89731424639</c:v>
                </c:pt>
                <c:pt idx="10">
                  <c:v>911323.93879119749</c:v>
                </c:pt>
                <c:pt idx="11">
                  <c:v>880974.18660254218</c:v>
                </c:pt>
                <c:pt idx="12">
                  <c:v>849413.48504552664</c:v>
                </c:pt>
              </c:numCache>
            </c:numRef>
          </c:yVal>
          <c:smooth val="0"/>
          <c:extLst>
            <c:ext xmlns:c16="http://schemas.microsoft.com/office/drawing/2014/chart" uri="{C3380CC4-5D6E-409C-BE32-E72D297353CC}">
              <c16:uniqueId val="{00000002-499E-489E-A732-03A42DD2629A}"/>
            </c:ext>
          </c:extLst>
        </c:ser>
        <c:dLbls>
          <c:showLegendKey val="0"/>
          <c:showVal val="0"/>
          <c:showCatName val="0"/>
          <c:showSerName val="0"/>
          <c:showPercent val="0"/>
          <c:showBubbleSize val="0"/>
        </c:dLbls>
        <c:axId val="256066800"/>
        <c:axId val="256067360"/>
      </c:scatterChart>
      <c:valAx>
        <c:axId val="256066800"/>
        <c:scaling>
          <c:orientation val="minMax"/>
          <c:max val="0.2"/>
          <c:min val="5.000000000000001E-2"/>
        </c:scaling>
        <c:delete val="0"/>
        <c:axPos val="b"/>
        <c:numFmt formatCode="0%" sourceLinked="1"/>
        <c:majorTickMark val="out"/>
        <c:minorTickMark val="none"/>
        <c:tickLblPos val="nextTo"/>
        <c:crossAx val="256067360"/>
        <c:crosses val="autoZero"/>
        <c:crossBetween val="midCat"/>
      </c:valAx>
      <c:valAx>
        <c:axId val="256067360"/>
        <c:scaling>
          <c:orientation val="minMax"/>
        </c:scaling>
        <c:delete val="1"/>
        <c:axPos val="l"/>
        <c:majorGridlines/>
        <c:numFmt formatCode="#,##0" sourceLinked="1"/>
        <c:majorTickMark val="out"/>
        <c:minorTickMark val="none"/>
        <c:tickLblPos val="nextTo"/>
        <c:crossAx val="256066800"/>
        <c:crosses val="autoZero"/>
        <c:crossBetween val="midCat"/>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Strategy!$AA$69:$AA$81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Strategy!$Z$69:$Z$81</c:f>
              <c:numCache>
                <c:formatCode>#,##0</c:formatCode>
                <c:ptCount val="13"/>
                <c:pt idx="0">
                  <c:v>0</c:v>
                </c:pt>
                <c:pt idx="1">
                  <c:v>0</c:v>
                </c:pt>
                <c:pt idx="2">
                  <c:v>0</c:v>
                </c:pt>
                <c:pt idx="3">
                  <c:v>0</c:v>
                </c:pt>
                <c:pt idx="4">
                  <c:v>0</c:v>
                </c:pt>
                <c:pt idx="5">
                  <c:v>0</c:v>
                </c:pt>
                <c:pt idx="6">
                  <c:v>1322653.7151295864</c:v>
                </c:pt>
                <c:pt idx="7">
                  <c:v>1318342.0667152903</c:v>
                </c:pt>
                <c:pt idx="8">
                  <c:v>1317196.5047133258</c:v>
                </c:pt>
                <c:pt idx="9">
                  <c:v>1315699.0109662446</c:v>
                </c:pt>
                <c:pt idx="10">
                  <c:v>1311460.860284585</c:v>
                </c:pt>
                <c:pt idx="11">
                  <c:v>1310266.8682871656</c:v>
                </c:pt>
                <c:pt idx="12">
                  <c:v>1306006.7993247132</c:v>
                </c:pt>
              </c:numCache>
            </c:numRef>
          </c:yVal>
          <c:smooth val="0"/>
          <c:extLst>
            <c:ext xmlns:c16="http://schemas.microsoft.com/office/drawing/2014/chart" uri="{C3380CC4-5D6E-409C-BE32-E72D297353CC}">
              <c16:uniqueId val="{00000000-71FB-4F77-A540-19B14C110604}"/>
            </c:ext>
          </c:extLst>
        </c:ser>
        <c:ser>
          <c:idx val="1"/>
          <c:order val="1"/>
          <c:spPr>
            <a:ln w="28575">
              <a:noFill/>
            </a:ln>
          </c:spPr>
          <c:marker>
            <c:symbol val="circle"/>
            <c:size val="5"/>
          </c:marker>
          <c:xVal>
            <c:numRef>
              <c:f>Strategy!$AC$69:$AC$81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Strategy!$AB$69:$AB$81</c:f>
              <c:numCache>
                <c:formatCode>#,##0</c:formatCode>
                <c:ptCount val="13"/>
                <c:pt idx="0">
                  <c:v>0</c:v>
                </c:pt>
                <c:pt idx="1">
                  <c:v>0</c:v>
                </c:pt>
                <c:pt idx="2">
                  <c:v>0</c:v>
                </c:pt>
                <c:pt idx="3">
                  <c:v>0</c:v>
                </c:pt>
                <c:pt idx="4">
                  <c:v>0</c:v>
                </c:pt>
                <c:pt idx="5">
                  <c:v>0</c:v>
                </c:pt>
                <c:pt idx="6">
                  <c:v>1322653.7151295864</c:v>
                </c:pt>
                <c:pt idx="7">
                  <c:v>1310530.2886664676</c:v>
                </c:pt>
                <c:pt idx="8">
                  <c:v>1304093.580344697</c:v>
                </c:pt>
                <c:pt idx="9">
                  <c:v>1295784.2089857506</c:v>
                </c:pt>
                <c:pt idx="10">
                  <c:v>1283683.0028212653</c:v>
                </c:pt>
                <c:pt idx="11">
                  <c:v>1277223.1526414766</c:v>
                </c:pt>
                <c:pt idx="12">
                  <c:v>1265125.6399511087</c:v>
                </c:pt>
              </c:numCache>
            </c:numRef>
          </c:yVal>
          <c:smooth val="0"/>
          <c:extLst>
            <c:ext xmlns:c16="http://schemas.microsoft.com/office/drawing/2014/chart" uri="{C3380CC4-5D6E-409C-BE32-E72D297353CC}">
              <c16:uniqueId val="{00000001-71FB-4F77-A540-19B14C110604}"/>
            </c:ext>
          </c:extLst>
        </c:ser>
        <c:ser>
          <c:idx val="2"/>
          <c:order val="2"/>
          <c:spPr>
            <a:ln w="28575">
              <a:noFill/>
            </a:ln>
          </c:spPr>
          <c:xVal>
            <c:numRef>
              <c:f>Strategy!$AE$69:$AE$81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Strategy!$AD$69:$AD$81</c:f>
              <c:numCache>
                <c:formatCode>#,##0</c:formatCode>
                <c:ptCount val="13"/>
                <c:pt idx="0">
                  <c:v>0</c:v>
                </c:pt>
                <c:pt idx="1">
                  <c:v>0</c:v>
                </c:pt>
                <c:pt idx="2">
                  <c:v>0</c:v>
                </c:pt>
                <c:pt idx="3">
                  <c:v>0</c:v>
                </c:pt>
                <c:pt idx="4">
                  <c:v>0</c:v>
                </c:pt>
                <c:pt idx="5">
                  <c:v>0</c:v>
                </c:pt>
                <c:pt idx="6">
                  <c:v>1322653.7151295864</c:v>
                </c:pt>
                <c:pt idx="7">
                  <c:v>1314730.2312082835</c:v>
                </c:pt>
                <c:pt idx="8">
                  <c:v>1311491.7545902058</c:v>
                </c:pt>
                <c:pt idx="9">
                  <c:v>1306772.8932879665</c:v>
                </c:pt>
                <c:pt idx="10">
                  <c:v>1300192.8682347508</c:v>
                </c:pt>
                <c:pt idx="11">
                  <c:v>1296350.9055955019</c:v>
                </c:pt>
                <c:pt idx="12">
                  <c:v>1289109.2566172695</c:v>
                </c:pt>
              </c:numCache>
            </c:numRef>
          </c:yVal>
          <c:smooth val="0"/>
          <c:extLst>
            <c:ext xmlns:c16="http://schemas.microsoft.com/office/drawing/2014/chart" uri="{C3380CC4-5D6E-409C-BE32-E72D297353CC}">
              <c16:uniqueId val="{00000002-71FB-4F77-A540-19B14C110604}"/>
            </c:ext>
          </c:extLst>
        </c:ser>
        <c:dLbls>
          <c:showLegendKey val="0"/>
          <c:showVal val="0"/>
          <c:showCatName val="0"/>
          <c:showSerName val="0"/>
          <c:showPercent val="0"/>
          <c:showBubbleSize val="0"/>
        </c:dLbls>
        <c:axId val="260492928"/>
        <c:axId val="260493488"/>
      </c:scatterChart>
      <c:valAx>
        <c:axId val="260492928"/>
        <c:scaling>
          <c:orientation val="minMax"/>
          <c:min val="0"/>
        </c:scaling>
        <c:delete val="0"/>
        <c:axPos val="b"/>
        <c:numFmt formatCode="0" sourceLinked="1"/>
        <c:majorTickMark val="out"/>
        <c:minorTickMark val="none"/>
        <c:tickLblPos val="nextTo"/>
        <c:crossAx val="260493488"/>
        <c:crosses val="autoZero"/>
        <c:crossBetween val="midCat"/>
      </c:valAx>
      <c:valAx>
        <c:axId val="260493488"/>
        <c:scaling>
          <c:orientation val="minMax"/>
        </c:scaling>
        <c:delete val="1"/>
        <c:axPos val="l"/>
        <c:majorGridlines/>
        <c:numFmt formatCode="#,##0" sourceLinked="1"/>
        <c:majorTickMark val="out"/>
        <c:minorTickMark val="none"/>
        <c:tickLblPos val="nextTo"/>
        <c:crossAx val="260492928"/>
        <c:crosses val="autoZero"/>
        <c:crossBetween val="midCat"/>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Config!$Q$16:$Q$27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Config!$R$16:$R$27</c:f>
              <c:numCache>
                <c:formatCode>0%</c:formatCode>
                <c:ptCount val="12"/>
                <c:pt idx="0">
                  <c:v>1</c:v>
                </c:pt>
                <c:pt idx="1">
                  <c:v>1.1376168193722342</c:v>
                </c:pt>
                <c:pt idx="2">
                  <c:v>1.2267372902220557</c:v>
                </c:pt>
                <c:pt idx="3">
                  <c:v>1.2941720277185984</c:v>
                </c:pt>
                <c:pt idx="4">
                  <c:v>1.3490209547060543</c:v>
                </c:pt>
                <c:pt idx="5">
                  <c:v>1.3955569743077283</c:v>
                </c:pt>
                <c:pt idx="6">
                  <c:v>1.436152830379446</c:v>
                </c:pt>
                <c:pt idx="7">
                  <c:v>1.472271865893747</c:v>
                </c:pt>
                <c:pt idx="8">
                  <c:v>1.5048843792213522</c:v>
                </c:pt>
                <c:pt idx="9">
                  <c:v>1.5346689277591963</c:v>
                </c:pt>
                <c:pt idx="10">
                  <c:v>1.5621198390975739</c:v>
                </c:pt>
                <c:pt idx="11">
                  <c:v>1.5876090863646968</c:v>
                </c:pt>
              </c:numCache>
            </c:numRef>
          </c:yVal>
          <c:smooth val="0"/>
          <c:extLst>
            <c:ext xmlns:c16="http://schemas.microsoft.com/office/drawing/2014/chart" uri="{C3380CC4-5D6E-409C-BE32-E72D297353CC}">
              <c16:uniqueId val="{00000000-83DD-4328-8ABF-63AF67C338AF}"/>
            </c:ext>
          </c:extLst>
        </c:ser>
        <c:dLbls>
          <c:showLegendKey val="0"/>
          <c:showVal val="0"/>
          <c:showCatName val="0"/>
          <c:showSerName val="0"/>
          <c:showPercent val="0"/>
          <c:showBubbleSize val="0"/>
        </c:dLbls>
        <c:axId val="260497968"/>
        <c:axId val="260498528"/>
      </c:scatterChart>
      <c:valAx>
        <c:axId val="260497968"/>
        <c:scaling>
          <c:orientation val="minMax"/>
          <c:max val="12"/>
          <c:min val="0"/>
        </c:scaling>
        <c:delete val="0"/>
        <c:axPos val="b"/>
        <c:numFmt formatCode="General" sourceLinked="1"/>
        <c:majorTickMark val="out"/>
        <c:minorTickMark val="none"/>
        <c:tickLblPos val="nextTo"/>
        <c:crossAx val="260498528"/>
        <c:crosses val="autoZero"/>
        <c:crossBetween val="midCat"/>
      </c:valAx>
      <c:valAx>
        <c:axId val="260498528"/>
        <c:scaling>
          <c:orientation val="minMax"/>
          <c:min val="1"/>
        </c:scaling>
        <c:delete val="0"/>
        <c:axPos val="l"/>
        <c:majorGridlines/>
        <c:numFmt formatCode="0%" sourceLinked="1"/>
        <c:majorTickMark val="out"/>
        <c:minorTickMark val="none"/>
        <c:tickLblPos val="nextTo"/>
        <c:crossAx val="26049796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ly"/>
            <c:order val="2"/>
            <c:dispRSqr val="0"/>
            <c:dispEq val="0"/>
          </c:trendline>
          <c:xVal>
            <c:numRef>
              <c:f>Config!$Y$22:$Y$27</c:f>
              <c:numCache>
                <c:formatCode>General</c:formatCode>
                <c:ptCount val="6"/>
                <c:pt idx="0">
                  <c:v>240</c:v>
                </c:pt>
                <c:pt idx="1">
                  <c:v>260</c:v>
                </c:pt>
                <c:pt idx="2">
                  <c:v>280</c:v>
                </c:pt>
                <c:pt idx="3">
                  <c:v>300</c:v>
                </c:pt>
                <c:pt idx="4">
                  <c:v>320</c:v>
                </c:pt>
                <c:pt idx="5">
                  <c:v>340</c:v>
                </c:pt>
              </c:numCache>
            </c:numRef>
          </c:xVal>
          <c:yVal>
            <c:numRef>
              <c:f>Config!$Z$22:$Z$27</c:f>
              <c:numCache>
                <c:formatCode>0%</c:formatCode>
                <c:ptCount val="6"/>
                <c:pt idx="0">
                  <c:v>1.0699699026145963</c:v>
                </c:pt>
                <c:pt idx="1">
                  <c:v>0.79013162039231721</c:v>
                </c:pt>
                <c:pt idx="2">
                  <c:v>0.55027023563036392</c:v>
                </c:pt>
                <c:pt idx="3">
                  <c:v>0.34239036883667096</c:v>
                </c:pt>
                <c:pt idx="4">
                  <c:v>0.16049548539218961</c:v>
                </c:pt>
                <c:pt idx="5">
                  <c:v>0</c:v>
                </c:pt>
              </c:numCache>
            </c:numRef>
          </c:yVal>
          <c:smooth val="0"/>
          <c:extLst>
            <c:ext xmlns:c16="http://schemas.microsoft.com/office/drawing/2014/chart" uri="{C3380CC4-5D6E-409C-BE32-E72D297353CC}">
              <c16:uniqueId val="{00000000-7B19-465F-8B6F-734D6E06086D}"/>
            </c:ext>
          </c:extLst>
        </c:ser>
        <c:ser>
          <c:idx val="1"/>
          <c:order val="1"/>
          <c:spPr>
            <a:ln w="28575">
              <a:noFill/>
            </a:ln>
          </c:spPr>
          <c:trendline>
            <c:trendlineType val="poly"/>
            <c:order val="2"/>
            <c:dispRSqr val="0"/>
            <c:dispEq val="0"/>
          </c:trendline>
          <c:xVal>
            <c:numRef>
              <c:f>Config!$Y$28:$Y$33</c:f>
              <c:numCache>
                <c:formatCode>General</c:formatCode>
                <c:ptCount val="6"/>
                <c:pt idx="0">
                  <c:v>240</c:v>
                </c:pt>
                <c:pt idx="1">
                  <c:v>260</c:v>
                </c:pt>
                <c:pt idx="2">
                  <c:v>280</c:v>
                </c:pt>
                <c:pt idx="3">
                  <c:v>300</c:v>
                </c:pt>
                <c:pt idx="4">
                  <c:v>320</c:v>
                </c:pt>
                <c:pt idx="5">
                  <c:v>340</c:v>
                </c:pt>
              </c:numCache>
            </c:numRef>
          </c:xVal>
          <c:yVal>
            <c:numRef>
              <c:f>Config!$Z$28:$Z$33</c:f>
              <c:numCache>
                <c:formatCode>0%</c:formatCode>
                <c:ptCount val="6"/>
                <c:pt idx="0">
                  <c:v>1.7014866523158192</c:v>
                </c:pt>
                <c:pt idx="1">
                  <c:v>1.2564824509409132</c:v>
                </c:pt>
                <c:pt idx="2">
                  <c:v>0.87505027833385007</c:v>
                </c:pt>
                <c:pt idx="3">
                  <c:v>0.54447572874106243</c:v>
                </c:pt>
                <c:pt idx="4">
                  <c:v>0.25522299784737346</c:v>
                </c:pt>
                <c:pt idx="5">
                  <c:v>0</c:v>
                </c:pt>
              </c:numCache>
            </c:numRef>
          </c:yVal>
          <c:smooth val="0"/>
          <c:extLst>
            <c:ext xmlns:c16="http://schemas.microsoft.com/office/drawing/2014/chart" uri="{C3380CC4-5D6E-409C-BE32-E72D297353CC}">
              <c16:uniqueId val="{00000001-7B19-465F-8B6F-734D6E06086D}"/>
            </c:ext>
          </c:extLst>
        </c:ser>
        <c:ser>
          <c:idx val="2"/>
          <c:order val="2"/>
          <c:spPr>
            <a:ln w="28575">
              <a:noFill/>
            </a:ln>
          </c:spPr>
          <c:trendline>
            <c:trendlineType val="poly"/>
            <c:order val="2"/>
            <c:dispRSqr val="0"/>
            <c:dispEq val="0"/>
          </c:trendline>
          <c:xVal>
            <c:numRef>
              <c:f>Config!$Y$34:$Y$39</c:f>
              <c:numCache>
                <c:formatCode>General</c:formatCode>
                <c:ptCount val="6"/>
                <c:pt idx="0">
                  <c:v>240</c:v>
                </c:pt>
                <c:pt idx="1">
                  <c:v>260</c:v>
                </c:pt>
                <c:pt idx="2">
                  <c:v>280</c:v>
                </c:pt>
                <c:pt idx="3">
                  <c:v>300</c:v>
                </c:pt>
                <c:pt idx="4">
                  <c:v>320</c:v>
                </c:pt>
                <c:pt idx="5">
                  <c:v>340</c:v>
                </c:pt>
              </c:numCache>
            </c:numRef>
          </c:xVal>
          <c:yVal>
            <c:numRef>
              <c:f>Config!$Z$34:$Z$39</c:f>
              <c:numCache>
                <c:formatCode>0%</c:formatCode>
                <c:ptCount val="6"/>
                <c:pt idx="0">
                  <c:v>1.4281738085582667</c:v>
                </c:pt>
                <c:pt idx="1">
                  <c:v>1.0546514278584125</c:v>
                </c:pt>
                <c:pt idx="2">
                  <c:v>0.73448938725853719</c:v>
                </c:pt>
                <c:pt idx="3">
                  <c:v>0.45701561873864538</c:v>
                </c:pt>
                <c:pt idx="4">
                  <c:v>0.21422607128373983</c:v>
                </c:pt>
                <c:pt idx="5">
                  <c:v>0</c:v>
                </c:pt>
              </c:numCache>
            </c:numRef>
          </c:yVal>
          <c:smooth val="0"/>
          <c:extLst>
            <c:ext xmlns:c16="http://schemas.microsoft.com/office/drawing/2014/chart" uri="{C3380CC4-5D6E-409C-BE32-E72D297353CC}">
              <c16:uniqueId val="{00000002-7B19-465F-8B6F-734D6E06086D}"/>
            </c:ext>
          </c:extLst>
        </c:ser>
        <c:dLbls>
          <c:showLegendKey val="0"/>
          <c:showVal val="0"/>
          <c:showCatName val="0"/>
          <c:showSerName val="0"/>
          <c:showPercent val="0"/>
          <c:showBubbleSize val="0"/>
        </c:dLbls>
        <c:axId val="260501888"/>
        <c:axId val="260502448"/>
      </c:scatterChart>
      <c:valAx>
        <c:axId val="260501888"/>
        <c:scaling>
          <c:orientation val="minMax"/>
          <c:max val="340"/>
          <c:min val="240"/>
        </c:scaling>
        <c:delete val="0"/>
        <c:axPos val="b"/>
        <c:numFmt formatCode="General" sourceLinked="1"/>
        <c:majorTickMark val="out"/>
        <c:minorTickMark val="none"/>
        <c:tickLblPos val="nextTo"/>
        <c:crossAx val="260502448"/>
        <c:crosses val="autoZero"/>
        <c:crossBetween val="midCat"/>
      </c:valAx>
      <c:valAx>
        <c:axId val="260502448"/>
        <c:scaling>
          <c:orientation val="minMax"/>
        </c:scaling>
        <c:delete val="0"/>
        <c:axPos val="l"/>
        <c:majorGridlines/>
        <c:numFmt formatCode="0%" sourceLinked="1"/>
        <c:majorTickMark val="out"/>
        <c:minorTickMark val="none"/>
        <c:tickLblPos val="nextTo"/>
        <c:crossAx val="26050188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Config!$Y$2:$Y$7</c:f>
              <c:numCache>
                <c:formatCode>General</c:formatCode>
                <c:ptCount val="6"/>
                <c:pt idx="0">
                  <c:v>1</c:v>
                </c:pt>
                <c:pt idx="1">
                  <c:v>10</c:v>
                </c:pt>
                <c:pt idx="2">
                  <c:v>20</c:v>
                </c:pt>
                <c:pt idx="3">
                  <c:v>30</c:v>
                </c:pt>
                <c:pt idx="4">
                  <c:v>40</c:v>
                </c:pt>
                <c:pt idx="5">
                  <c:v>50</c:v>
                </c:pt>
              </c:numCache>
            </c:numRef>
          </c:xVal>
          <c:yVal>
            <c:numRef>
              <c:f>Config!$Z$2:$Z$7</c:f>
              <c:numCache>
                <c:formatCode>0%</c:formatCode>
                <c:ptCount val="6"/>
                <c:pt idx="0">
                  <c:v>1</c:v>
                </c:pt>
                <c:pt idx="1">
                  <c:v>1.0530573696868977</c:v>
                </c:pt>
                <c:pt idx="2">
                  <c:v>1.0695738267349046</c:v>
                </c:pt>
                <c:pt idx="3">
                  <c:v>1.0793551633830587</c:v>
                </c:pt>
                <c:pt idx="4">
                  <c:v>1.0863493326830678</c:v>
                </c:pt>
                <c:pt idx="5">
                  <c:v>1.0918056278898232</c:v>
                </c:pt>
              </c:numCache>
            </c:numRef>
          </c:yVal>
          <c:smooth val="0"/>
          <c:extLst>
            <c:ext xmlns:c16="http://schemas.microsoft.com/office/drawing/2014/chart" uri="{C3380CC4-5D6E-409C-BE32-E72D297353CC}">
              <c16:uniqueId val="{00000000-61BE-419E-BA71-A6806B585E86}"/>
            </c:ext>
          </c:extLst>
        </c:ser>
        <c:ser>
          <c:idx val="1"/>
          <c:order val="1"/>
          <c:spPr>
            <a:ln w="28575">
              <a:noFill/>
            </a:ln>
          </c:spPr>
          <c:trendline>
            <c:trendlineType val="power"/>
            <c:dispRSqr val="0"/>
            <c:dispEq val="0"/>
          </c:trendline>
          <c:xVal>
            <c:numRef>
              <c:f>Config!$Y$8:$Y$13</c:f>
              <c:numCache>
                <c:formatCode>General</c:formatCode>
                <c:ptCount val="6"/>
                <c:pt idx="0">
                  <c:v>1</c:v>
                </c:pt>
                <c:pt idx="1">
                  <c:v>10</c:v>
                </c:pt>
                <c:pt idx="2">
                  <c:v>20</c:v>
                </c:pt>
                <c:pt idx="3">
                  <c:v>30</c:v>
                </c:pt>
                <c:pt idx="4">
                  <c:v>40</c:v>
                </c:pt>
                <c:pt idx="5">
                  <c:v>50</c:v>
                </c:pt>
              </c:numCache>
            </c:numRef>
          </c:xVal>
          <c:yVal>
            <c:numRef>
              <c:f>Config!$Z$8:$Z$13</c:f>
              <c:numCache>
                <c:formatCode>0%</c:formatCode>
                <c:ptCount val="6"/>
                <c:pt idx="0">
                  <c:v>1</c:v>
                </c:pt>
                <c:pt idx="1">
                  <c:v>1.0989039810289554</c:v>
                </c:pt>
                <c:pt idx="2">
                  <c:v>1.1305502206633384</c:v>
                </c:pt>
                <c:pt idx="3">
                  <c:v>1.1494828933458261</c:v>
                </c:pt>
                <c:pt idx="4">
                  <c:v>1.1631078087870215</c:v>
                </c:pt>
                <c:pt idx="5">
                  <c:v>1.1737872318400142</c:v>
                </c:pt>
              </c:numCache>
            </c:numRef>
          </c:yVal>
          <c:smooth val="0"/>
          <c:extLst>
            <c:ext xmlns:c16="http://schemas.microsoft.com/office/drawing/2014/chart" uri="{C3380CC4-5D6E-409C-BE32-E72D297353CC}">
              <c16:uniqueId val="{00000001-61BE-419E-BA71-A6806B585E86}"/>
            </c:ext>
          </c:extLst>
        </c:ser>
        <c:ser>
          <c:idx val="2"/>
          <c:order val="2"/>
          <c:spPr>
            <a:ln w="28575">
              <a:noFill/>
            </a:ln>
          </c:spPr>
          <c:trendline>
            <c:trendlineType val="power"/>
            <c:dispRSqr val="0"/>
            <c:dispEq val="0"/>
          </c:trendline>
          <c:xVal>
            <c:numRef>
              <c:f>Config!$Y$14:$Y$19</c:f>
              <c:numCache>
                <c:formatCode>General</c:formatCode>
                <c:ptCount val="6"/>
                <c:pt idx="0">
                  <c:v>1</c:v>
                </c:pt>
                <c:pt idx="1">
                  <c:v>10</c:v>
                </c:pt>
                <c:pt idx="2">
                  <c:v>20</c:v>
                </c:pt>
                <c:pt idx="3">
                  <c:v>30</c:v>
                </c:pt>
                <c:pt idx="4">
                  <c:v>40</c:v>
                </c:pt>
                <c:pt idx="5">
                  <c:v>50</c:v>
                </c:pt>
              </c:numCache>
            </c:numRef>
          </c:xVal>
          <c:yVal>
            <c:numRef>
              <c:f>Config!$Z$14:$Z$19</c:f>
              <c:numCache>
                <c:formatCode>0%</c:formatCode>
                <c:ptCount val="6"/>
                <c:pt idx="0">
                  <c:v>1</c:v>
                </c:pt>
                <c:pt idx="1">
                  <c:v>1.0498710774618634</c:v>
                </c:pt>
                <c:pt idx="2">
                  <c:v>1.0653652652472969</c:v>
                </c:pt>
                <c:pt idx="3">
                  <c:v>1.0745345719008113</c:v>
                </c:pt>
                <c:pt idx="4">
                  <c:v>1.0810881190663835</c:v>
                </c:pt>
                <c:pt idx="5">
                  <c:v>1.0861989580546088</c:v>
                </c:pt>
              </c:numCache>
            </c:numRef>
          </c:yVal>
          <c:smooth val="0"/>
          <c:extLst>
            <c:ext xmlns:c16="http://schemas.microsoft.com/office/drawing/2014/chart" uri="{C3380CC4-5D6E-409C-BE32-E72D297353CC}">
              <c16:uniqueId val="{00000002-61BE-419E-BA71-A6806B585E86}"/>
            </c:ext>
          </c:extLst>
        </c:ser>
        <c:dLbls>
          <c:showLegendKey val="0"/>
          <c:showVal val="0"/>
          <c:showCatName val="0"/>
          <c:showSerName val="0"/>
          <c:showPercent val="0"/>
          <c:showBubbleSize val="0"/>
        </c:dLbls>
        <c:axId val="258086848"/>
        <c:axId val="258087408"/>
      </c:scatterChart>
      <c:valAx>
        <c:axId val="258086848"/>
        <c:scaling>
          <c:orientation val="minMax"/>
          <c:max val="50"/>
          <c:min val="0"/>
        </c:scaling>
        <c:delete val="0"/>
        <c:axPos val="b"/>
        <c:numFmt formatCode="General" sourceLinked="1"/>
        <c:majorTickMark val="out"/>
        <c:minorTickMark val="none"/>
        <c:tickLblPos val="nextTo"/>
        <c:crossAx val="258087408"/>
        <c:crosses val="autoZero"/>
        <c:crossBetween val="midCat"/>
      </c:valAx>
      <c:valAx>
        <c:axId val="258087408"/>
        <c:scaling>
          <c:orientation val="minMax"/>
          <c:min val="1"/>
        </c:scaling>
        <c:delete val="0"/>
        <c:axPos val="l"/>
        <c:majorGridlines/>
        <c:numFmt formatCode="0%" sourceLinked="1"/>
        <c:majorTickMark val="out"/>
        <c:minorTickMark val="none"/>
        <c:tickLblPos val="nextTo"/>
        <c:crossAx val="25808684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linear"/>
            <c:dispRSqr val="0"/>
            <c:dispEq val="0"/>
          </c:trendline>
          <c:xVal>
            <c:numRef>
              <c:f>Config!$Q$2:$Q$7</c:f>
              <c:numCache>
                <c:formatCode>General</c:formatCode>
                <c:ptCount val="6"/>
                <c:pt idx="0">
                  <c:v>0</c:v>
                </c:pt>
                <c:pt idx="1">
                  <c:v>20</c:v>
                </c:pt>
                <c:pt idx="2">
                  <c:v>40</c:v>
                </c:pt>
                <c:pt idx="3">
                  <c:v>60</c:v>
                </c:pt>
                <c:pt idx="4">
                  <c:v>80</c:v>
                </c:pt>
                <c:pt idx="5">
                  <c:v>100</c:v>
                </c:pt>
              </c:numCache>
            </c:numRef>
          </c:xVal>
          <c:yVal>
            <c:numRef>
              <c:f>Config!$R$2:$R$7</c:f>
              <c:numCache>
                <c:formatCode>0%</c:formatCode>
                <c:ptCount val="6"/>
                <c:pt idx="0">
                  <c:v>0</c:v>
                </c:pt>
                <c:pt idx="1">
                  <c:v>6.3434556173073198E-2</c:v>
                </c:pt>
                <c:pt idx="2">
                  <c:v>0.1268691123461464</c:v>
                </c:pt>
                <c:pt idx="3">
                  <c:v>0.19030366851921959</c:v>
                </c:pt>
                <c:pt idx="4">
                  <c:v>0.25373822469229279</c:v>
                </c:pt>
                <c:pt idx="5">
                  <c:v>0.31717278086536599</c:v>
                </c:pt>
              </c:numCache>
            </c:numRef>
          </c:yVal>
          <c:smooth val="0"/>
          <c:extLst>
            <c:ext xmlns:c16="http://schemas.microsoft.com/office/drawing/2014/chart" uri="{C3380CC4-5D6E-409C-BE32-E72D297353CC}">
              <c16:uniqueId val="{00000000-4F99-48F0-B238-00B7401440B3}"/>
            </c:ext>
          </c:extLst>
        </c:ser>
        <c:ser>
          <c:idx val="1"/>
          <c:order val="1"/>
          <c:spPr>
            <a:ln w="28575">
              <a:noFill/>
            </a:ln>
          </c:spPr>
          <c:trendline>
            <c:trendlineType val="linear"/>
            <c:dispRSqr val="0"/>
            <c:dispEq val="0"/>
          </c:trendline>
          <c:xVal>
            <c:numRef>
              <c:f>Config!$Q$8:$Q$13</c:f>
              <c:numCache>
                <c:formatCode>General</c:formatCode>
                <c:ptCount val="6"/>
                <c:pt idx="0">
                  <c:v>0</c:v>
                </c:pt>
                <c:pt idx="1">
                  <c:v>20</c:v>
                </c:pt>
                <c:pt idx="2">
                  <c:v>40</c:v>
                </c:pt>
                <c:pt idx="3">
                  <c:v>60</c:v>
                </c:pt>
                <c:pt idx="4">
                  <c:v>80</c:v>
                </c:pt>
                <c:pt idx="5">
                  <c:v>100</c:v>
                </c:pt>
              </c:numCache>
            </c:numRef>
          </c:xVal>
          <c:yVal>
            <c:numRef>
              <c:f>Config!$R$8:$R$13</c:f>
              <c:numCache>
                <c:formatCode>0%</c:formatCode>
                <c:ptCount val="6"/>
                <c:pt idx="0">
                  <c:v>0</c:v>
                </c:pt>
                <c:pt idx="1">
                  <c:v>1.3881691306910444E-3</c:v>
                </c:pt>
                <c:pt idx="2">
                  <c:v>2.7763382613820889E-3</c:v>
                </c:pt>
                <c:pt idx="3">
                  <c:v>4.1645073920731331E-3</c:v>
                </c:pt>
                <c:pt idx="4">
                  <c:v>5.5526765227641777E-3</c:v>
                </c:pt>
                <c:pt idx="5">
                  <c:v>6.9408456534552224E-3</c:v>
                </c:pt>
              </c:numCache>
            </c:numRef>
          </c:yVal>
          <c:smooth val="0"/>
          <c:extLst>
            <c:ext xmlns:c16="http://schemas.microsoft.com/office/drawing/2014/chart" uri="{C3380CC4-5D6E-409C-BE32-E72D297353CC}">
              <c16:uniqueId val="{00000001-4F99-48F0-B238-00B7401440B3}"/>
            </c:ext>
          </c:extLst>
        </c:ser>
        <c:dLbls>
          <c:showLegendKey val="0"/>
          <c:showVal val="0"/>
          <c:showCatName val="0"/>
          <c:showSerName val="0"/>
          <c:showPercent val="0"/>
          <c:showBubbleSize val="0"/>
        </c:dLbls>
        <c:axId val="258090768"/>
        <c:axId val="258091328"/>
      </c:scatterChart>
      <c:valAx>
        <c:axId val="258090768"/>
        <c:scaling>
          <c:orientation val="minMax"/>
          <c:max val="100"/>
        </c:scaling>
        <c:delete val="0"/>
        <c:axPos val="b"/>
        <c:numFmt formatCode="General" sourceLinked="1"/>
        <c:majorTickMark val="out"/>
        <c:minorTickMark val="none"/>
        <c:tickLblPos val="nextTo"/>
        <c:crossAx val="258091328"/>
        <c:crosses val="autoZero"/>
        <c:crossBetween val="midCat"/>
      </c:valAx>
      <c:valAx>
        <c:axId val="258091328"/>
        <c:scaling>
          <c:orientation val="minMax"/>
          <c:min val="0"/>
        </c:scaling>
        <c:delete val="0"/>
        <c:axPos val="l"/>
        <c:majorGridlines/>
        <c:numFmt formatCode="0%" sourceLinked="1"/>
        <c:majorTickMark val="out"/>
        <c:minorTickMark val="none"/>
        <c:tickLblPos val="nextTo"/>
        <c:crossAx val="25809076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Config!$Q$30:$Q$35</c:f>
              <c:numCache>
                <c:formatCode>General</c:formatCode>
                <c:ptCount val="6"/>
                <c:pt idx="0">
                  <c:v>1</c:v>
                </c:pt>
                <c:pt idx="1">
                  <c:v>3</c:v>
                </c:pt>
                <c:pt idx="2">
                  <c:v>5</c:v>
                </c:pt>
                <c:pt idx="3">
                  <c:v>7</c:v>
                </c:pt>
                <c:pt idx="4">
                  <c:v>9</c:v>
                </c:pt>
                <c:pt idx="5">
                  <c:v>11</c:v>
                </c:pt>
              </c:numCache>
            </c:numRef>
          </c:xVal>
          <c:yVal>
            <c:numRef>
              <c:f>Config!$R$30:$R$35</c:f>
              <c:numCache>
                <c:formatCode>0%</c:formatCode>
                <c:ptCount val="6"/>
                <c:pt idx="0">
                  <c:v>1</c:v>
                </c:pt>
                <c:pt idx="1">
                  <c:v>1.2777115144426023</c:v>
                </c:pt>
                <c:pt idx="2">
                  <c:v>1.4319282140099197</c:v>
                </c:pt>
                <c:pt idx="3">
                  <c:v>1.5435419847051326</c:v>
                </c:pt>
                <c:pt idx="4">
                  <c:v>1.6325467141392085</c:v>
                </c:pt>
                <c:pt idx="5">
                  <c:v>1.7072867000412886</c:v>
                </c:pt>
              </c:numCache>
            </c:numRef>
          </c:yVal>
          <c:smooth val="0"/>
          <c:extLst>
            <c:ext xmlns:c16="http://schemas.microsoft.com/office/drawing/2014/chart" uri="{C3380CC4-5D6E-409C-BE32-E72D297353CC}">
              <c16:uniqueId val="{00000000-9A2E-4FC8-82D1-F9519320DF07}"/>
            </c:ext>
          </c:extLst>
        </c:ser>
        <c:ser>
          <c:idx val="1"/>
          <c:order val="1"/>
          <c:spPr>
            <a:ln w="28575">
              <a:noFill/>
            </a:ln>
          </c:spPr>
          <c:trendline>
            <c:trendlineType val="power"/>
            <c:dispRSqr val="0"/>
            <c:dispEq val="0"/>
          </c:trendline>
          <c:xVal>
            <c:numRef>
              <c:f>Config!$Q$36:$Q$41</c:f>
              <c:numCache>
                <c:formatCode>General</c:formatCode>
                <c:ptCount val="6"/>
                <c:pt idx="0">
                  <c:v>1</c:v>
                </c:pt>
                <c:pt idx="1">
                  <c:v>3</c:v>
                </c:pt>
                <c:pt idx="2">
                  <c:v>5</c:v>
                </c:pt>
                <c:pt idx="3">
                  <c:v>7</c:v>
                </c:pt>
                <c:pt idx="4">
                  <c:v>9</c:v>
                </c:pt>
                <c:pt idx="5">
                  <c:v>11</c:v>
                </c:pt>
              </c:numCache>
            </c:numRef>
          </c:xVal>
          <c:yVal>
            <c:numRef>
              <c:f>Config!$R$36:$R$41</c:f>
              <c:numCache>
                <c:formatCode>0%</c:formatCode>
                <c:ptCount val="6"/>
                <c:pt idx="0">
                  <c:v>1</c:v>
                </c:pt>
                <c:pt idx="1">
                  <c:v>1.1024513681413843</c:v>
                </c:pt>
                <c:pt idx="2">
                  <c:v>1.1536005622971783</c:v>
                </c:pt>
                <c:pt idx="3">
                  <c:v>1.1885813039899731</c:v>
                </c:pt>
                <c:pt idx="4">
                  <c:v>1.21539901911681</c:v>
                </c:pt>
                <c:pt idx="5">
                  <c:v>1.2372463651484098</c:v>
                </c:pt>
              </c:numCache>
            </c:numRef>
          </c:yVal>
          <c:smooth val="0"/>
          <c:extLst>
            <c:ext xmlns:c16="http://schemas.microsoft.com/office/drawing/2014/chart" uri="{C3380CC4-5D6E-409C-BE32-E72D297353CC}">
              <c16:uniqueId val="{00000000-33C6-4429-B90B-FC5DD6AF0CD8}"/>
            </c:ext>
          </c:extLst>
        </c:ser>
        <c:dLbls>
          <c:showLegendKey val="0"/>
          <c:showVal val="0"/>
          <c:showCatName val="0"/>
          <c:showSerName val="0"/>
          <c:showPercent val="0"/>
          <c:showBubbleSize val="0"/>
        </c:dLbls>
        <c:axId val="258094128"/>
        <c:axId val="258094688"/>
      </c:scatterChart>
      <c:valAx>
        <c:axId val="258094128"/>
        <c:scaling>
          <c:orientation val="minMax"/>
          <c:max val="12"/>
          <c:min val="0"/>
        </c:scaling>
        <c:delete val="0"/>
        <c:axPos val="b"/>
        <c:numFmt formatCode="General" sourceLinked="1"/>
        <c:majorTickMark val="out"/>
        <c:minorTickMark val="none"/>
        <c:tickLblPos val="nextTo"/>
        <c:crossAx val="258094688"/>
        <c:crosses val="autoZero"/>
        <c:crossBetween val="midCat"/>
      </c:valAx>
      <c:valAx>
        <c:axId val="258094688"/>
        <c:scaling>
          <c:orientation val="minMax"/>
          <c:min val="1"/>
        </c:scaling>
        <c:delete val="0"/>
        <c:axPos val="l"/>
        <c:majorGridlines/>
        <c:numFmt formatCode="0%" sourceLinked="1"/>
        <c:majorTickMark val="out"/>
        <c:minorTickMark val="none"/>
        <c:tickLblPos val="nextTo"/>
        <c:crossAx val="25809412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Config!$Q$44:$Q$55</c:f>
              <c:numCache>
                <c:formatCode>General</c:formatCode>
                <c:ptCount val="12"/>
                <c:pt idx="0">
                  <c:v>1</c:v>
                </c:pt>
                <c:pt idx="1">
                  <c:v>9</c:v>
                </c:pt>
                <c:pt idx="2">
                  <c:v>18</c:v>
                </c:pt>
                <c:pt idx="3">
                  <c:v>27</c:v>
                </c:pt>
                <c:pt idx="4">
                  <c:v>36</c:v>
                </c:pt>
                <c:pt idx="5">
                  <c:v>45</c:v>
                </c:pt>
                <c:pt idx="6">
                  <c:v>54</c:v>
                </c:pt>
                <c:pt idx="7">
                  <c:v>63</c:v>
                </c:pt>
                <c:pt idx="8">
                  <c:v>72</c:v>
                </c:pt>
                <c:pt idx="9">
                  <c:v>81</c:v>
                </c:pt>
                <c:pt idx="10">
                  <c:v>90</c:v>
                </c:pt>
                <c:pt idx="11">
                  <c:v>99</c:v>
                </c:pt>
              </c:numCache>
            </c:numRef>
          </c:xVal>
          <c:yVal>
            <c:numRef>
              <c:f>Config!$R$44:$R$55</c:f>
              <c:numCache>
                <c:formatCode>0%</c:formatCode>
                <c:ptCount val="12"/>
                <c:pt idx="0">
                  <c:v>1</c:v>
                </c:pt>
                <c:pt idx="1">
                  <c:v>1.0215477580844465</c:v>
                </c:pt>
                <c:pt idx="2">
                  <c:v>1.0284411890223524</c:v>
                </c:pt>
                <c:pt idx="3">
                  <c:v>1.0324951315330662</c:v>
                </c:pt>
                <c:pt idx="4">
                  <c:v>1.0353811370121724</c:v>
                </c:pt>
                <c:pt idx="5">
                  <c:v>1.0376252509167483</c:v>
                </c:pt>
                <c:pt idx="6">
                  <c:v>1.0394624356327722</c:v>
                </c:pt>
                <c:pt idx="7">
                  <c:v>1.0410182907249181</c:v>
                </c:pt>
                <c:pt idx="8">
                  <c:v>1.0423679159521873</c:v>
                </c:pt>
                <c:pt idx="9">
                  <c:v>1.043559822047359</c:v>
                </c:pt>
                <c:pt idx="10">
                  <c:v>1.0446271731959713</c:v>
                </c:pt>
                <c:pt idx="11">
                  <c:v>1.0455936501737368</c:v>
                </c:pt>
              </c:numCache>
            </c:numRef>
          </c:yVal>
          <c:smooth val="0"/>
          <c:extLst>
            <c:ext xmlns:c16="http://schemas.microsoft.com/office/drawing/2014/chart" uri="{C3380CC4-5D6E-409C-BE32-E72D297353CC}">
              <c16:uniqueId val="{00000000-3857-4E40-B95F-79A978EA6131}"/>
            </c:ext>
          </c:extLst>
        </c:ser>
        <c:dLbls>
          <c:showLegendKey val="0"/>
          <c:showVal val="0"/>
          <c:showCatName val="0"/>
          <c:showSerName val="0"/>
          <c:showPercent val="0"/>
          <c:showBubbleSize val="0"/>
        </c:dLbls>
        <c:axId val="258096928"/>
        <c:axId val="258097488"/>
      </c:scatterChart>
      <c:valAx>
        <c:axId val="258096928"/>
        <c:scaling>
          <c:orientation val="minMax"/>
          <c:max val="100"/>
          <c:min val="0"/>
        </c:scaling>
        <c:delete val="0"/>
        <c:axPos val="b"/>
        <c:numFmt formatCode="General" sourceLinked="1"/>
        <c:majorTickMark val="out"/>
        <c:minorTickMark val="none"/>
        <c:tickLblPos val="nextTo"/>
        <c:crossAx val="258097488"/>
        <c:crosses val="autoZero"/>
        <c:crossBetween val="midCat"/>
      </c:valAx>
      <c:valAx>
        <c:axId val="258097488"/>
        <c:scaling>
          <c:orientation val="minMax"/>
          <c:min val="1"/>
        </c:scaling>
        <c:delete val="0"/>
        <c:axPos val="l"/>
        <c:majorGridlines/>
        <c:numFmt formatCode="0%" sourceLinked="1"/>
        <c:majorTickMark val="out"/>
        <c:minorTickMark val="none"/>
        <c:tickLblPos val="nextTo"/>
        <c:crossAx val="25809692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Config!$Q$58:$Q$69</c:f>
              <c:numCache>
                <c:formatCode>General</c:formatCode>
                <c:ptCount val="12"/>
                <c:pt idx="0">
                  <c:v>1</c:v>
                </c:pt>
                <c:pt idx="1">
                  <c:v>25</c:v>
                </c:pt>
                <c:pt idx="2">
                  <c:v>50</c:v>
                </c:pt>
                <c:pt idx="3">
                  <c:v>75</c:v>
                </c:pt>
                <c:pt idx="4">
                  <c:v>100</c:v>
                </c:pt>
                <c:pt idx="5">
                  <c:v>125</c:v>
                </c:pt>
                <c:pt idx="6">
                  <c:v>150</c:v>
                </c:pt>
                <c:pt idx="7">
                  <c:v>175</c:v>
                </c:pt>
                <c:pt idx="8">
                  <c:v>200</c:v>
                </c:pt>
                <c:pt idx="9">
                  <c:v>225</c:v>
                </c:pt>
                <c:pt idx="10">
                  <c:v>250</c:v>
                </c:pt>
                <c:pt idx="11">
                  <c:v>275</c:v>
                </c:pt>
              </c:numCache>
            </c:numRef>
          </c:xVal>
          <c:yVal>
            <c:numRef>
              <c:f>Config!$R$58:$R$69</c:f>
              <c:numCache>
                <c:formatCode>0%</c:formatCode>
                <c:ptCount val="12"/>
                <c:pt idx="0">
                  <c:v>1</c:v>
                </c:pt>
                <c:pt idx="1">
                  <c:v>1.366586535320732</c:v>
                </c:pt>
                <c:pt idx="2">
                  <c:v>1.461655432827202</c:v>
                </c:pt>
                <c:pt idx="3">
                  <c:v>1.5203042602293395</c:v>
                </c:pt>
                <c:pt idx="4">
                  <c:v>1.5633379585522278</c:v>
                </c:pt>
                <c:pt idx="5">
                  <c:v>1.5975545853940734</c:v>
                </c:pt>
                <c:pt idx="6">
                  <c:v>1.6260667905622401</c:v>
                </c:pt>
                <c:pt idx="7">
                  <c:v>1.6505701571751752</c:v>
                </c:pt>
                <c:pt idx="8">
                  <c:v>1.6720942006987918</c:v>
                </c:pt>
                <c:pt idx="9">
                  <c:v>1.6913126128006382</c:v>
                </c:pt>
                <c:pt idx="10">
                  <c:v>1.7086911649039649</c:v>
                </c:pt>
                <c:pt idx="11">
                  <c:v>1.7245657573235746</c:v>
                </c:pt>
              </c:numCache>
            </c:numRef>
          </c:yVal>
          <c:smooth val="0"/>
          <c:extLst>
            <c:ext xmlns:c16="http://schemas.microsoft.com/office/drawing/2014/chart" uri="{C3380CC4-5D6E-409C-BE32-E72D297353CC}">
              <c16:uniqueId val="{00000000-73FA-44CF-81D9-2FB02CFAF8EB}"/>
            </c:ext>
          </c:extLst>
        </c:ser>
        <c:dLbls>
          <c:showLegendKey val="0"/>
          <c:showVal val="0"/>
          <c:showCatName val="0"/>
          <c:showSerName val="0"/>
          <c:showPercent val="0"/>
          <c:showBubbleSize val="0"/>
        </c:dLbls>
        <c:axId val="258099728"/>
        <c:axId val="258100288"/>
      </c:scatterChart>
      <c:valAx>
        <c:axId val="258099728"/>
        <c:scaling>
          <c:orientation val="minMax"/>
          <c:min val="0"/>
        </c:scaling>
        <c:delete val="0"/>
        <c:axPos val="b"/>
        <c:numFmt formatCode="General" sourceLinked="1"/>
        <c:majorTickMark val="out"/>
        <c:minorTickMark val="none"/>
        <c:tickLblPos val="nextTo"/>
        <c:crossAx val="258100288"/>
        <c:crosses val="autoZero"/>
        <c:crossBetween val="midCat"/>
      </c:valAx>
      <c:valAx>
        <c:axId val="258100288"/>
        <c:scaling>
          <c:orientation val="minMax"/>
          <c:min val="1"/>
        </c:scaling>
        <c:delete val="0"/>
        <c:axPos val="l"/>
        <c:majorGridlines/>
        <c:numFmt formatCode="0%" sourceLinked="1"/>
        <c:majorTickMark val="out"/>
        <c:minorTickMark val="none"/>
        <c:tickLblPos val="nextTo"/>
        <c:crossAx val="25809972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Config!$Q$72:$Q$83</c:f>
              <c:numCache>
                <c:formatCode>General</c:formatCode>
                <c:ptCount val="12"/>
                <c:pt idx="0">
                  <c:v>1</c:v>
                </c:pt>
                <c:pt idx="1">
                  <c:v>9</c:v>
                </c:pt>
                <c:pt idx="2">
                  <c:v>18</c:v>
                </c:pt>
                <c:pt idx="3">
                  <c:v>27</c:v>
                </c:pt>
                <c:pt idx="4">
                  <c:v>36</c:v>
                </c:pt>
                <c:pt idx="5">
                  <c:v>45</c:v>
                </c:pt>
                <c:pt idx="6">
                  <c:v>54</c:v>
                </c:pt>
                <c:pt idx="7">
                  <c:v>63</c:v>
                </c:pt>
                <c:pt idx="8">
                  <c:v>72</c:v>
                </c:pt>
                <c:pt idx="9">
                  <c:v>81</c:v>
                </c:pt>
                <c:pt idx="10">
                  <c:v>90</c:v>
                </c:pt>
                <c:pt idx="11">
                  <c:v>99</c:v>
                </c:pt>
              </c:numCache>
            </c:numRef>
          </c:xVal>
          <c:yVal>
            <c:numRef>
              <c:f>Config!$R$72:$R$83</c:f>
              <c:numCache>
                <c:formatCode>0%</c:formatCode>
                <c:ptCount val="12"/>
                <c:pt idx="0">
                  <c:v>1</c:v>
                </c:pt>
                <c:pt idx="1">
                  <c:v>1.1239155391750357</c:v>
                </c:pt>
                <c:pt idx="2">
                  <c:v>1.166106909200552</c:v>
                </c:pt>
                <c:pt idx="3">
                  <c:v>1.1915177425101151</c:v>
                </c:pt>
                <c:pt idx="4">
                  <c:v>1.2098821275158933</c:v>
                </c:pt>
                <c:pt idx="5">
                  <c:v>1.2243213463560227</c:v>
                </c:pt>
                <c:pt idx="6">
                  <c:v>1.2362468740275172</c:v>
                </c:pt>
                <c:pt idx="7">
                  <c:v>1.2464203437545169</c:v>
                </c:pt>
                <c:pt idx="8">
                  <c:v>1.2553006511949507</c:v>
                </c:pt>
                <c:pt idx="9">
                  <c:v>1.2631861391991115</c:v>
                </c:pt>
                <c:pt idx="10">
                  <c:v>1.2702819129232943</c:v>
                </c:pt>
                <c:pt idx="11">
                  <c:v>1.276735152496105</c:v>
                </c:pt>
              </c:numCache>
            </c:numRef>
          </c:yVal>
          <c:smooth val="0"/>
          <c:extLst>
            <c:ext xmlns:c16="http://schemas.microsoft.com/office/drawing/2014/chart" uri="{C3380CC4-5D6E-409C-BE32-E72D297353CC}">
              <c16:uniqueId val="{00000000-1B13-4FF7-AEC9-FC2991428390}"/>
            </c:ext>
          </c:extLst>
        </c:ser>
        <c:dLbls>
          <c:showLegendKey val="0"/>
          <c:showVal val="0"/>
          <c:showCatName val="0"/>
          <c:showSerName val="0"/>
          <c:showPercent val="0"/>
          <c:showBubbleSize val="0"/>
        </c:dLbls>
        <c:axId val="262093488"/>
        <c:axId val="262094048"/>
      </c:scatterChart>
      <c:valAx>
        <c:axId val="262093488"/>
        <c:scaling>
          <c:orientation val="minMax"/>
          <c:max val="100"/>
          <c:min val="0"/>
        </c:scaling>
        <c:delete val="0"/>
        <c:axPos val="b"/>
        <c:numFmt formatCode="General" sourceLinked="1"/>
        <c:majorTickMark val="out"/>
        <c:minorTickMark val="none"/>
        <c:tickLblPos val="nextTo"/>
        <c:crossAx val="262094048"/>
        <c:crosses val="autoZero"/>
        <c:crossBetween val="midCat"/>
      </c:valAx>
      <c:valAx>
        <c:axId val="262094048"/>
        <c:scaling>
          <c:orientation val="minMax"/>
          <c:min val="1"/>
        </c:scaling>
        <c:delete val="0"/>
        <c:axPos val="l"/>
        <c:majorGridlines/>
        <c:numFmt formatCode="0%" sourceLinked="1"/>
        <c:majorTickMark val="out"/>
        <c:minorTickMark val="none"/>
        <c:tickLblPos val="nextTo"/>
        <c:crossAx val="26209348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8.xml"/><Relationship Id="rId3" Type="http://schemas.openxmlformats.org/officeDocument/2006/relationships/chart" Target="../charts/chart33.xml"/><Relationship Id="rId7" Type="http://schemas.openxmlformats.org/officeDocument/2006/relationships/chart" Target="../charts/chart37.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s>
</file>

<file path=xl/drawings/drawing1.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4465" name="Button 1" hidden="1">
              <a:extLst>
                <a:ext uri="{63B3BB69-23CF-44E3-9099-C40C66FF867C}">
                  <a14:compatExt spid="_x0000_s574465"/>
                </a:ext>
                <a:ext uri="{FF2B5EF4-FFF2-40B4-BE49-F238E27FC236}">
                  <a16:creationId xmlns:a16="http://schemas.microsoft.com/office/drawing/2014/main" id="{00000000-0008-0000-0000-000001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xdr:colOff>
          <xdr:row>94</xdr:row>
          <xdr:rowOff>0</xdr:rowOff>
        </xdr:from>
        <xdr:to>
          <xdr:col>15</xdr:col>
          <xdr:colOff>7620</xdr:colOff>
          <xdr:row>96</xdr:row>
          <xdr:rowOff>0</xdr:rowOff>
        </xdr:to>
        <xdr:sp macro="" textlink="">
          <xdr:nvSpPr>
            <xdr:cNvPr id="574466" name="Button 2" hidden="1">
              <a:extLst>
                <a:ext uri="{63B3BB69-23CF-44E3-9099-C40C66FF867C}">
                  <a14:compatExt spid="_x0000_s574466"/>
                </a:ext>
                <a:ext uri="{FF2B5EF4-FFF2-40B4-BE49-F238E27FC236}">
                  <a16:creationId xmlns:a16="http://schemas.microsoft.com/office/drawing/2014/main" id="{00000000-0008-0000-0000-000002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4467" name="Button 3" hidden="1">
              <a:extLst>
                <a:ext uri="{63B3BB69-23CF-44E3-9099-C40C66FF867C}">
                  <a14:compatExt spid="_x0000_s574467"/>
                </a:ext>
                <a:ext uri="{FF2B5EF4-FFF2-40B4-BE49-F238E27FC236}">
                  <a16:creationId xmlns:a16="http://schemas.microsoft.com/office/drawing/2014/main" id="{00000000-0008-0000-0000-000003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4468" name="Button 4" hidden="1">
              <a:extLst>
                <a:ext uri="{63B3BB69-23CF-44E3-9099-C40C66FF867C}">
                  <a14:compatExt spid="_x0000_s574468"/>
                </a:ext>
                <a:ext uri="{FF2B5EF4-FFF2-40B4-BE49-F238E27FC236}">
                  <a16:creationId xmlns:a16="http://schemas.microsoft.com/office/drawing/2014/main" id="{00000000-0008-0000-0000-00000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4469" name="Button 5" hidden="1">
              <a:extLst>
                <a:ext uri="{63B3BB69-23CF-44E3-9099-C40C66FF867C}">
                  <a14:compatExt spid="_x0000_s574469"/>
                </a:ext>
                <a:ext uri="{FF2B5EF4-FFF2-40B4-BE49-F238E27FC236}">
                  <a16:creationId xmlns:a16="http://schemas.microsoft.com/office/drawing/2014/main" id="{00000000-0008-0000-0000-000005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4470" name="Button 6" hidden="1">
              <a:extLst>
                <a:ext uri="{63B3BB69-23CF-44E3-9099-C40C66FF867C}">
                  <a14:compatExt spid="_x0000_s574470"/>
                </a:ext>
                <a:ext uri="{FF2B5EF4-FFF2-40B4-BE49-F238E27FC236}">
                  <a16:creationId xmlns:a16="http://schemas.microsoft.com/office/drawing/2014/main" id="{00000000-0008-0000-0000-000006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4471" name="Button 7" hidden="1">
              <a:extLst>
                <a:ext uri="{63B3BB69-23CF-44E3-9099-C40C66FF867C}">
                  <a14:compatExt spid="_x0000_s574471"/>
                </a:ext>
                <a:ext uri="{FF2B5EF4-FFF2-40B4-BE49-F238E27FC236}">
                  <a16:creationId xmlns:a16="http://schemas.microsoft.com/office/drawing/2014/main" id="{00000000-0008-0000-0000-00000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4472" name="Button 8" hidden="1">
              <a:extLst>
                <a:ext uri="{63B3BB69-23CF-44E3-9099-C40C66FF867C}">
                  <a14:compatExt spid="_x0000_s574472"/>
                </a:ext>
                <a:ext uri="{FF2B5EF4-FFF2-40B4-BE49-F238E27FC236}">
                  <a16:creationId xmlns:a16="http://schemas.microsoft.com/office/drawing/2014/main" id="{00000000-0008-0000-0000-000008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4473" name="Button 9" hidden="1">
              <a:extLst>
                <a:ext uri="{63B3BB69-23CF-44E3-9099-C40C66FF867C}">
                  <a14:compatExt spid="_x0000_s574473"/>
                </a:ext>
                <a:ext uri="{FF2B5EF4-FFF2-40B4-BE49-F238E27FC236}">
                  <a16:creationId xmlns:a16="http://schemas.microsoft.com/office/drawing/2014/main" id="{00000000-0008-0000-0000-000009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4474" name="Button 10" hidden="1">
              <a:extLst>
                <a:ext uri="{63B3BB69-23CF-44E3-9099-C40C66FF867C}">
                  <a14:compatExt spid="_x0000_s574474"/>
                </a:ext>
                <a:ext uri="{FF2B5EF4-FFF2-40B4-BE49-F238E27FC236}">
                  <a16:creationId xmlns:a16="http://schemas.microsoft.com/office/drawing/2014/main" id="{00000000-0008-0000-0000-00000A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4475" name="Button 11" hidden="1">
              <a:extLst>
                <a:ext uri="{63B3BB69-23CF-44E3-9099-C40C66FF867C}">
                  <a14:compatExt spid="_x0000_s574475"/>
                </a:ext>
                <a:ext uri="{FF2B5EF4-FFF2-40B4-BE49-F238E27FC236}">
                  <a16:creationId xmlns:a16="http://schemas.microsoft.com/office/drawing/2014/main" id="{00000000-0008-0000-0000-00000B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xdr:colOff>
          <xdr:row>88</xdr:row>
          <xdr:rowOff>0</xdr:rowOff>
        </xdr:from>
        <xdr:to>
          <xdr:col>18</xdr:col>
          <xdr:colOff>7620</xdr:colOff>
          <xdr:row>90</xdr:row>
          <xdr:rowOff>0</xdr:rowOff>
        </xdr:to>
        <xdr:sp macro="" textlink="">
          <xdr:nvSpPr>
            <xdr:cNvPr id="574484" name="Button 20" hidden="1">
              <a:extLst>
                <a:ext uri="{63B3BB69-23CF-44E3-9099-C40C66FF867C}">
                  <a14:compatExt spid="_x0000_s574484"/>
                </a:ext>
                <a:ext uri="{FF2B5EF4-FFF2-40B4-BE49-F238E27FC236}">
                  <a16:creationId xmlns:a16="http://schemas.microsoft.com/office/drawing/2014/main" id="{00000000-0008-0000-0000-00001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Insert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685800</xdr:colOff>
          <xdr:row>88</xdr:row>
          <xdr:rowOff>0</xdr:rowOff>
        </xdr:from>
        <xdr:to>
          <xdr:col>14</xdr:col>
          <xdr:colOff>685800</xdr:colOff>
          <xdr:row>90</xdr:row>
          <xdr:rowOff>0</xdr:rowOff>
        </xdr:to>
        <xdr:sp macro="" textlink="">
          <xdr:nvSpPr>
            <xdr:cNvPr id="574487" name="Button 23" hidden="1">
              <a:extLst>
                <a:ext uri="{63B3BB69-23CF-44E3-9099-C40C66FF867C}">
                  <a14:compatExt spid="_x0000_s574487"/>
                </a:ext>
                <a:ext uri="{FF2B5EF4-FFF2-40B4-BE49-F238E27FC236}">
                  <a16:creationId xmlns:a16="http://schemas.microsoft.com/office/drawing/2014/main" id="{00000000-0008-0000-0000-00001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Insert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4564" name="Button 100" hidden="1">
              <a:extLst>
                <a:ext uri="{63B3BB69-23CF-44E3-9099-C40C66FF867C}">
                  <a14:compatExt spid="_x0000_s574564"/>
                </a:ext>
                <a:ext uri="{FF2B5EF4-FFF2-40B4-BE49-F238E27FC236}">
                  <a16:creationId xmlns:a16="http://schemas.microsoft.com/office/drawing/2014/main" id="{00000000-0008-0000-0000-00006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4565" name="Button 101" hidden="1">
              <a:extLst>
                <a:ext uri="{63B3BB69-23CF-44E3-9099-C40C66FF867C}">
                  <a14:compatExt spid="_x0000_s574565"/>
                </a:ext>
                <a:ext uri="{FF2B5EF4-FFF2-40B4-BE49-F238E27FC236}">
                  <a16:creationId xmlns:a16="http://schemas.microsoft.com/office/drawing/2014/main" id="{00000000-0008-0000-0000-000065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4566" name="Button 102" hidden="1">
              <a:extLst>
                <a:ext uri="{63B3BB69-23CF-44E3-9099-C40C66FF867C}">
                  <a14:compatExt spid="_x0000_s574566"/>
                </a:ext>
                <a:ext uri="{FF2B5EF4-FFF2-40B4-BE49-F238E27FC236}">
                  <a16:creationId xmlns:a16="http://schemas.microsoft.com/office/drawing/2014/main" id="{00000000-0008-0000-0000-000066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4567" name="Button 103" hidden="1">
              <a:extLst>
                <a:ext uri="{63B3BB69-23CF-44E3-9099-C40C66FF867C}">
                  <a14:compatExt spid="_x0000_s574567"/>
                </a:ext>
                <a:ext uri="{FF2B5EF4-FFF2-40B4-BE49-F238E27FC236}">
                  <a16:creationId xmlns:a16="http://schemas.microsoft.com/office/drawing/2014/main" id="{00000000-0008-0000-0000-00006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15</xdr:col>
          <xdr:colOff>0</xdr:colOff>
          <xdr:row>93</xdr:row>
          <xdr:rowOff>0</xdr:rowOff>
        </xdr:to>
        <xdr:sp macro="" textlink="">
          <xdr:nvSpPr>
            <xdr:cNvPr id="574580" name="Button 116" hidden="1">
              <a:extLst>
                <a:ext uri="{63B3BB69-23CF-44E3-9099-C40C66FF867C}">
                  <a14:compatExt spid="_x0000_s574580"/>
                </a:ext>
                <a:ext uri="{FF2B5EF4-FFF2-40B4-BE49-F238E27FC236}">
                  <a16:creationId xmlns:a16="http://schemas.microsoft.com/office/drawing/2014/main" id="{00000000-0008-0000-0000-00007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4598" name="Button 134" hidden="1">
              <a:extLst>
                <a:ext uri="{63B3BB69-23CF-44E3-9099-C40C66FF867C}">
                  <a14:compatExt spid="_x0000_s574598"/>
                </a:ext>
                <a:ext uri="{FF2B5EF4-FFF2-40B4-BE49-F238E27FC236}">
                  <a16:creationId xmlns:a16="http://schemas.microsoft.com/office/drawing/2014/main" id="{00000000-0008-0000-0000-000086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xdr:colOff>
          <xdr:row>90</xdr:row>
          <xdr:rowOff>152400</xdr:rowOff>
        </xdr:from>
        <xdr:to>
          <xdr:col>18</xdr:col>
          <xdr:colOff>7620</xdr:colOff>
          <xdr:row>92</xdr:row>
          <xdr:rowOff>152400</xdr:rowOff>
        </xdr:to>
        <xdr:sp macro="" textlink="">
          <xdr:nvSpPr>
            <xdr:cNvPr id="574599" name="Button 135" hidden="1">
              <a:extLst>
                <a:ext uri="{63B3BB69-23CF-44E3-9099-C40C66FF867C}">
                  <a14:compatExt spid="_x0000_s574599"/>
                </a:ext>
                <a:ext uri="{FF2B5EF4-FFF2-40B4-BE49-F238E27FC236}">
                  <a16:creationId xmlns:a16="http://schemas.microsoft.com/office/drawing/2014/main" id="{00000000-0008-0000-0000-00008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Show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xdr:colOff>
          <xdr:row>93</xdr:row>
          <xdr:rowOff>152400</xdr:rowOff>
        </xdr:from>
        <xdr:to>
          <xdr:col>18</xdr:col>
          <xdr:colOff>7620</xdr:colOff>
          <xdr:row>95</xdr:row>
          <xdr:rowOff>152400</xdr:rowOff>
        </xdr:to>
        <xdr:sp macro="" textlink="">
          <xdr:nvSpPr>
            <xdr:cNvPr id="574600" name="Button 136" hidden="1">
              <a:extLst>
                <a:ext uri="{63B3BB69-23CF-44E3-9099-C40C66FF867C}">
                  <a14:compatExt spid="_x0000_s574600"/>
                </a:ext>
                <a:ext uri="{FF2B5EF4-FFF2-40B4-BE49-F238E27FC236}">
                  <a16:creationId xmlns:a16="http://schemas.microsoft.com/office/drawing/2014/main" id="{00000000-0008-0000-0000-000088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Hide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678180</xdr:colOff>
          <xdr:row>97</xdr:row>
          <xdr:rowOff>0</xdr:rowOff>
        </xdr:from>
        <xdr:to>
          <xdr:col>14</xdr:col>
          <xdr:colOff>678180</xdr:colOff>
          <xdr:row>99</xdr:row>
          <xdr:rowOff>0</xdr:rowOff>
        </xdr:to>
        <xdr:sp macro="" textlink="">
          <xdr:nvSpPr>
            <xdr:cNvPr id="574620" name="Button 156" hidden="1">
              <a:extLst>
                <a:ext uri="{63B3BB69-23CF-44E3-9099-C40C66FF867C}">
                  <a14:compatExt spid="_x0000_s574620"/>
                </a:ext>
                <a:ext uri="{FF2B5EF4-FFF2-40B4-BE49-F238E27FC236}">
                  <a16:creationId xmlns:a16="http://schemas.microsoft.com/office/drawing/2014/main" id="{00000000-0008-0000-0000-00009C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Manual correction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3703" name="Button 263" hidden="1">
              <a:extLst>
                <a:ext uri="{63B3BB69-23CF-44E3-9099-C40C66FF867C}">
                  <a14:compatExt spid="_x0000_s573703"/>
                </a:ext>
                <a:ext uri="{FF2B5EF4-FFF2-40B4-BE49-F238E27FC236}">
                  <a16:creationId xmlns:a16="http://schemas.microsoft.com/office/drawing/2014/main" id="{00000000-0008-0000-0100-000007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3705" name="Button 265" hidden="1">
              <a:extLst>
                <a:ext uri="{63B3BB69-23CF-44E3-9099-C40C66FF867C}">
                  <a14:compatExt spid="_x0000_s573705"/>
                </a:ext>
                <a:ext uri="{FF2B5EF4-FFF2-40B4-BE49-F238E27FC236}">
                  <a16:creationId xmlns:a16="http://schemas.microsoft.com/office/drawing/2014/main" id="{00000000-0008-0000-0100-000009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3706" name="Button 266" hidden="1">
              <a:extLst>
                <a:ext uri="{63B3BB69-23CF-44E3-9099-C40C66FF867C}">
                  <a14:compatExt spid="_x0000_s573706"/>
                </a:ext>
                <a:ext uri="{FF2B5EF4-FFF2-40B4-BE49-F238E27FC236}">
                  <a16:creationId xmlns:a16="http://schemas.microsoft.com/office/drawing/2014/main" id="{00000000-0008-0000-0100-00000A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3707" name="Button 267" hidden="1">
              <a:extLst>
                <a:ext uri="{63B3BB69-23CF-44E3-9099-C40C66FF867C}">
                  <a14:compatExt spid="_x0000_s573707"/>
                </a:ext>
                <a:ext uri="{FF2B5EF4-FFF2-40B4-BE49-F238E27FC236}">
                  <a16:creationId xmlns:a16="http://schemas.microsoft.com/office/drawing/2014/main" id="{00000000-0008-0000-0100-00000B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3708" name="Button 268" hidden="1">
              <a:extLst>
                <a:ext uri="{63B3BB69-23CF-44E3-9099-C40C66FF867C}">
                  <a14:compatExt spid="_x0000_s573708"/>
                </a:ext>
                <a:ext uri="{FF2B5EF4-FFF2-40B4-BE49-F238E27FC236}">
                  <a16:creationId xmlns:a16="http://schemas.microsoft.com/office/drawing/2014/main" id="{00000000-0008-0000-0100-00000C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3709" name="Button 269" hidden="1">
              <a:extLst>
                <a:ext uri="{63B3BB69-23CF-44E3-9099-C40C66FF867C}">
                  <a14:compatExt spid="_x0000_s573709"/>
                </a:ext>
                <a:ext uri="{FF2B5EF4-FFF2-40B4-BE49-F238E27FC236}">
                  <a16:creationId xmlns:a16="http://schemas.microsoft.com/office/drawing/2014/main" id="{00000000-0008-0000-0100-00000D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3710" name="Button 270" hidden="1">
              <a:extLst>
                <a:ext uri="{63B3BB69-23CF-44E3-9099-C40C66FF867C}">
                  <a14:compatExt spid="_x0000_s573710"/>
                </a:ext>
                <a:ext uri="{FF2B5EF4-FFF2-40B4-BE49-F238E27FC236}">
                  <a16:creationId xmlns:a16="http://schemas.microsoft.com/office/drawing/2014/main" id="{00000000-0008-0000-0100-00000E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3711" name="Button 271" hidden="1">
              <a:extLst>
                <a:ext uri="{63B3BB69-23CF-44E3-9099-C40C66FF867C}">
                  <a14:compatExt spid="_x0000_s573711"/>
                </a:ext>
                <a:ext uri="{FF2B5EF4-FFF2-40B4-BE49-F238E27FC236}">
                  <a16:creationId xmlns:a16="http://schemas.microsoft.com/office/drawing/2014/main" id="{00000000-0008-0000-0100-00000F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3712" name="Button 272" hidden="1">
              <a:extLst>
                <a:ext uri="{63B3BB69-23CF-44E3-9099-C40C66FF867C}">
                  <a14:compatExt spid="_x0000_s573712"/>
                </a:ext>
                <a:ext uri="{FF2B5EF4-FFF2-40B4-BE49-F238E27FC236}">
                  <a16:creationId xmlns:a16="http://schemas.microsoft.com/office/drawing/2014/main" id="{00000000-0008-0000-0100-000010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3713" name="Button 273" hidden="1">
              <a:extLst>
                <a:ext uri="{63B3BB69-23CF-44E3-9099-C40C66FF867C}">
                  <a14:compatExt spid="_x0000_s573713"/>
                </a:ext>
                <a:ext uri="{FF2B5EF4-FFF2-40B4-BE49-F238E27FC236}">
                  <a16:creationId xmlns:a16="http://schemas.microsoft.com/office/drawing/2014/main" id="{00000000-0008-0000-0100-000011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3724" name="Button 284" hidden="1">
              <a:extLst>
                <a:ext uri="{63B3BB69-23CF-44E3-9099-C40C66FF867C}">
                  <a14:compatExt spid="_x0000_s573724"/>
                </a:ext>
                <a:ext uri="{FF2B5EF4-FFF2-40B4-BE49-F238E27FC236}">
                  <a16:creationId xmlns:a16="http://schemas.microsoft.com/office/drawing/2014/main" id="{00000000-0008-0000-0100-00001C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3725" name="Button 285" hidden="1">
              <a:extLst>
                <a:ext uri="{63B3BB69-23CF-44E3-9099-C40C66FF867C}">
                  <a14:compatExt spid="_x0000_s573725"/>
                </a:ext>
                <a:ext uri="{FF2B5EF4-FFF2-40B4-BE49-F238E27FC236}">
                  <a16:creationId xmlns:a16="http://schemas.microsoft.com/office/drawing/2014/main" id="{00000000-0008-0000-0100-00001D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3726" name="Button 286" hidden="1">
              <a:extLst>
                <a:ext uri="{63B3BB69-23CF-44E3-9099-C40C66FF867C}">
                  <a14:compatExt spid="_x0000_s573726"/>
                </a:ext>
                <a:ext uri="{FF2B5EF4-FFF2-40B4-BE49-F238E27FC236}">
                  <a16:creationId xmlns:a16="http://schemas.microsoft.com/office/drawing/2014/main" id="{00000000-0008-0000-0100-00001E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3727" name="Button 287" hidden="1">
              <a:extLst>
                <a:ext uri="{63B3BB69-23CF-44E3-9099-C40C66FF867C}">
                  <a14:compatExt spid="_x0000_s573727"/>
                </a:ext>
                <a:ext uri="{FF2B5EF4-FFF2-40B4-BE49-F238E27FC236}">
                  <a16:creationId xmlns:a16="http://schemas.microsoft.com/office/drawing/2014/main" id="{00000000-0008-0000-0100-00001F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3731" name="Button 291" hidden="1">
              <a:extLst>
                <a:ext uri="{63B3BB69-23CF-44E3-9099-C40C66FF867C}">
                  <a14:compatExt spid="_x0000_s573731"/>
                </a:ext>
                <a:ext uri="{FF2B5EF4-FFF2-40B4-BE49-F238E27FC236}">
                  <a16:creationId xmlns:a16="http://schemas.microsoft.com/office/drawing/2014/main" id="{00000000-0008-0000-0100-000023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2572" name="Button 156" hidden="1">
              <a:extLst>
                <a:ext uri="{63B3BB69-23CF-44E3-9099-C40C66FF867C}">
                  <a14:compatExt spid="_x0000_s572572"/>
                </a:ext>
                <a:ext uri="{FF2B5EF4-FFF2-40B4-BE49-F238E27FC236}">
                  <a16:creationId xmlns:a16="http://schemas.microsoft.com/office/drawing/2014/main" id="{00000000-0008-0000-0200-00009C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2574" name="Button 158" hidden="1">
              <a:extLst>
                <a:ext uri="{63B3BB69-23CF-44E3-9099-C40C66FF867C}">
                  <a14:compatExt spid="_x0000_s572574"/>
                </a:ext>
                <a:ext uri="{FF2B5EF4-FFF2-40B4-BE49-F238E27FC236}">
                  <a16:creationId xmlns:a16="http://schemas.microsoft.com/office/drawing/2014/main" id="{00000000-0008-0000-0200-00009E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2575" name="Button 159" hidden="1">
              <a:extLst>
                <a:ext uri="{63B3BB69-23CF-44E3-9099-C40C66FF867C}">
                  <a14:compatExt spid="_x0000_s572575"/>
                </a:ext>
                <a:ext uri="{FF2B5EF4-FFF2-40B4-BE49-F238E27FC236}">
                  <a16:creationId xmlns:a16="http://schemas.microsoft.com/office/drawing/2014/main" id="{00000000-0008-0000-0200-00009F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2576" name="Button 160" hidden="1">
              <a:extLst>
                <a:ext uri="{63B3BB69-23CF-44E3-9099-C40C66FF867C}">
                  <a14:compatExt spid="_x0000_s572576"/>
                </a:ext>
                <a:ext uri="{FF2B5EF4-FFF2-40B4-BE49-F238E27FC236}">
                  <a16:creationId xmlns:a16="http://schemas.microsoft.com/office/drawing/2014/main" id="{00000000-0008-0000-0200-0000A0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2577" name="Button 161" hidden="1">
              <a:extLst>
                <a:ext uri="{63B3BB69-23CF-44E3-9099-C40C66FF867C}">
                  <a14:compatExt spid="_x0000_s572577"/>
                </a:ext>
                <a:ext uri="{FF2B5EF4-FFF2-40B4-BE49-F238E27FC236}">
                  <a16:creationId xmlns:a16="http://schemas.microsoft.com/office/drawing/2014/main" id="{00000000-0008-0000-0200-0000A1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2578" name="Button 162" hidden="1">
              <a:extLst>
                <a:ext uri="{63B3BB69-23CF-44E3-9099-C40C66FF867C}">
                  <a14:compatExt spid="_x0000_s572578"/>
                </a:ext>
                <a:ext uri="{FF2B5EF4-FFF2-40B4-BE49-F238E27FC236}">
                  <a16:creationId xmlns:a16="http://schemas.microsoft.com/office/drawing/2014/main" id="{00000000-0008-0000-0200-0000A2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2579" name="Button 163" hidden="1">
              <a:extLst>
                <a:ext uri="{63B3BB69-23CF-44E3-9099-C40C66FF867C}">
                  <a14:compatExt spid="_x0000_s572579"/>
                </a:ext>
                <a:ext uri="{FF2B5EF4-FFF2-40B4-BE49-F238E27FC236}">
                  <a16:creationId xmlns:a16="http://schemas.microsoft.com/office/drawing/2014/main" id="{00000000-0008-0000-0200-0000A3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2580" name="Button 164" hidden="1">
              <a:extLst>
                <a:ext uri="{63B3BB69-23CF-44E3-9099-C40C66FF867C}">
                  <a14:compatExt spid="_x0000_s572580"/>
                </a:ext>
                <a:ext uri="{FF2B5EF4-FFF2-40B4-BE49-F238E27FC236}">
                  <a16:creationId xmlns:a16="http://schemas.microsoft.com/office/drawing/2014/main" id="{00000000-0008-0000-0200-0000A4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2581" name="Button 165" hidden="1">
              <a:extLst>
                <a:ext uri="{63B3BB69-23CF-44E3-9099-C40C66FF867C}">
                  <a14:compatExt spid="_x0000_s572581"/>
                </a:ext>
                <a:ext uri="{FF2B5EF4-FFF2-40B4-BE49-F238E27FC236}">
                  <a16:creationId xmlns:a16="http://schemas.microsoft.com/office/drawing/2014/main" id="{00000000-0008-0000-0200-0000A5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2582" name="Button 166" hidden="1">
              <a:extLst>
                <a:ext uri="{63B3BB69-23CF-44E3-9099-C40C66FF867C}">
                  <a14:compatExt spid="_x0000_s572582"/>
                </a:ext>
                <a:ext uri="{FF2B5EF4-FFF2-40B4-BE49-F238E27FC236}">
                  <a16:creationId xmlns:a16="http://schemas.microsoft.com/office/drawing/2014/main" id="{00000000-0008-0000-0200-0000A6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2593" name="Button 177" hidden="1">
              <a:extLst>
                <a:ext uri="{63B3BB69-23CF-44E3-9099-C40C66FF867C}">
                  <a14:compatExt spid="_x0000_s572593"/>
                </a:ext>
                <a:ext uri="{FF2B5EF4-FFF2-40B4-BE49-F238E27FC236}">
                  <a16:creationId xmlns:a16="http://schemas.microsoft.com/office/drawing/2014/main" id="{00000000-0008-0000-0200-0000B1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2594" name="Button 178" hidden="1">
              <a:extLst>
                <a:ext uri="{63B3BB69-23CF-44E3-9099-C40C66FF867C}">
                  <a14:compatExt spid="_x0000_s572594"/>
                </a:ext>
                <a:ext uri="{FF2B5EF4-FFF2-40B4-BE49-F238E27FC236}">
                  <a16:creationId xmlns:a16="http://schemas.microsoft.com/office/drawing/2014/main" id="{00000000-0008-0000-0200-0000B2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2595" name="Button 179" hidden="1">
              <a:extLst>
                <a:ext uri="{63B3BB69-23CF-44E3-9099-C40C66FF867C}">
                  <a14:compatExt spid="_x0000_s572595"/>
                </a:ext>
                <a:ext uri="{FF2B5EF4-FFF2-40B4-BE49-F238E27FC236}">
                  <a16:creationId xmlns:a16="http://schemas.microsoft.com/office/drawing/2014/main" id="{00000000-0008-0000-0200-0000B3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2596" name="Button 180" hidden="1">
              <a:extLst>
                <a:ext uri="{63B3BB69-23CF-44E3-9099-C40C66FF867C}">
                  <a14:compatExt spid="_x0000_s572596"/>
                </a:ext>
                <a:ext uri="{FF2B5EF4-FFF2-40B4-BE49-F238E27FC236}">
                  <a16:creationId xmlns:a16="http://schemas.microsoft.com/office/drawing/2014/main" id="{00000000-0008-0000-0200-0000B4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2600" name="Button 184" hidden="1">
              <a:extLst>
                <a:ext uri="{63B3BB69-23CF-44E3-9099-C40C66FF867C}">
                  <a14:compatExt spid="_x0000_s572600"/>
                </a:ext>
                <a:ext uri="{FF2B5EF4-FFF2-40B4-BE49-F238E27FC236}">
                  <a16:creationId xmlns:a16="http://schemas.microsoft.com/office/drawing/2014/main" id="{00000000-0008-0000-0200-0000B8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1547" name="Button 155" hidden="1">
              <a:extLst>
                <a:ext uri="{63B3BB69-23CF-44E3-9099-C40C66FF867C}">
                  <a14:compatExt spid="_x0000_s571547"/>
                </a:ext>
                <a:ext uri="{FF2B5EF4-FFF2-40B4-BE49-F238E27FC236}">
                  <a16:creationId xmlns:a16="http://schemas.microsoft.com/office/drawing/2014/main" id="{00000000-0008-0000-0300-00009B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1549" name="Button 157" hidden="1">
              <a:extLst>
                <a:ext uri="{63B3BB69-23CF-44E3-9099-C40C66FF867C}">
                  <a14:compatExt spid="_x0000_s571549"/>
                </a:ext>
                <a:ext uri="{FF2B5EF4-FFF2-40B4-BE49-F238E27FC236}">
                  <a16:creationId xmlns:a16="http://schemas.microsoft.com/office/drawing/2014/main" id="{00000000-0008-0000-0300-00009D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1550" name="Button 158" hidden="1">
              <a:extLst>
                <a:ext uri="{63B3BB69-23CF-44E3-9099-C40C66FF867C}">
                  <a14:compatExt spid="_x0000_s571550"/>
                </a:ext>
                <a:ext uri="{FF2B5EF4-FFF2-40B4-BE49-F238E27FC236}">
                  <a16:creationId xmlns:a16="http://schemas.microsoft.com/office/drawing/2014/main" id="{00000000-0008-0000-0300-00009E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1551" name="Button 159" hidden="1">
              <a:extLst>
                <a:ext uri="{63B3BB69-23CF-44E3-9099-C40C66FF867C}">
                  <a14:compatExt spid="_x0000_s571551"/>
                </a:ext>
                <a:ext uri="{FF2B5EF4-FFF2-40B4-BE49-F238E27FC236}">
                  <a16:creationId xmlns:a16="http://schemas.microsoft.com/office/drawing/2014/main" id="{00000000-0008-0000-0300-00009F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1552" name="Button 160" hidden="1">
              <a:extLst>
                <a:ext uri="{63B3BB69-23CF-44E3-9099-C40C66FF867C}">
                  <a14:compatExt spid="_x0000_s571552"/>
                </a:ext>
                <a:ext uri="{FF2B5EF4-FFF2-40B4-BE49-F238E27FC236}">
                  <a16:creationId xmlns:a16="http://schemas.microsoft.com/office/drawing/2014/main" id="{00000000-0008-0000-0300-0000A0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1553" name="Button 161" hidden="1">
              <a:extLst>
                <a:ext uri="{63B3BB69-23CF-44E3-9099-C40C66FF867C}">
                  <a14:compatExt spid="_x0000_s571553"/>
                </a:ext>
                <a:ext uri="{FF2B5EF4-FFF2-40B4-BE49-F238E27FC236}">
                  <a16:creationId xmlns:a16="http://schemas.microsoft.com/office/drawing/2014/main" id="{00000000-0008-0000-0300-0000A1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1554" name="Button 162" hidden="1">
              <a:extLst>
                <a:ext uri="{63B3BB69-23CF-44E3-9099-C40C66FF867C}">
                  <a14:compatExt spid="_x0000_s571554"/>
                </a:ext>
                <a:ext uri="{FF2B5EF4-FFF2-40B4-BE49-F238E27FC236}">
                  <a16:creationId xmlns:a16="http://schemas.microsoft.com/office/drawing/2014/main" id="{00000000-0008-0000-0300-0000A2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1555" name="Button 163" hidden="1">
              <a:extLst>
                <a:ext uri="{63B3BB69-23CF-44E3-9099-C40C66FF867C}">
                  <a14:compatExt spid="_x0000_s571555"/>
                </a:ext>
                <a:ext uri="{FF2B5EF4-FFF2-40B4-BE49-F238E27FC236}">
                  <a16:creationId xmlns:a16="http://schemas.microsoft.com/office/drawing/2014/main" id="{00000000-0008-0000-0300-0000A3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1556" name="Button 164" hidden="1">
              <a:extLst>
                <a:ext uri="{63B3BB69-23CF-44E3-9099-C40C66FF867C}">
                  <a14:compatExt spid="_x0000_s571556"/>
                </a:ext>
                <a:ext uri="{FF2B5EF4-FFF2-40B4-BE49-F238E27FC236}">
                  <a16:creationId xmlns:a16="http://schemas.microsoft.com/office/drawing/2014/main" id="{00000000-0008-0000-0300-0000A4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1557" name="Button 165" hidden="1">
              <a:extLst>
                <a:ext uri="{63B3BB69-23CF-44E3-9099-C40C66FF867C}">
                  <a14:compatExt spid="_x0000_s571557"/>
                </a:ext>
                <a:ext uri="{FF2B5EF4-FFF2-40B4-BE49-F238E27FC236}">
                  <a16:creationId xmlns:a16="http://schemas.microsoft.com/office/drawing/2014/main" id="{00000000-0008-0000-0300-0000A5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1568" name="Button 176" hidden="1">
              <a:extLst>
                <a:ext uri="{63B3BB69-23CF-44E3-9099-C40C66FF867C}">
                  <a14:compatExt spid="_x0000_s571568"/>
                </a:ext>
                <a:ext uri="{FF2B5EF4-FFF2-40B4-BE49-F238E27FC236}">
                  <a16:creationId xmlns:a16="http://schemas.microsoft.com/office/drawing/2014/main" id="{00000000-0008-0000-0300-0000B0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1569" name="Button 177" hidden="1">
              <a:extLst>
                <a:ext uri="{63B3BB69-23CF-44E3-9099-C40C66FF867C}">
                  <a14:compatExt spid="_x0000_s571569"/>
                </a:ext>
                <a:ext uri="{FF2B5EF4-FFF2-40B4-BE49-F238E27FC236}">
                  <a16:creationId xmlns:a16="http://schemas.microsoft.com/office/drawing/2014/main" id="{00000000-0008-0000-0300-0000B1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1570" name="Button 178" hidden="1">
              <a:extLst>
                <a:ext uri="{63B3BB69-23CF-44E3-9099-C40C66FF867C}">
                  <a14:compatExt spid="_x0000_s571570"/>
                </a:ext>
                <a:ext uri="{FF2B5EF4-FFF2-40B4-BE49-F238E27FC236}">
                  <a16:creationId xmlns:a16="http://schemas.microsoft.com/office/drawing/2014/main" id="{00000000-0008-0000-0300-0000B2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1571" name="Button 179" hidden="1">
              <a:extLst>
                <a:ext uri="{63B3BB69-23CF-44E3-9099-C40C66FF867C}">
                  <a14:compatExt spid="_x0000_s571571"/>
                </a:ext>
                <a:ext uri="{FF2B5EF4-FFF2-40B4-BE49-F238E27FC236}">
                  <a16:creationId xmlns:a16="http://schemas.microsoft.com/office/drawing/2014/main" id="{00000000-0008-0000-0300-0000B3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1575" name="Button 183" hidden="1">
              <a:extLst>
                <a:ext uri="{63B3BB69-23CF-44E3-9099-C40C66FF867C}">
                  <a14:compatExt spid="_x0000_s571575"/>
                </a:ext>
                <a:ext uri="{FF2B5EF4-FFF2-40B4-BE49-F238E27FC236}">
                  <a16:creationId xmlns:a16="http://schemas.microsoft.com/office/drawing/2014/main" id="{00000000-0008-0000-0300-0000B7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11133" name="Button 157" hidden="1">
              <a:extLst>
                <a:ext uri="{63B3BB69-23CF-44E3-9099-C40C66FF867C}">
                  <a14:compatExt spid="_x0000_s511133"/>
                </a:ext>
                <a:ext uri="{FF2B5EF4-FFF2-40B4-BE49-F238E27FC236}">
                  <a16:creationId xmlns:a16="http://schemas.microsoft.com/office/drawing/2014/main" id="{00000000-0008-0000-0400-00009D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11135" name="Button 159" hidden="1">
              <a:extLst>
                <a:ext uri="{63B3BB69-23CF-44E3-9099-C40C66FF867C}">
                  <a14:compatExt spid="_x0000_s511135"/>
                </a:ext>
                <a:ext uri="{FF2B5EF4-FFF2-40B4-BE49-F238E27FC236}">
                  <a16:creationId xmlns:a16="http://schemas.microsoft.com/office/drawing/2014/main" id="{00000000-0008-0000-0400-00009F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11136" name="Button 160" hidden="1">
              <a:extLst>
                <a:ext uri="{63B3BB69-23CF-44E3-9099-C40C66FF867C}">
                  <a14:compatExt spid="_x0000_s511136"/>
                </a:ext>
                <a:ext uri="{FF2B5EF4-FFF2-40B4-BE49-F238E27FC236}">
                  <a16:creationId xmlns:a16="http://schemas.microsoft.com/office/drawing/2014/main" id="{00000000-0008-0000-0400-0000A0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11137" name="Button 161" hidden="1">
              <a:extLst>
                <a:ext uri="{63B3BB69-23CF-44E3-9099-C40C66FF867C}">
                  <a14:compatExt spid="_x0000_s511137"/>
                </a:ext>
                <a:ext uri="{FF2B5EF4-FFF2-40B4-BE49-F238E27FC236}">
                  <a16:creationId xmlns:a16="http://schemas.microsoft.com/office/drawing/2014/main" id="{00000000-0008-0000-0400-0000A1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11138" name="Button 162" hidden="1">
              <a:extLst>
                <a:ext uri="{63B3BB69-23CF-44E3-9099-C40C66FF867C}">
                  <a14:compatExt spid="_x0000_s511138"/>
                </a:ext>
                <a:ext uri="{FF2B5EF4-FFF2-40B4-BE49-F238E27FC236}">
                  <a16:creationId xmlns:a16="http://schemas.microsoft.com/office/drawing/2014/main" id="{00000000-0008-0000-0400-0000A2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11139" name="Button 163" hidden="1">
              <a:extLst>
                <a:ext uri="{63B3BB69-23CF-44E3-9099-C40C66FF867C}">
                  <a14:compatExt spid="_x0000_s511139"/>
                </a:ext>
                <a:ext uri="{FF2B5EF4-FFF2-40B4-BE49-F238E27FC236}">
                  <a16:creationId xmlns:a16="http://schemas.microsoft.com/office/drawing/2014/main" id="{00000000-0008-0000-0400-0000A3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11140" name="Button 164" hidden="1">
              <a:extLst>
                <a:ext uri="{63B3BB69-23CF-44E3-9099-C40C66FF867C}">
                  <a14:compatExt spid="_x0000_s511140"/>
                </a:ext>
                <a:ext uri="{FF2B5EF4-FFF2-40B4-BE49-F238E27FC236}">
                  <a16:creationId xmlns:a16="http://schemas.microsoft.com/office/drawing/2014/main" id="{00000000-0008-0000-0400-0000A4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11141" name="Button 165" hidden="1">
              <a:extLst>
                <a:ext uri="{63B3BB69-23CF-44E3-9099-C40C66FF867C}">
                  <a14:compatExt spid="_x0000_s511141"/>
                </a:ext>
                <a:ext uri="{FF2B5EF4-FFF2-40B4-BE49-F238E27FC236}">
                  <a16:creationId xmlns:a16="http://schemas.microsoft.com/office/drawing/2014/main" id="{00000000-0008-0000-0400-0000A5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11142" name="Button 166" hidden="1">
              <a:extLst>
                <a:ext uri="{63B3BB69-23CF-44E3-9099-C40C66FF867C}">
                  <a14:compatExt spid="_x0000_s511142"/>
                </a:ext>
                <a:ext uri="{FF2B5EF4-FFF2-40B4-BE49-F238E27FC236}">
                  <a16:creationId xmlns:a16="http://schemas.microsoft.com/office/drawing/2014/main" id="{00000000-0008-0000-0400-0000A6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11143" name="Button 167" hidden="1">
              <a:extLst>
                <a:ext uri="{63B3BB69-23CF-44E3-9099-C40C66FF867C}">
                  <a14:compatExt spid="_x0000_s511143"/>
                </a:ext>
                <a:ext uri="{FF2B5EF4-FFF2-40B4-BE49-F238E27FC236}">
                  <a16:creationId xmlns:a16="http://schemas.microsoft.com/office/drawing/2014/main" id="{00000000-0008-0000-0400-0000A7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11154" name="Button 178" hidden="1">
              <a:extLst>
                <a:ext uri="{63B3BB69-23CF-44E3-9099-C40C66FF867C}">
                  <a14:compatExt spid="_x0000_s511154"/>
                </a:ext>
                <a:ext uri="{FF2B5EF4-FFF2-40B4-BE49-F238E27FC236}">
                  <a16:creationId xmlns:a16="http://schemas.microsoft.com/office/drawing/2014/main" id="{00000000-0008-0000-0400-0000B2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11155" name="Button 179" hidden="1">
              <a:extLst>
                <a:ext uri="{63B3BB69-23CF-44E3-9099-C40C66FF867C}">
                  <a14:compatExt spid="_x0000_s511155"/>
                </a:ext>
                <a:ext uri="{FF2B5EF4-FFF2-40B4-BE49-F238E27FC236}">
                  <a16:creationId xmlns:a16="http://schemas.microsoft.com/office/drawing/2014/main" id="{00000000-0008-0000-0400-0000B3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11156" name="Button 180" hidden="1">
              <a:extLst>
                <a:ext uri="{63B3BB69-23CF-44E3-9099-C40C66FF867C}">
                  <a14:compatExt spid="_x0000_s511156"/>
                </a:ext>
                <a:ext uri="{FF2B5EF4-FFF2-40B4-BE49-F238E27FC236}">
                  <a16:creationId xmlns:a16="http://schemas.microsoft.com/office/drawing/2014/main" id="{00000000-0008-0000-0400-0000B4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11157" name="Button 181" hidden="1">
              <a:extLst>
                <a:ext uri="{63B3BB69-23CF-44E3-9099-C40C66FF867C}">
                  <a14:compatExt spid="_x0000_s511157"/>
                </a:ext>
                <a:ext uri="{FF2B5EF4-FFF2-40B4-BE49-F238E27FC236}">
                  <a16:creationId xmlns:a16="http://schemas.microsoft.com/office/drawing/2014/main" id="{00000000-0008-0000-0400-0000B5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678180</xdr:colOff>
          <xdr:row>88</xdr:row>
          <xdr:rowOff>0</xdr:rowOff>
        </xdr:from>
        <xdr:to>
          <xdr:col>6</xdr:col>
          <xdr:colOff>685800</xdr:colOff>
          <xdr:row>90</xdr:row>
          <xdr:rowOff>0</xdr:rowOff>
        </xdr:to>
        <xdr:sp macro="" textlink="">
          <xdr:nvSpPr>
            <xdr:cNvPr id="511161" name="Button 185" hidden="1">
              <a:extLst>
                <a:ext uri="{63B3BB69-23CF-44E3-9099-C40C66FF867C}">
                  <a14:compatExt spid="_x0000_s511161"/>
                </a:ext>
                <a:ext uri="{FF2B5EF4-FFF2-40B4-BE49-F238E27FC236}">
                  <a16:creationId xmlns:a16="http://schemas.microsoft.com/office/drawing/2014/main" id="{00000000-0008-0000-0400-0000B9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29</xdr:col>
      <xdr:colOff>1</xdr:colOff>
      <xdr:row>1</xdr:row>
      <xdr:rowOff>0</xdr:rowOff>
    </xdr:from>
    <xdr:to>
      <xdr:col>35</xdr:col>
      <xdr:colOff>9525</xdr:colOff>
      <xdr:row>11</xdr:row>
      <xdr:rowOff>0</xdr:rowOff>
    </xdr:to>
    <xdr:graphicFrame macro="">
      <xdr:nvGraphicFramePr>
        <xdr:cNvPr id="2" name="Диаграмма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0</xdr:colOff>
      <xdr:row>11</xdr:row>
      <xdr:rowOff>1466</xdr:rowOff>
    </xdr:from>
    <xdr:to>
      <xdr:col>35</xdr:col>
      <xdr:colOff>9524</xdr:colOff>
      <xdr:row>20</xdr:row>
      <xdr:rowOff>152400</xdr:rowOff>
    </xdr:to>
    <xdr:graphicFrame macro="">
      <xdr:nvGraphicFramePr>
        <xdr:cNvPr id="3" name="Диаграмма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2200</xdr:colOff>
      <xdr:row>21</xdr:row>
      <xdr:rowOff>21248</xdr:rowOff>
    </xdr:from>
    <xdr:to>
      <xdr:col>35</xdr:col>
      <xdr:colOff>12457</xdr:colOff>
      <xdr:row>30</xdr:row>
      <xdr:rowOff>150202</xdr:rowOff>
    </xdr:to>
    <xdr:graphicFrame macro="">
      <xdr:nvGraphicFramePr>
        <xdr:cNvPr id="4" name="Диаграмма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4397</xdr:colOff>
      <xdr:row>31</xdr:row>
      <xdr:rowOff>11723</xdr:rowOff>
    </xdr:from>
    <xdr:to>
      <xdr:col>35</xdr:col>
      <xdr:colOff>12456</xdr:colOff>
      <xdr:row>41</xdr:row>
      <xdr:rowOff>2931</xdr:rowOff>
    </xdr:to>
    <xdr:graphicFrame macro="">
      <xdr:nvGraphicFramePr>
        <xdr:cNvPr id="5" name="Диаграмма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29</xdr:col>
          <xdr:colOff>335280</xdr:colOff>
          <xdr:row>41</xdr:row>
          <xdr:rowOff>160020</xdr:rowOff>
        </xdr:from>
        <xdr:to>
          <xdr:col>31</xdr:col>
          <xdr:colOff>335280</xdr:colOff>
          <xdr:row>43</xdr:row>
          <xdr:rowOff>160020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0800-000001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66</xdr:row>
          <xdr:rowOff>0</xdr:rowOff>
        </xdr:from>
        <xdr:to>
          <xdr:col>32</xdr:col>
          <xdr:colOff>685800</xdr:colOff>
          <xdr:row>67</xdr:row>
          <xdr:rowOff>152400</xdr:rowOff>
        </xdr:to>
        <xdr:sp macro="" textlink="">
          <xdr:nvSpPr>
            <xdr:cNvPr id="819202" name="Button 2" hidden="1">
              <a:extLst>
                <a:ext uri="{63B3BB69-23CF-44E3-9099-C40C66FF867C}">
                  <a14:compatExt spid="_x0000_s819202"/>
                </a:ext>
                <a:ext uri="{FF2B5EF4-FFF2-40B4-BE49-F238E27FC236}">
                  <a16:creationId xmlns:a16="http://schemas.microsoft.com/office/drawing/2014/main" id="{00000000-0008-0000-0800-000002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Corporate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69</xdr:row>
          <xdr:rowOff>0</xdr:rowOff>
        </xdr:from>
        <xdr:to>
          <xdr:col>32</xdr:col>
          <xdr:colOff>685800</xdr:colOff>
          <xdr:row>70</xdr:row>
          <xdr:rowOff>152400</xdr:rowOff>
        </xdr:to>
        <xdr:sp macro="" textlink="">
          <xdr:nvSpPr>
            <xdr:cNvPr id="819205" name="Button 5" hidden="1">
              <a:extLst>
                <a:ext uri="{63B3BB69-23CF-44E3-9099-C40C66FF867C}">
                  <a14:compatExt spid="_x0000_s819205"/>
                </a:ext>
                <a:ext uri="{FF2B5EF4-FFF2-40B4-BE49-F238E27FC236}">
                  <a16:creationId xmlns:a16="http://schemas.microsoft.com/office/drawing/2014/main" id="{00000000-0008-0000-0800-000005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42</xdr:row>
          <xdr:rowOff>0</xdr:rowOff>
        </xdr:from>
        <xdr:to>
          <xdr:col>34</xdr:col>
          <xdr:colOff>0</xdr:colOff>
          <xdr:row>44</xdr:row>
          <xdr:rowOff>0</xdr:rowOff>
        </xdr:to>
        <xdr:sp macro="" textlink="">
          <xdr:nvSpPr>
            <xdr:cNvPr id="819206" name="Button 6" hidden="1">
              <a:extLst>
                <a:ext uri="{63B3BB69-23CF-44E3-9099-C40C66FF867C}">
                  <a14:compatExt spid="_x0000_s819206"/>
                </a:ext>
                <a:ext uri="{FF2B5EF4-FFF2-40B4-BE49-F238E27FC236}">
                  <a16:creationId xmlns:a16="http://schemas.microsoft.com/office/drawing/2014/main" id="{00000000-0008-0000-0800-000006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xdr:colOff>
          <xdr:row>50</xdr:row>
          <xdr:rowOff>7620</xdr:rowOff>
        </xdr:from>
        <xdr:to>
          <xdr:col>36</xdr:col>
          <xdr:colOff>685800</xdr:colOff>
          <xdr:row>52</xdr:row>
          <xdr:rowOff>0</xdr:rowOff>
        </xdr:to>
        <xdr:sp macro="" textlink="">
          <xdr:nvSpPr>
            <xdr:cNvPr id="819207" name="Button 7" hidden="1">
              <a:extLst>
                <a:ext uri="{63B3BB69-23CF-44E3-9099-C40C66FF867C}">
                  <a14:compatExt spid="_x0000_s819207"/>
                </a:ext>
                <a:ext uri="{FF2B5EF4-FFF2-40B4-BE49-F238E27FC236}">
                  <a16:creationId xmlns:a16="http://schemas.microsoft.com/office/drawing/2014/main" id="{00000000-0008-0000-0800-000007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Maintenance hours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xdr:colOff>
          <xdr:row>53</xdr:row>
          <xdr:rowOff>0</xdr:rowOff>
        </xdr:from>
        <xdr:to>
          <xdr:col>36</xdr:col>
          <xdr:colOff>678180</xdr:colOff>
          <xdr:row>54</xdr:row>
          <xdr:rowOff>152400</xdr:rowOff>
        </xdr:to>
        <xdr:sp macro="" textlink="">
          <xdr:nvSpPr>
            <xdr:cNvPr id="819208" name="Button 8" hidden="1">
              <a:extLst>
                <a:ext uri="{63B3BB69-23CF-44E3-9099-C40C66FF867C}">
                  <a14:compatExt spid="_x0000_s819208"/>
                </a:ext>
                <a:ext uri="{FF2B5EF4-FFF2-40B4-BE49-F238E27FC236}">
                  <a16:creationId xmlns:a16="http://schemas.microsoft.com/office/drawing/2014/main" id="{00000000-0008-0000-0800-000008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7620</xdr:colOff>
          <xdr:row>46</xdr:row>
          <xdr:rowOff>7620</xdr:rowOff>
        </xdr:from>
        <xdr:to>
          <xdr:col>34</xdr:col>
          <xdr:colOff>7620</xdr:colOff>
          <xdr:row>48</xdr:row>
          <xdr:rowOff>7620</xdr:rowOff>
        </xdr:to>
        <xdr:sp macro="" textlink="">
          <xdr:nvSpPr>
            <xdr:cNvPr id="819209" name="Button 9" hidden="1">
              <a:extLst>
                <a:ext uri="{63B3BB69-23CF-44E3-9099-C40C66FF867C}">
                  <a14:compatExt spid="_x0000_s819209"/>
                </a:ext>
                <a:ext uri="{FF2B5EF4-FFF2-40B4-BE49-F238E27FC236}">
                  <a16:creationId xmlns:a16="http://schemas.microsoft.com/office/drawing/2014/main" id="{00000000-0008-0000-0800-000009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82</xdr:row>
          <xdr:rowOff>0</xdr:rowOff>
        </xdr:from>
        <xdr:to>
          <xdr:col>33</xdr:col>
          <xdr:colOff>7620</xdr:colOff>
          <xdr:row>83</xdr:row>
          <xdr:rowOff>152400</xdr:rowOff>
        </xdr:to>
        <xdr:sp macro="" textlink="">
          <xdr:nvSpPr>
            <xdr:cNvPr id="819211" name="Button 11" hidden="1">
              <a:extLst>
                <a:ext uri="{63B3BB69-23CF-44E3-9099-C40C66FF867C}">
                  <a14:compatExt spid="_x0000_s819211"/>
                </a:ext>
                <a:ext uri="{FF2B5EF4-FFF2-40B4-BE49-F238E27FC236}">
                  <a16:creationId xmlns:a16="http://schemas.microsoft.com/office/drawing/2014/main" id="{00000000-0008-0000-0800-00000B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Assembly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22860</xdr:colOff>
          <xdr:row>85</xdr:row>
          <xdr:rowOff>7620</xdr:rowOff>
        </xdr:from>
        <xdr:to>
          <xdr:col>33</xdr:col>
          <xdr:colOff>0</xdr:colOff>
          <xdr:row>87</xdr:row>
          <xdr:rowOff>0</xdr:rowOff>
        </xdr:to>
        <xdr:sp macro="" textlink="">
          <xdr:nvSpPr>
            <xdr:cNvPr id="819212" name="Button 12" hidden="1">
              <a:extLst>
                <a:ext uri="{63B3BB69-23CF-44E3-9099-C40C66FF867C}">
                  <a14:compatExt spid="_x0000_s819212"/>
                </a:ext>
                <a:ext uri="{FF2B5EF4-FFF2-40B4-BE49-F238E27FC236}">
                  <a16:creationId xmlns:a16="http://schemas.microsoft.com/office/drawing/2014/main" id="{00000000-0008-0000-0800-00000C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82</xdr:row>
          <xdr:rowOff>0</xdr:rowOff>
        </xdr:from>
        <xdr:to>
          <xdr:col>37</xdr:col>
          <xdr:colOff>685800</xdr:colOff>
          <xdr:row>84</xdr:row>
          <xdr:rowOff>7620</xdr:rowOff>
        </xdr:to>
        <xdr:sp macro="" textlink="">
          <xdr:nvSpPr>
            <xdr:cNvPr id="819213" name="Button 13" hidden="1">
              <a:extLst>
                <a:ext uri="{63B3BB69-23CF-44E3-9099-C40C66FF867C}">
                  <a14:compatExt spid="_x0000_s819213"/>
                </a:ext>
                <a:ext uri="{FF2B5EF4-FFF2-40B4-BE49-F238E27FC236}">
                  <a16:creationId xmlns:a16="http://schemas.microsoft.com/office/drawing/2014/main" id="{00000000-0008-0000-0800-00000D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Management 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85</xdr:row>
          <xdr:rowOff>7620</xdr:rowOff>
        </xdr:from>
        <xdr:to>
          <xdr:col>37</xdr:col>
          <xdr:colOff>685800</xdr:colOff>
          <xdr:row>87</xdr:row>
          <xdr:rowOff>0</xdr:rowOff>
        </xdr:to>
        <xdr:sp macro="" textlink="">
          <xdr:nvSpPr>
            <xdr:cNvPr id="819214" name="Button 14" hidden="1">
              <a:extLst>
                <a:ext uri="{63B3BB69-23CF-44E3-9099-C40C66FF867C}">
                  <a14:compatExt spid="_x0000_s819214"/>
                </a:ext>
                <a:ext uri="{FF2B5EF4-FFF2-40B4-BE49-F238E27FC236}">
                  <a16:creationId xmlns:a16="http://schemas.microsoft.com/office/drawing/2014/main" id="{00000000-0008-0000-0800-00000E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98</xdr:row>
          <xdr:rowOff>7620</xdr:rowOff>
        </xdr:from>
        <xdr:to>
          <xdr:col>37</xdr:col>
          <xdr:colOff>685800</xdr:colOff>
          <xdr:row>100</xdr:row>
          <xdr:rowOff>7620</xdr:rowOff>
        </xdr:to>
        <xdr:sp macro="" textlink="">
          <xdr:nvSpPr>
            <xdr:cNvPr id="819215" name="Button 15" hidden="1">
              <a:extLst>
                <a:ext uri="{63B3BB69-23CF-44E3-9099-C40C66FF867C}">
                  <a14:compatExt spid="_x0000_s819215"/>
                </a:ext>
                <a:ext uri="{FF2B5EF4-FFF2-40B4-BE49-F238E27FC236}">
                  <a16:creationId xmlns:a16="http://schemas.microsoft.com/office/drawing/2014/main" id="{00000000-0008-0000-0800-00000F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Training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101</xdr:row>
          <xdr:rowOff>7620</xdr:rowOff>
        </xdr:from>
        <xdr:to>
          <xdr:col>37</xdr:col>
          <xdr:colOff>685800</xdr:colOff>
          <xdr:row>103</xdr:row>
          <xdr:rowOff>0</xdr:rowOff>
        </xdr:to>
        <xdr:sp macro="" textlink="">
          <xdr:nvSpPr>
            <xdr:cNvPr id="819216" name="Button 16" hidden="1">
              <a:extLst>
                <a:ext uri="{63B3BB69-23CF-44E3-9099-C40C66FF867C}">
                  <a14:compatExt spid="_x0000_s819216"/>
                </a:ext>
                <a:ext uri="{FF2B5EF4-FFF2-40B4-BE49-F238E27FC236}">
                  <a16:creationId xmlns:a16="http://schemas.microsoft.com/office/drawing/2014/main" id="{00000000-0008-0000-0800-000010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98</xdr:row>
          <xdr:rowOff>0</xdr:rowOff>
        </xdr:from>
        <xdr:to>
          <xdr:col>33</xdr:col>
          <xdr:colOff>7620</xdr:colOff>
          <xdr:row>99</xdr:row>
          <xdr:rowOff>152400</xdr:rowOff>
        </xdr:to>
        <xdr:sp macro="" textlink="">
          <xdr:nvSpPr>
            <xdr:cNvPr id="819217" name="Button 17" hidden="1">
              <a:extLst>
                <a:ext uri="{63B3BB69-23CF-44E3-9099-C40C66FF867C}">
                  <a14:compatExt spid="_x0000_s819217"/>
                </a:ext>
                <a:ext uri="{FF2B5EF4-FFF2-40B4-BE49-F238E27FC236}">
                  <a16:creationId xmlns:a16="http://schemas.microsoft.com/office/drawing/2014/main" id="{00000000-0008-0000-0800-000011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Commission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22860</xdr:colOff>
          <xdr:row>101</xdr:row>
          <xdr:rowOff>7620</xdr:rowOff>
        </xdr:from>
        <xdr:to>
          <xdr:col>33</xdr:col>
          <xdr:colOff>0</xdr:colOff>
          <xdr:row>103</xdr:row>
          <xdr:rowOff>0</xdr:rowOff>
        </xdr:to>
        <xdr:sp macro="" textlink="">
          <xdr:nvSpPr>
            <xdr:cNvPr id="819218" name="Button 18" hidden="1">
              <a:extLst>
                <a:ext uri="{63B3BB69-23CF-44E3-9099-C40C66FF867C}">
                  <a14:compatExt spid="_x0000_s819218"/>
                </a:ext>
                <a:ext uri="{FF2B5EF4-FFF2-40B4-BE49-F238E27FC236}">
                  <a16:creationId xmlns:a16="http://schemas.microsoft.com/office/drawing/2014/main" id="{00000000-0008-0000-0800-000012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7620</xdr:colOff>
          <xdr:row>114</xdr:row>
          <xdr:rowOff>0</xdr:rowOff>
        </xdr:from>
        <xdr:to>
          <xdr:col>31</xdr:col>
          <xdr:colOff>7620</xdr:colOff>
          <xdr:row>115</xdr:row>
          <xdr:rowOff>160020</xdr:rowOff>
        </xdr:to>
        <xdr:sp macro="" textlink="">
          <xdr:nvSpPr>
            <xdr:cNvPr id="819219" name="Button 19" hidden="1">
              <a:extLst>
                <a:ext uri="{63B3BB69-23CF-44E3-9099-C40C66FF867C}">
                  <a14:compatExt spid="_x0000_s819219"/>
                </a:ext>
                <a:ext uri="{FF2B5EF4-FFF2-40B4-BE49-F238E27FC236}">
                  <a16:creationId xmlns:a16="http://schemas.microsoft.com/office/drawing/2014/main" id="{00000000-0008-0000-0800-000013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Agents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22860</xdr:colOff>
          <xdr:row>117</xdr:row>
          <xdr:rowOff>7620</xdr:rowOff>
        </xdr:from>
        <xdr:to>
          <xdr:col>30</xdr:col>
          <xdr:colOff>685800</xdr:colOff>
          <xdr:row>119</xdr:row>
          <xdr:rowOff>0</xdr:rowOff>
        </xdr:to>
        <xdr:sp macro="" textlink="">
          <xdr:nvSpPr>
            <xdr:cNvPr id="819220" name="Button 20" hidden="1">
              <a:extLst>
                <a:ext uri="{63B3BB69-23CF-44E3-9099-C40C66FF867C}">
                  <a14:compatExt spid="_x0000_s819220"/>
                </a:ext>
                <a:ext uri="{FF2B5EF4-FFF2-40B4-BE49-F238E27FC236}">
                  <a16:creationId xmlns:a16="http://schemas.microsoft.com/office/drawing/2014/main" id="{00000000-0008-0000-0800-000014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xdr:colOff>
          <xdr:row>129</xdr:row>
          <xdr:rowOff>152400</xdr:rowOff>
        </xdr:from>
        <xdr:to>
          <xdr:col>37</xdr:col>
          <xdr:colOff>7620</xdr:colOff>
          <xdr:row>131</xdr:row>
          <xdr:rowOff>144780</xdr:rowOff>
        </xdr:to>
        <xdr:sp macro="" textlink="">
          <xdr:nvSpPr>
            <xdr:cNvPr id="819221" name="Button 21" hidden="1">
              <a:extLst>
                <a:ext uri="{63B3BB69-23CF-44E3-9099-C40C66FF867C}">
                  <a14:compatExt spid="_x0000_s819221"/>
                </a:ext>
                <a:ext uri="{FF2B5EF4-FFF2-40B4-BE49-F238E27FC236}">
                  <a16:creationId xmlns:a16="http://schemas.microsoft.com/office/drawing/2014/main" id="{00000000-0008-0000-0800-000015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xdr:colOff>
          <xdr:row>133</xdr:row>
          <xdr:rowOff>7620</xdr:rowOff>
        </xdr:from>
        <xdr:to>
          <xdr:col>37</xdr:col>
          <xdr:colOff>0</xdr:colOff>
          <xdr:row>135</xdr:row>
          <xdr:rowOff>0</xdr:rowOff>
        </xdr:to>
        <xdr:sp macro="" textlink="">
          <xdr:nvSpPr>
            <xdr:cNvPr id="819222" name="Button 22" hidden="1">
              <a:extLst>
                <a:ext uri="{63B3BB69-23CF-44E3-9099-C40C66FF867C}">
                  <a14:compatExt spid="_x0000_s819222"/>
                </a:ext>
                <a:ext uri="{FF2B5EF4-FFF2-40B4-BE49-F238E27FC236}">
                  <a16:creationId xmlns:a16="http://schemas.microsoft.com/office/drawing/2014/main" id="{00000000-0008-0000-0800-000016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327660</xdr:colOff>
          <xdr:row>46</xdr:row>
          <xdr:rowOff>7620</xdr:rowOff>
        </xdr:from>
        <xdr:to>
          <xdr:col>31</xdr:col>
          <xdr:colOff>327660</xdr:colOff>
          <xdr:row>48</xdr:row>
          <xdr:rowOff>7620</xdr:rowOff>
        </xdr:to>
        <xdr:sp macro="" textlink="">
          <xdr:nvSpPr>
            <xdr:cNvPr id="819223" name="Button 23" hidden="1">
              <a:extLst>
                <a:ext uri="{63B3BB69-23CF-44E3-9099-C40C66FF867C}">
                  <a14:compatExt spid="_x0000_s819223"/>
                </a:ext>
                <a:ext uri="{FF2B5EF4-FFF2-40B4-BE49-F238E27FC236}">
                  <a16:creationId xmlns:a16="http://schemas.microsoft.com/office/drawing/2014/main" id="{00000000-0008-0000-0800-000017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decision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114</xdr:row>
          <xdr:rowOff>7620</xdr:rowOff>
        </xdr:from>
        <xdr:to>
          <xdr:col>38</xdr:col>
          <xdr:colOff>0</xdr:colOff>
          <xdr:row>116</xdr:row>
          <xdr:rowOff>7620</xdr:rowOff>
        </xdr:to>
        <xdr:sp macro="" textlink="">
          <xdr:nvSpPr>
            <xdr:cNvPr id="819231" name="Button 31" hidden="1">
              <a:extLst>
                <a:ext uri="{63B3BB69-23CF-44E3-9099-C40C66FF867C}">
                  <a14:compatExt spid="_x0000_s819231"/>
                </a:ext>
                <a:ext uri="{FF2B5EF4-FFF2-40B4-BE49-F238E27FC236}">
                  <a16:creationId xmlns:a16="http://schemas.microsoft.com/office/drawing/2014/main" id="{00000000-0008-0000-0800-00001F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117</xdr:row>
          <xdr:rowOff>7620</xdr:rowOff>
        </xdr:from>
        <xdr:to>
          <xdr:col>37</xdr:col>
          <xdr:colOff>685800</xdr:colOff>
          <xdr:row>119</xdr:row>
          <xdr:rowOff>0</xdr:rowOff>
        </xdr:to>
        <xdr:sp macro="" textlink="">
          <xdr:nvSpPr>
            <xdr:cNvPr id="819232" name="Button 32" hidden="1">
              <a:extLst>
                <a:ext uri="{63B3BB69-23CF-44E3-9099-C40C66FF867C}">
                  <a14:compatExt spid="_x0000_s819232"/>
                </a:ext>
                <a:ext uri="{FF2B5EF4-FFF2-40B4-BE49-F238E27FC236}">
                  <a16:creationId xmlns:a16="http://schemas.microsoft.com/office/drawing/2014/main" id="{00000000-0008-0000-0800-000020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xdr:twoCellAnchor>
    <xdr:from>
      <xdr:col>36</xdr:col>
      <xdr:colOff>11906</xdr:colOff>
      <xdr:row>103</xdr:row>
      <xdr:rowOff>0</xdr:rowOff>
    </xdr:from>
    <xdr:to>
      <xdr:col>38</xdr:col>
      <xdr:colOff>678656</xdr:colOff>
      <xdr:row>113</xdr:row>
      <xdr:rowOff>1</xdr:rowOff>
    </xdr:to>
    <xdr:graphicFrame macro="">
      <xdr:nvGraphicFramePr>
        <xdr:cNvPr id="6" name="Диаграмма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36</xdr:col>
      <xdr:colOff>0</xdr:colOff>
      <xdr:row>87</xdr:row>
      <xdr:rowOff>0</xdr:rowOff>
    </xdr:from>
    <xdr:to>
      <xdr:col>38</xdr:col>
      <xdr:colOff>666750</xdr:colOff>
      <xdr:row>97</xdr:row>
      <xdr:rowOff>1</xdr:rowOff>
    </xdr:to>
    <xdr:graphicFrame macro="">
      <xdr:nvGraphicFramePr>
        <xdr:cNvPr id="29" name="Диаграмма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0</xdr:colOff>
      <xdr:row>119</xdr:row>
      <xdr:rowOff>0</xdr:rowOff>
    </xdr:from>
    <xdr:to>
      <xdr:col>38</xdr:col>
      <xdr:colOff>666750</xdr:colOff>
      <xdr:row>129</xdr:row>
      <xdr:rowOff>1</xdr:rowOff>
    </xdr:to>
    <xdr:graphicFrame macro="">
      <xdr:nvGraphicFramePr>
        <xdr:cNvPr id="30" name="Диаграмма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29</xdr:col>
      <xdr:colOff>0</xdr:colOff>
      <xdr:row>119</xdr:row>
      <xdr:rowOff>0</xdr:rowOff>
    </xdr:from>
    <xdr:to>
      <xdr:col>31</xdr:col>
      <xdr:colOff>666750</xdr:colOff>
      <xdr:row>129</xdr:row>
      <xdr:rowOff>1</xdr:rowOff>
    </xdr:to>
    <xdr:graphicFrame macro="">
      <xdr:nvGraphicFramePr>
        <xdr:cNvPr id="31" name="Диаграмма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xdr:col>
      <xdr:colOff>0</xdr:colOff>
      <xdr:row>103</xdr:row>
      <xdr:rowOff>-1</xdr:rowOff>
    </xdr:from>
    <xdr:to>
      <xdr:col>33</xdr:col>
      <xdr:colOff>666750</xdr:colOff>
      <xdr:row>113</xdr:row>
      <xdr:rowOff>-1</xdr:rowOff>
    </xdr:to>
    <xdr:graphicFrame macro="">
      <xdr:nvGraphicFramePr>
        <xdr:cNvPr id="32" name="Диаграмма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0</xdr:colOff>
      <xdr:row>71</xdr:row>
      <xdr:rowOff>0</xdr:rowOff>
    </xdr:from>
    <xdr:to>
      <xdr:col>33</xdr:col>
      <xdr:colOff>666750</xdr:colOff>
      <xdr:row>81</xdr:row>
      <xdr:rowOff>0</xdr:rowOff>
    </xdr:to>
    <xdr:graphicFrame macro="">
      <xdr:nvGraphicFramePr>
        <xdr:cNvPr id="33" name="Диаграмма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34</xdr:col>
          <xdr:colOff>365760</xdr:colOff>
          <xdr:row>42</xdr:row>
          <xdr:rowOff>0</xdr:rowOff>
        </xdr:from>
        <xdr:to>
          <xdr:col>36</xdr:col>
          <xdr:colOff>365760</xdr:colOff>
          <xdr:row>44</xdr:row>
          <xdr:rowOff>0</xdr:rowOff>
        </xdr:to>
        <xdr:sp macro="" textlink="">
          <xdr:nvSpPr>
            <xdr:cNvPr id="819233" name="Button 33" hidden="1">
              <a:extLst>
                <a:ext uri="{63B3BB69-23CF-44E3-9099-C40C66FF867C}">
                  <a14:compatExt spid="_x0000_s819233"/>
                </a:ext>
                <a:ext uri="{FF2B5EF4-FFF2-40B4-BE49-F238E27FC236}">
                  <a16:creationId xmlns:a16="http://schemas.microsoft.com/office/drawing/2014/main" id="{00000000-0008-0000-0800-000021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Manual correction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18</xdr:col>
      <xdr:colOff>28574</xdr:colOff>
      <xdr:row>14</xdr:row>
      <xdr:rowOff>9526</xdr:rowOff>
    </xdr:from>
    <xdr:to>
      <xdr:col>22</xdr:col>
      <xdr:colOff>607218</xdr:colOff>
      <xdr:row>26</xdr:row>
      <xdr:rowOff>154781</xdr:rowOff>
    </xdr:to>
    <xdr:graphicFrame macro="">
      <xdr:nvGraphicFramePr>
        <xdr:cNvPr id="3" name="Диаграмма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38100</xdr:colOff>
      <xdr:row>19</xdr:row>
      <xdr:rowOff>161924</xdr:rowOff>
    </xdr:from>
    <xdr:to>
      <xdr:col>31</xdr:col>
      <xdr:colOff>571499</xdr:colOff>
      <xdr:row>38</xdr:row>
      <xdr:rowOff>152399</xdr:rowOff>
    </xdr:to>
    <xdr:graphicFrame macro="">
      <xdr:nvGraphicFramePr>
        <xdr:cNvPr id="4" name="Диаграмма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38100</xdr:colOff>
      <xdr:row>0</xdr:row>
      <xdr:rowOff>0</xdr:rowOff>
    </xdr:from>
    <xdr:to>
      <xdr:col>31</xdr:col>
      <xdr:colOff>571500</xdr:colOff>
      <xdr:row>18</xdr:row>
      <xdr:rowOff>154781</xdr:rowOff>
    </xdr:to>
    <xdr:graphicFrame macro="">
      <xdr:nvGraphicFramePr>
        <xdr:cNvPr id="5" name="Диаграмма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0</xdr:colOff>
      <xdr:row>0</xdr:row>
      <xdr:rowOff>0</xdr:rowOff>
    </xdr:from>
    <xdr:to>
      <xdr:col>23</xdr:col>
      <xdr:colOff>0</xdr:colOff>
      <xdr:row>12</xdr:row>
      <xdr:rowOff>154781</xdr:rowOff>
    </xdr:to>
    <xdr:graphicFrame macro="">
      <xdr:nvGraphicFramePr>
        <xdr:cNvPr id="8" name="Диаграмма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28574</xdr:colOff>
      <xdr:row>28</xdr:row>
      <xdr:rowOff>9526</xdr:rowOff>
    </xdr:from>
    <xdr:to>
      <xdr:col>23</xdr:col>
      <xdr:colOff>11905</xdr:colOff>
      <xdr:row>40</xdr:row>
      <xdr:rowOff>154781</xdr:rowOff>
    </xdr:to>
    <xdr:graphicFrame macro="">
      <xdr:nvGraphicFramePr>
        <xdr:cNvPr id="9" name="Диаграмма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28574</xdr:colOff>
      <xdr:row>42</xdr:row>
      <xdr:rowOff>9526</xdr:rowOff>
    </xdr:from>
    <xdr:to>
      <xdr:col>22</xdr:col>
      <xdr:colOff>607218</xdr:colOff>
      <xdr:row>54</xdr:row>
      <xdr:rowOff>154781</xdr:rowOff>
    </xdr:to>
    <xdr:graphicFrame macro="">
      <xdr:nvGraphicFramePr>
        <xdr:cNvPr id="7" name="Диаграмма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28574</xdr:colOff>
      <xdr:row>56</xdr:row>
      <xdr:rowOff>9526</xdr:rowOff>
    </xdr:from>
    <xdr:to>
      <xdr:col>22</xdr:col>
      <xdr:colOff>607218</xdr:colOff>
      <xdr:row>68</xdr:row>
      <xdr:rowOff>154781</xdr:rowOff>
    </xdr:to>
    <xdr:graphicFrame macro="">
      <xdr:nvGraphicFramePr>
        <xdr:cNvPr id="10" name="Диаграмма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28574</xdr:colOff>
      <xdr:row>70</xdr:row>
      <xdr:rowOff>9526</xdr:rowOff>
    </xdr:from>
    <xdr:to>
      <xdr:col>22</xdr:col>
      <xdr:colOff>607218</xdr:colOff>
      <xdr:row>82</xdr:row>
      <xdr:rowOff>154781</xdr:rowOff>
    </xdr:to>
    <xdr:graphicFrame macro="">
      <xdr:nvGraphicFramePr>
        <xdr:cNvPr id="11" name="Диаграмма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as\xampp\htdocs\gmc\games\&#1050;&#1080;&#1090;&#1072;&#1081;%202\8%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our decisions"/>
      <sheetName val="Resources and products"/>
      <sheetName val="Financial statements"/>
      <sheetName val="Group information"/>
      <sheetName val="W"/>
    </sheetNames>
    <sheetDataSet>
      <sheetData sheetId="0"/>
      <sheetData sheetId="1"/>
      <sheetData sheetId="2"/>
      <sheetData sheetId="3"/>
      <sheetData sheetId="4">
        <row r="1">
          <cell r="A1">
            <v>18</v>
          </cell>
        </row>
      </sheetData>
    </sheetDataSet>
  </externalBook>
</externalLink>
</file>

<file path=xl/queryTables/queryTable1.xml><?xml version="1.0" encoding="utf-8"?>
<queryTable xmlns="http://schemas.openxmlformats.org/spreadsheetml/2006/main" name="W015131_1" connectionId="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015131_5" connectionId="1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W015131_2" connectionId="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W013131" connectionId="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W015131_4" connectionId="9"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W033131"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W015131" connectionId="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W015131_3" connectionId="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W013132" connectionId="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W013133"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W013134" connectionId="4" autoFormatId="16" applyNumberFormats="0" applyBorderFormats="0" applyFontFormats="1" applyPatternFormats="1" applyAlignmentFormats="0" applyWidthHeightFormats="0"/>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omments" Target="../comments1.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3" Type="http://schemas.openxmlformats.org/officeDocument/2006/relationships/vmlDrawing" Target="../drawings/vmlDrawing2.v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35.xml"/><Relationship Id="rId1" Type="http://schemas.openxmlformats.org/officeDocument/2006/relationships/printerSettings" Target="../printerSettings/printerSettings2.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5" Type="http://schemas.openxmlformats.org/officeDocument/2006/relationships/ctrlProp" Target="../ctrlProps/ctrlProp3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18" Type="http://schemas.openxmlformats.org/officeDocument/2006/relationships/ctrlProp" Target="../ctrlProps/ctrlProp52.xml"/><Relationship Id="rId3" Type="http://schemas.openxmlformats.org/officeDocument/2006/relationships/vmlDrawing" Target="../drawings/vmlDrawing3.vml"/><Relationship Id="rId7" Type="http://schemas.openxmlformats.org/officeDocument/2006/relationships/ctrlProp" Target="../ctrlProps/ctrlProp41.xml"/><Relationship Id="rId12" Type="http://schemas.openxmlformats.org/officeDocument/2006/relationships/ctrlProp" Target="../ctrlProps/ctrlProp46.xml"/><Relationship Id="rId17" Type="http://schemas.openxmlformats.org/officeDocument/2006/relationships/ctrlProp" Target="../ctrlProps/ctrlProp51.xml"/><Relationship Id="rId2" Type="http://schemas.openxmlformats.org/officeDocument/2006/relationships/drawing" Target="../drawings/drawing3.xml"/><Relationship Id="rId16" Type="http://schemas.openxmlformats.org/officeDocument/2006/relationships/ctrlProp" Target="../ctrlProps/ctrlProp50.xml"/><Relationship Id="rId1" Type="http://schemas.openxmlformats.org/officeDocument/2006/relationships/printerSettings" Target="../printerSettings/printerSettings3.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18" Type="http://schemas.openxmlformats.org/officeDocument/2006/relationships/ctrlProp" Target="../ctrlProps/ctrlProp6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ctrlProp" Target="../ctrlProps/ctrlProp66.xml"/><Relationship Id="rId2" Type="http://schemas.openxmlformats.org/officeDocument/2006/relationships/drawing" Target="../drawings/drawing4.xml"/><Relationship Id="rId16" Type="http://schemas.openxmlformats.org/officeDocument/2006/relationships/ctrlProp" Target="../ctrlProps/ctrlProp6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trlProp" Target="../ctrlProps/ctrlProp82.xml"/><Relationship Id="rId3" Type="http://schemas.openxmlformats.org/officeDocument/2006/relationships/vmlDrawing" Target="../drawings/vmlDrawing5.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5.xml"/><Relationship Id="rId16" Type="http://schemas.openxmlformats.org/officeDocument/2006/relationships/ctrlProp" Target="../ctrlProps/ctrlProp80.xml"/><Relationship Id="rId1" Type="http://schemas.openxmlformats.org/officeDocument/2006/relationships/printerSettings" Target="../printerSettings/printerSettings5.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7.xml"/><Relationship Id="rId13" Type="http://schemas.openxmlformats.org/officeDocument/2006/relationships/ctrlProp" Target="../ctrlProps/ctrlProp92.xml"/><Relationship Id="rId18" Type="http://schemas.openxmlformats.org/officeDocument/2006/relationships/ctrlProp" Target="../ctrlProps/ctrlProp97.xml"/><Relationship Id="rId26" Type="http://schemas.openxmlformats.org/officeDocument/2006/relationships/ctrlProp" Target="../ctrlProps/ctrlProp105.xml"/><Relationship Id="rId3" Type="http://schemas.openxmlformats.org/officeDocument/2006/relationships/vmlDrawing" Target="../drawings/vmlDrawing7.vml"/><Relationship Id="rId21" Type="http://schemas.openxmlformats.org/officeDocument/2006/relationships/ctrlProp" Target="../ctrlProps/ctrlProp100.xml"/><Relationship Id="rId7" Type="http://schemas.openxmlformats.org/officeDocument/2006/relationships/ctrlProp" Target="../ctrlProps/ctrlProp86.xml"/><Relationship Id="rId12" Type="http://schemas.openxmlformats.org/officeDocument/2006/relationships/ctrlProp" Target="../ctrlProps/ctrlProp91.xml"/><Relationship Id="rId17" Type="http://schemas.openxmlformats.org/officeDocument/2006/relationships/ctrlProp" Target="../ctrlProps/ctrlProp96.xml"/><Relationship Id="rId25" Type="http://schemas.openxmlformats.org/officeDocument/2006/relationships/ctrlProp" Target="../ctrlProps/ctrlProp104.xml"/><Relationship Id="rId2" Type="http://schemas.openxmlformats.org/officeDocument/2006/relationships/drawing" Target="../drawings/drawing6.xml"/><Relationship Id="rId16" Type="http://schemas.openxmlformats.org/officeDocument/2006/relationships/ctrlProp" Target="../ctrlProps/ctrlProp95.xml"/><Relationship Id="rId20" Type="http://schemas.openxmlformats.org/officeDocument/2006/relationships/ctrlProp" Target="../ctrlProps/ctrlProp99.xml"/><Relationship Id="rId1" Type="http://schemas.openxmlformats.org/officeDocument/2006/relationships/printerSettings" Target="../printerSettings/printerSettings9.bin"/><Relationship Id="rId6" Type="http://schemas.openxmlformats.org/officeDocument/2006/relationships/ctrlProp" Target="../ctrlProps/ctrlProp85.xml"/><Relationship Id="rId11" Type="http://schemas.openxmlformats.org/officeDocument/2006/relationships/ctrlProp" Target="../ctrlProps/ctrlProp90.xml"/><Relationship Id="rId24" Type="http://schemas.openxmlformats.org/officeDocument/2006/relationships/ctrlProp" Target="../ctrlProps/ctrlProp103.xml"/><Relationship Id="rId5" Type="http://schemas.openxmlformats.org/officeDocument/2006/relationships/ctrlProp" Target="../ctrlProps/ctrlProp84.xml"/><Relationship Id="rId15" Type="http://schemas.openxmlformats.org/officeDocument/2006/relationships/ctrlProp" Target="../ctrlProps/ctrlProp94.xml"/><Relationship Id="rId23" Type="http://schemas.openxmlformats.org/officeDocument/2006/relationships/ctrlProp" Target="../ctrlProps/ctrlProp102.xml"/><Relationship Id="rId10" Type="http://schemas.openxmlformats.org/officeDocument/2006/relationships/ctrlProp" Target="../ctrlProps/ctrlProp89.xml"/><Relationship Id="rId19" Type="http://schemas.openxmlformats.org/officeDocument/2006/relationships/ctrlProp" Target="../ctrlProps/ctrlProp98.xml"/><Relationship Id="rId4" Type="http://schemas.openxmlformats.org/officeDocument/2006/relationships/ctrlProp" Target="../ctrlProps/ctrlProp83.xml"/><Relationship Id="rId9" Type="http://schemas.openxmlformats.org/officeDocument/2006/relationships/ctrlProp" Target="../ctrlProps/ctrlProp88.xml"/><Relationship Id="rId14" Type="http://schemas.openxmlformats.org/officeDocument/2006/relationships/ctrlProp" Target="../ctrlProps/ctrlProp93.xml"/><Relationship Id="rId22" Type="http://schemas.openxmlformats.org/officeDocument/2006/relationships/ctrlProp" Target="../ctrlProps/ctrlProp101.xml"/><Relationship Id="rId27"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6.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4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6.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51.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61.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56.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0">
    <tabColor theme="9" tint="0.59999389629810485"/>
  </sheetPr>
  <dimension ref="A1:AQ138"/>
  <sheetViews>
    <sheetView topLeftCell="A65" zoomScale="80" zoomScaleNormal="80" workbookViewId="0">
      <selection activeCell="R47" sqref="R47"/>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100" t="str">
        <f>Lang!$A$1</f>
        <v>Production plan</v>
      </c>
      <c r="B1" s="1101"/>
      <c r="C1" s="1101"/>
      <c r="D1" s="69">
        <v>0</v>
      </c>
      <c r="F1" s="1100" t="str">
        <f>Lang!$A$2</f>
        <v>Production details</v>
      </c>
      <c r="G1" s="1101"/>
      <c r="H1" s="1102"/>
      <c r="J1" s="1131" t="str">
        <f>Lang!$A$3</f>
        <v>Stocks previous quarter</v>
      </c>
      <c r="K1" s="1139"/>
      <c r="L1" s="1140"/>
      <c r="N1" s="1141" t="str">
        <f>Lang!$A$4</f>
        <v>Total demand</v>
      </c>
      <c r="O1" s="1142"/>
      <c r="P1" s="1143"/>
      <c r="Q1" s="3"/>
      <c r="R1" s="1100" t="str">
        <f>Lang!$A$5</f>
        <v>A&amp;D - commission</v>
      </c>
      <c r="S1" s="1101"/>
      <c r="T1" s="1102"/>
      <c r="U1" s="2"/>
      <c r="V1" s="1131" t="str">
        <f>IF(X1=4,"Taxes","")</f>
        <v/>
      </c>
      <c r="W1" s="1132"/>
      <c r="X1" s="631">
        <f>'11'!S9</f>
        <v>2</v>
      </c>
      <c r="Y1" s="1114">
        <f>SUM(V2:X4)</f>
        <v>0</v>
      </c>
      <c r="AH1" s="1082" t="str">
        <f>Lang!$A$6</f>
        <v>Revenues, marginal costs</v>
      </c>
      <c r="AI1" s="1083"/>
      <c r="AJ1" s="136">
        <f ca="1">SUM(AK2:AM4)</f>
        <v>1629876.5321006984</v>
      </c>
      <c r="AK1" s="26"/>
      <c r="AL1" s="26"/>
      <c r="AM1" s="27"/>
      <c r="AN1" s="138">
        <f ca="1">SUM(AO2:AQ4)</f>
        <v>0.62768745660226888</v>
      </c>
      <c r="AO1" s="26"/>
      <c r="AP1" s="26"/>
      <c r="AQ1" s="27"/>
    </row>
    <row r="2" spans="1:43" ht="12.9" customHeight="1" x14ac:dyDescent="0.25">
      <c r="A2" s="968" t="str">
        <f>Lang!$A$7</f>
        <v>Europe</v>
      </c>
      <c r="B2" s="391">
        <f ca="1">MAX(IF($D$1=2,'62'!U12,IF($D$1=1,J22,IF($M22&gt;0,FLOOR(J22/$M22*CEILING($J22/500+$K22/250+$L22/125,1),1),0))),0)</f>
        <v>892</v>
      </c>
      <c r="C2" s="391">
        <f ca="1">MAX(IF($D$1=2,'62'!W12,IF($D$1=1,K22,IF($M22&gt;0,FLOOR(K22/$M22*CEILING($J22/500+$K22/250+$L22/125,1),1),0))),0)</f>
        <v>713</v>
      </c>
      <c r="D2" s="392">
        <f ca="1">MAX(IF($D$1=2,'62'!Y12,IF($D$1=1,L22,IF($M22&gt;0,FLOOR(L22/$M22*CEILING($J22/500+$K22/250+$L22/125,1),1),0))),0)</f>
        <v>420</v>
      </c>
      <c r="E2" s="447">
        <f ca="1">B2/500+C2/250+D2/125</f>
        <v>7.9960000000000004</v>
      </c>
      <c r="F2" s="1124" t="str">
        <f>Lang!$A$8</f>
        <v>Hours for details</v>
      </c>
      <c r="G2" s="1125"/>
      <c r="H2" s="394">
        <f ca="1">IF(ISNUMBER(H10),IF(H10&gt;0,MAX(((SUM(B2:B5)*60+SUM(C2:C5)*75+SUM(D2:D5)*120)-(IF(SUM(B2:B5)&lt;B7,SUM(B2:B5),B7)*60+IF(SUM(C2:C5)&lt;C7,SUM(C2:C5),C7)*75+IF(SUM(D2:D5)&lt;D7,SUM(D2:D5),D7)*120))/60/H10,0),0),0)</f>
        <v>5093.5646936235853</v>
      </c>
      <c r="I2" s="455">
        <f ca="1">(H2+H6)/H5</f>
        <v>1.5256442540546387</v>
      </c>
      <c r="J2" s="397">
        <f>'52'!U31</f>
        <v>119</v>
      </c>
      <c r="K2" s="398">
        <f>'52'!W31</f>
        <v>0</v>
      </c>
      <c r="L2" s="399">
        <f>'52'!Y31</f>
        <v>0</v>
      </c>
      <c r="M2" s="482">
        <f ca="1">SUM(J2:L2)/SUM(J12:L12)</f>
        <v>5.8636814944205459E-2</v>
      </c>
      <c r="N2" s="900">
        <f t="shared" ref="N2:P4" ca="1" si="0">R17+N7+N12+N22+N27+N32+N37+N17+R2+R7+R12+R22+R27+R32+R37+R42</f>
        <v>-4.3973786199465875E-2</v>
      </c>
      <c r="O2" s="901">
        <f t="shared" ca="1" si="0"/>
        <v>-1.2638486503556035E-2</v>
      </c>
      <c r="P2" s="902">
        <f t="shared" ca="1" si="0"/>
        <v>1.4820631980062005E-3</v>
      </c>
      <c r="Q2" s="30"/>
      <c r="R2" s="900">
        <f ca="1">($D28*100+OFFSET(History!$C$45,$B$52,0)*Config!$H9+OFFSET(History!$C$44,$B$52,0)*Config!$H9^2+OFFSET(History!$C$43,$B$52,0)*Config!$H9^3+1)^Config!$G9-(OFFSET(History!$C$45,$B$52,0)+OFFSET(History!$C$44,$B$52,0)*Config!$H9+OFFSET(History!$C$43,$B$52,0)*Config!$H9^2+OFFSET(History!$C$42,$B$52,0)*Config!$H9^3+1)^Config!$G9</f>
        <v>0</v>
      </c>
      <c r="S2" s="901">
        <f ca="1">($D28*100+OFFSET(History!$C$45,$B$52,0)*Config!$H9+OFFSET(History!$C$44,$B$52,0)*Config!$H9^2+OFFSET(History!$C$43,$B$52,0)*Config!$H9^3+1)^Config!$G9-(OFFSET(History!$C$45,$B$52,0)+OFFSET(History!$C$44,$B$52,0)*Config!$H9+OFFSET(History!$C$43,$B$52,0)*Config!$H9^2+OFFSET(History!$C$42,$B$52,0)*Config!$H9^3+1)^Config!$G9</f>
        <v>0</v>
      </c>
      <c r="T2" s="902">
        <f ca="1">($D28*100+OFFSET(History!$C$45,$B$52,0)*Config!$H9+OFFSET(History!$C$44,$B$52,0)*Config!$H9^2+OFFSET(History!$C$43,$B$52,0)*Config!$H9^3+1)^Config!$G9-(OFFSET(History!$C$45,$B$52,0)+OFFSET(History!$C$44,$B$52,0)*Config!$H9+OFFSET(History!$C$43,$B$52,0)*Config!$H9^2+OFFSET(History!$C$42,$B$52,0)*Config!$H9^3+1)^Config!$G9</f>
        <v>0</v>
      </c>
      <c r="U2" s="2"/>
      <c r="V2" s="638">
        <f>'12'!$U$17</f>
        <v>0</v>
      </c>
      <c r="W2" s="639">
        <f>'12'!$W$17</f>
        <v>0</v>
      </c>
      <c r="X2" s="640">
        <f>'12'!$Y$17</f>
        <v>0</v>
      </c>
      <c r="Y2" s="1114"/>
      <c r="AH2" s="1084"/>
      <c r="AI2" s="1085"/>
      <c r="AJ2" s="5"/>
      <c r="AK2" s="34">
        <f t="shared" ref="AK2:AM4" ca="1" si="1">J17*J42</f>
        <v>318593.82369660039</v>
      </c>
      <c r="AL2" s="34">
        <f t="shared" ca="1" si="1"/>
        <v>334930.78488088259</v>
      </c>
      <c r="AM2" s="35">
        <f t="shared" ca="1" si="1"/>
        <v>281810.82791848731</v>
      </c>
      <c r="AN2" s="5"/>
      <c r="AO2" s="63">
        <f t="shared" ref="AO2:AQ4" ca="1" si="2">B48/SUM($AO$6:$AQ$8)*AO6</f>
        <v>9.9605416922326773E-2</v>
      </c>
      <c r="AP2" s="63">
        <f t="shared" ca="1" si="2"/>
        <v>0.12657242990774792</v>
      </c>
      <c r="AQ2" s="64">
        <f t="shared" ca="1" si="2"/>
        <v>0.13823453695984966</v>
      </c>
    </row>
    <row r="3" spans="1:43" ht="12.9" customHeight="1" x14ac:dyDescent="0.25">
      <c r="A3" s="968" t="str">
        <f>Lang!$A$9</f>
        <v>Nafta</v>
      </c>
      <c r="B3" s="391">
        <f ca="1">MAX(IF($D$1=2,'62'!U13,IF($D$1=1,J23,IF($M23&gt;0,FLOOR(J23/$M23*CEILING($J23/500+$K23/250+$L23/125,1),1),0))),0)</f>
        <v>160</v>
      </c>
      <c r="C3" s="391">
        <f ca="1">MAX(IF($D$1=2,'62'!W13,IF($D$1=1,K23,IF($M23&gt;0,FLOOR(K23/$M23*CEILING($J23/500+$K23/250+$L23/125,1),1),0))),0)</f>
        <v>202</v>
      </c>
      <c r="D3" s="392">
        <f ca="1">MAX(IF($D$1=2,'62'!Y13,IF($D$1=1,L23,IF($M23&gt;0,FLOOR(L23/$M23*CEILING($J23/500+$K23/250+$L23/125,1),1),0))),0)</f>
        <v>108</v>
      </c>
      <c r="E3" s="447">
        <f ca="1">B3/500+C3/250+D3/125</f>
        <v>1.992</v>
      </c>
      <c r="F3" s="1124" t="str">
        <f>Lang!$A$10</f>
        <v>7 days</v>
      </c>
      <c r="G3" s="1125"/>
      <c r="H3" s="454">
        <f>IF(H11=1,H7*(420+84+72),H7*H11*(420+42+72))</f>
        <v>4272</v>
      </c>
      <c r="I3" s="456">
        <f>H3/H5</f>
        <v>1.2714285714285714</v>
      </c>
      <c r="J3" s="397">
        <f>'52'!U32</f>
        <v>56</v>
      </c>
      <c r="K3" s="398">
        <f>'52'!W32</f>
        <v>30</v>
      </c>
      <c r="L3" s="399">
        <f>'52'!Y32</f>
        <v>12</v>
      </c>
      <c r="M3" s="482">
        <f ca="1">SUM(J3:L3)/SUM(J13:L13)</f>
        <v>0.26071041795010441</v>
      </c>
      <c r="N3" s="900">
        <f t="shared" ca="1" si="0"/>
        <v>0.22969684665449891</v>
      </c>
      <c r="O3" s="901">
        <f t="shared" ca="1" si="0"/>
        <v>0.24738145813700896</v>
      </c>
      <c r="P3" s="902">
        <f t="shared" ca="1" si="0"/>
        <v>0.20932059055990077</v>
      </c>
      <c r="Q3" s="30"/>
      <c r="R3" s="900">
        <f ca="1">($D29*100+OFFSET(History!$F$45,$B$52,0)*Config!$H10+OFFSET(History!$F$44,$B$52,0)*Config!$H10^2+OFFSET(History!$F$43,$B$52,0)*Config!$H10^3+1)^Config!$G10-(OFFSET(History!$F$45,$B$52,0)+OFFSET(History!$F$44,$B$52,0)*Config!$H10+OFFSET(History!$F$43,$B$52,0)*Config!$H10^2+OFFSET(History!$F$42,$B$52,0)*Config!$H10^3+1)^Config!$G10</f>
        <v>1.5163033051379671E-8</v>
      </c>
      <c r="S3" s="901">
        <f ca="1">($D29*100+OFFSET(History!$F$45,$B$52,0)*Config!$H10+OFFSET(History!$F$44,$B$52,0)*Config!$H10^2+OFFSET(History!$F$43,$B$52,0)*Config!$H10^3+1)^Config!$G10-(OFFSET(History!$F$45,$B$52,0)+OFFSET(History!$F$44,$B$52,0)*Config!$H10+OFFSET(History!$F$43,$B$52,0)*Config!$H10^2+OFFSET(History!$F$42,$B$52,0)*Config!$H10^3+1)^Config!$G10</f>
        <v>1.5163033051379671E-8</v>
      </c>
      <c r="T3" s="902">
        <f ca="1">($D29*100+OFFSET(History!$F$45,$B$52,0)*Config!$H10+OFFSET(History!$F$44,$B$52,0)*Config!$H10^2+OFFSET(History!$F$43,$B$52,0)*Config!$H10^3+1)^Config!$G10-(OFFSET(History!$F$45,$B$52,0)+OFFSET(History!$F$44,$B$52,0)*Config!$H10+OFFSET(History!$F$43,$B$52,0)*Config!$H10^2+OFFSET(History!$F$42,$B$52,0)*Config!$H10^3+1)^Config!$G10</f>
        <v>1.5163033051379671E-8</v>
      </c>
      <c r="U3" s="2"/>
      <c r="V3" s="638">
        <f>'12'!$U$18</f>
        <v>0</v>
      </c>
      <c r="W3" s="639">
        <f>'12'!$W$18</f>
        <v>0</v>
      </c>
      <c r="X3" s="640">
        <f>'12'!$Y$18</f>
        <v>0</v>
      </c>
      <c r="Y3" s="1114"/>
      <c r="AH3" s="1084"/>
      <c r="AI3" s="1085"/>
      <c r="AJ3" s="5"/>
      <c r="AK3" s="34">
        <f t="shared" ca="1" si="1"/>
        <v>51007.82519922861</v>
      </c>
      <c r="AL3" s="34">
        <f t="shared" ca="1" si="1"/>
        <v>73346.029738456127</v>
      </c>
      <c r="AM3" s="35">
        <f t="shared" ca="1" si="1"/>
        <v>55616.653959849835</v>
      </c>
      <c r="AN3" s="5"/>
      <c r="AO3" s="63">
        <f t="shared" ca="1" si="2"/>
        <v>1.9954837443883433E-2</v>
      </c>
      <c r="AP3" s="63">
        <f t="shared" ca="1" si="2"/>
        <v>4.0608903143353643E-2</v>
      </c>
      <c r="AQ3" s="64">
        <f t="shared" ca="1" si="2"/>
        <v>3.8812658763010925E-2</v>
      </c>
    </row>
    <row r="4" spans="1:43" ht="12.9" customHeight="1" thickBot="1" x14ac:dyDescent="0.3">
      <c r="A4" s="968" t="str">
        <f>Lang!$A$11</f>
        <v>Internet</v>
      </c>
      <c r="B4" s="391">
        <f ca="1">MAX(IF($D$1=2,'62'!U14,IF($D$1=1,J24,IF($M24&gt;0,FLOOR(J24/$M24*CEILING($J24/500+$K24/250+$L24/125,1),1),0))),0)</f>
        <v>512</v>
      </c>
      <c r="C4" s="391">
        <f ca="1">MAX(IF($D$1=2,'62'!W14,IF($D$1=1,K24,IF($M24&gt;0,FLOOR(K24/$M24*CEILING($J24/500+$K24/250+$L24/125,1),1),0))),0)</f>
        <v>356</v>
      </c>
      <c r="D4" s="392">
        <f ca="1">MAX(IF($D$1=2,'62'!Y14,IF($D$1=1,L24,IF($M24&gt;0,FLOOR(L24/$M24*CEILING($J24/500+$K24/250+$L24/125,1),1),0))),0)</f>
        <v>193</v>
      </c>
      <c r="E4" s="447">
        <f ca="1">B4/500+C4/250+D4/125</f>
        <v>3.992</v>
      </c>
      <c r="F4" s="1133" t="str">
        <f>Lang!$A$12</f>
        <v>6 days</v>
      </c>
      <c r="G4" s="1134"/>
      <c r="H4" s="399">
        <f>IF(H11=1,H7*(420+84),H7*H11*(420+42))</f>
        <v>3696</v>
      </c>
      <c r="I4" s="456">
        <f>H4/H5</f>
        <v>1.1000000000000001</v>
      </c>
      <c r="J4" s="400">
        <f>'52'!U33</f>
        <v>7</v>
      </c>
      <c r="K4" s="401">
        <f>'52'!W33</f>
        <v>0</v>
      </c>
      <c r="L4" s="402">
        <f>'52'!Y33</f>
        <v>5</v>
      </c>
      <c r="M4" s="482">
        <f ca="1">SUM(J4:L4)/SUM(J14:L14)</f>
        <v>1.2515870821397625E-2</v>
      </c>
      <c r="N4" s="903">
        <f t="shared" ca="1" si="0"/>
        <v>0.90700373046939231</v>
      </c>
      <c r="O4" s="904">
        <f t="shared" ca="1" si="0"/>
        <v>0.90225204469481834</v>
      </c>
      <c r="P4" s="905">
        <f t="shared" ca="1" si="0"/>
        <v>0.87057545847516526</v>
      </c>
      <c r="Q4" s="113"/>
      <c r="R4" s="903">
        <f ca="1">($D30*100+OFFSET(History!$I$45,$B$52,0)*Config!$H11+OFFSET(History!$I$44,$B$52,0)*Config!$H11^2+OFFSET(History!$I$43,$B$52,0)*Config!$H11^3+1)^Config!$G11-(OFFSET(History!$I$45,$B$52,0)+OFFSET(History!$I$44,$B$52,0)*Config!$H11+OFFSET(History!$I$43,$B$52,0)*Config!$H11^2+OFFSET(History!$I$42,$B$52,0)*Config!$H11^3+1)^Config!$G11</f>
        <v>3.0257044460899829E-2</v>
      </c>
      <c r="S4" s="904">
        <f ca="1">($D30*100+OFFSET(History!$I$45,$B$52,0)*Config!$H11+OFFSET(History!$I$44,$B$52,0)*Config!$H11^2+OFFSET(History!$I$43,$B$52,0)*Config!$H11^3+1)^Config!$G11-(OFFSET(History!$I$45,$B$52,0)+OFFSET(History!$I$44,$B$52,0)*Config!$H11+OFFSET(History!$I$43,$B$52,0)*Config!$H11^2+OFFSET(History!$I$42,$B$52,0)*Config!$H11^3+1)^Config!$G11</f>
        <v>3.0257044460899829E-2</v>
      </c>
      <c r="T4" s="905">
        <f ca="1">($D30*100+OFFSET(History!$I$45,$B$52,0)*Config!$H11+OFFSET(History!$I$44,$B$52,0)*Config!$H11^2+OFFSET(History!$I$43,$B$52,0)*Config!$H11^3+1)^Config!$G11-(OFFSET(History!$I$45,$B$52,0)+OFFSET(History!$I$44,$B$52,0)*Config!$H11+OFFSET(History!$I$43,$B$52,0)*Config!$H11^2+OFFSET(History!$I$42,$B$52,0)*Config!$H11^3+1)^Config!$G11</f>
        <v>3.0257044460899829E-2</v>
      </c>
      <c r="U4" s="2"/>
      <c r="V4" s="641">
        <f>'12'!$U$19</f>
        <v>0</v>
      </c>
      <c r="W4" s="642">
        <f>'12'!$W$19</f>
        <v>0</v>
      </c>
      <c r="X4" s="643">
        <f>'12'!$Y$19</f>
        <v>0</v>
      </c>
      <c r="Y4" s="1114"/>
      <c r="AH4" s="1086"/>
      <c r="AI4" s="1087"/>
      <c r="AJ4" s="9"/>
      <c r="AK4" s="36">
        <f t="shared" ca="1" si="1"/>
        <v>176092.72447154368</v>
      </c>
      <c r="AL4" s="36">
        <f t="shared" ca="1" si="1"/>
        <v>187428.89396378043</v>
      </c>
      <c r="AM4" s="37">
        <f t="shared" ca="1" si="1"/>
        <v>151048.96827186958</v>
      </c>
      <c r="AN4" s="9"/>
      <c r="AO4" s="65">
        <f t="shared" ca="1" si="2"/>
        <v>5.1315200171962456E-2</v>
      </c>
      <c r="AP4" s="65">
        <f t="shared" ca="1" si="2"/>
        <v>5.6471600967616033E-2</v>
      </c>
      <c r="AQ4" s="66">
        <f t="shared" ca="1" si="2"/>
        <v>5.6111872322518026E-2</v>
      </c>
    </row>
    <row r="5" spans="1:43" ht="12.9" customHeight="1" thickBot="1" x14ac:dyDescent="0.3">
      <c r="A5" s="4" t="str">
        <f>Lang!$A$13</f>
        <v>Rejected</v>
      </c>
      <c r="B5" s="386">
        <f ca="1">IF($D$1=2,'62'!U8+'62'!U9,(B2+B3+B4)*AVERAGEIF(OFFSET(History!J2:J6,$B52,),"&gt;0"))</f>
        <v>42.291176354679799</v>
      </c>
      <c r="C5" s="386">
        <f ca="1">IF($D$1=2,'62'!W8+'62'!W9,(C2+C3+C4)*AVERAGEIF(OFFSET(History!K2:K6,$B52,),"&gt;0"))</f>
        <v>36.4054563176622</v>
      </c>
      <c r="D5" s="387">
        <f ca="1">IF($D$1=2,'62'!Y8+'62'!Y9,(D2+D3+D4)*AVERAGEIF(OFFSET(History!L2:L6,$B52,),"&gt;0"))</f>
        <v>21.747058908045979</v>
      </c>
      <c r="E5" s="18"/>
      <c r="F5" s="1133" t="str">
        <f>Lang!$A$14</f>
        <v>5 days</v>
      </c>
      <c r="G5" s="1134"/>
      <c r="H5" s="399">
        <f>H7*H11*420</f>
        <v>3360</v>
      </c>
      <c r="I5" s="456">
        <v>1</v>
      </c>
      <c r="J5" s="108">
        <f ca="1">SUM(J2:J4)/SUM(J12:J14)</f>
        <v>0.11484478989968752</v>
      </c>
      <c r="K5" s="108">
        <f ca="1">SUM(K2:K4)/SUM(K12:K14)</f>
        <v>2.6574680936551597E-2</v>
      </c>
      <c r="L5" s="108">
        <f ca="1">SUM(L2:L4)/SUM(L12:L14)</f>
        <v>2.6134596504223218E-2</v>
      </c>
      <c r="N5" s="113"/>
      <c r="O5" s="113"/>
      <c r="P5" s="113"/>
      <c r="Q5" s="113"/>
      <c r="R5" s="113"/>
      <c r="S5" s="113"/>
      <c r="T5" s="113"/>
      <c r="U5" s="2"/>
      <c r="V5" s="2"/>
      <c r="W5" s="8"/>
      <c r="AH5" s="1082" t="str">
        <f>Lang!$A$15</f>
        <v>Costs per products</v>
      </c>
      <c r="AI5" s="1083"/>
      <c r="AJ5" s="136">
        <f ca="1">SUM(AJ9:AM12)</f>
        <v>427396.31973052397</v>
      </c>
      <c r="AK5" s="26"/>
      <c r="AL5" s="26"/>
      <c r="AM5" s="27"/>
      <c r="AN5" s="136">
        <f ca="1">SUM(AN9:AQ12)</f>
        <v>1113241.5938320456</v>
      </c>
      <c r="AO5" s="26"/>
      <c r="AP5" s="26"/>
      <c r="AQ5" s="27"/>
    </row>
    <row r="6" spans="1:43" ht="12.9" customHeight="1" x14ac:dyDescent="0.25">
      <c r="A6" s="4" t="str">
        <f>Lang!$A$16</f>
        <v>Guarantee</v>
      </c>
      <c r="B6" s="393">
        <f ca="1">IF($D$1=2,'62'!U36,AVERAGE(OFFSET(History!N2:N6,$B52,)))</f>
        <v>24</v>
      </c>
      <c r="C6" s="393">
        <f ca="1">IF($D$1=2,'62'!W36,AVERAGE(OFFSET(History!O2:O6,$B52,)))</f>
        <v>6</v>
      </c>
      <c r="D6" s="394">
        <f ca="1">IF($D$1=2,'62'!Y36,AVERAGE(OFFSET(History!P2:P6,$B52,)))</f>
        <v>3.6</v>
      </c>
      <c r="F6" s="1124" t="str">
        <f>Lang!$A$17</f>
        <v>Hours breakdown</v>
      </c>
      <c r="G6" s="1125"/>
      <c r="H6" s="454">
        <f ca="1">IF(D1=2,'62'!G24,AVERAGE(OFFSET(History!E2:E6,$B52,)))</f>
        <v>32.6</v>
      </c>
      <c r="I6" s="456">
        <f>(H7*H11*4)*360/4/H5</f>
        <v>0.8571428571428571</v>
      </c>
      <c r="J6" s="1131" t="str">
        <f>Lang!$A$18</f>
        <v>Backlog of orders</v>
      </c>
      <c r="K6" s="1139"/>
      <c r="L6" s="1140"/>
      <c r="N6" s="1116" t="str">
        <f>Lang!$A$18</f>
        <v>Backlog of orders</v>
      </c>
      <c r="O6" s="1117"/>
      <c r="P6" s="1118"/>
      <c r="Q6" s="113"/>
      <c r="R6" s="1100" t="str">
        <f>Lang!$A$19</f>
        <v>A&amp;D - support</v>
      </c>
      <c r="S6" s="1101"/>
      <c r="T6" s="1102"/>
      <c r="U6" s="2"/>
      <c r="V6" s="1131" t="str">
        <f>IF(X6=4,"Taxes","")</f>
        <v/>
      </c>
      <c r="W6" s="1132"/>
      <c r="X6" s="634">
        <f>IF(X1=4,1,X1+1)</f>
        <v>3</v>
      </c>
      <c r="Y6" s="1114">
        <f>SUM(V7:X9)</f>
        <v>1175</v>
      </c>
      <c r="AH6" s="1084"/>
      <c r="AI6" s="1085"/>
      <c r="AJ6" s="5"/>
      <c r="AK6" s="6"/>
      <c r="AL6" s="6"/>
      <c r="AM6" s="7"/>
      <c r="AN6" s="5"/>
      <c r="AO6" s="6">
        <f t="shared" ref="AO6:AQ8" ca="1" si="3">AO10+$AN$9/SUM($AO$10:$AQ$12)*AO10+$AN10/SUM($AO10:$AQ10)*AO10</f>
        <v>182799.14177805732</v>
      </c>
      <c r="AP6" s="6">
        <f t="shared" ca="1" si="3"/>
        <v>225325.52777001006</v>
      </c>
      <c r="AQ6" s="7">
        <f t="shared" ca="1" si="3"/>
        <v>216080.96321767432</v>
      </c>
    </row>
    <row r="7" spans="1:43" ht="12.9" customHeight="1" x14ac:dyDescent="0.25">
      <c r="A7" s="4" t="str">
        <f>Lang!$A$20</f>
        <v>Components</v>
      </c>
      <c r="B7" s="393">
        <f>'52'!U45</f>
        <v>0</v>
      </c>
      <c r="C7" s="393">
        <f>'52'!W45</f>
        <v>0</v>
      </c>
      <c r="D7" s="394">
        <f>'52'!Y45</f>
        <v>0</v>
      </c>
      <c r="E7" s="473">
        <f ca="1">C13-(C13*0.25+(H7+H8)*25+(H20+H21)*10+FLOOR(IF(H31&gt;0,H31/1000*5,0),1)+(FLOOR(B7*0.25/6,1)+FLOOR(C7*0.5/6,1)+FLOOR(D7/6,1)))</f>
        <v>45.5</v>
      </c>
      <c r="F7" s="1124" t="str">
        <f>Lang!$A$21</f>
        <v>Machines</v>
      </c>
      <c r="G7" s="1125"/>
      <c r="H7" s="454">
        <f>'52'!G21-H9</f>
        <v>4</v>
      </c>
      <c r="J7" s="397">
        <f>'52'!U27</f>
        <v>0</v>
      </c>
      <c r="K7" s="398">
        <f>'52'!W27</f>
        <v>22</v>
      </c>
      <c r="L7" s="399">
        <f>'52'!Y27</f>
        <v>6</v>
      </c>
      <c r="N7" s="900">
        <f>IF('52'!U22&lt;'52'!U17,('52'!U17-'52'!U22)/'52'!U17*Config!$H$27,0)</f>
        <v>0</v>
      </c>
      <c r="O7" s="901">
        <f>IF('52'!W22&lt;'52'!W17,('52'!W17-'52'!W22)/'52'!W17*Config!$H$27,0)</f>
        <v>-2.2792684012298333E-2</v>
      </c>
      <c r="P7" s="902">
        <f>IF('52'!Y22&lt;'52'!Y17,('52'!Y17-'52'!Y22)/'52'!Y17*Config!$H$27,0)</f>
        <v>-1.0283567870868609E-2</v>
      </c>
      <c r="Q7" s="113"/>
      <c r="R7" s="900"/>
      <c r="S7" s="901"/>
      <c r="T7" s="902"/>
      <c r="U7" s="2"/>
      <c r="V7" s="638">
        <f>'22'!$U$17</f>
        <v>592</v>
      </c>
      <c r="W7" s="639">
        <f>'22'!$W$17</f>
        <v>363</v>
      </c>
      <c r="X7" s="640">
        <f>'22'!$Y$17</f>
        <v>220</v>
      </c>
      <c r="Y7" s="1114"/>
      <c r="AH7" s="1084"/>
      <c r="AI7" s="1085"/>
      <c r="AJ7" s="5"/>
      <c r="AK7" s="6"/>
      <c r="AL7" s="6"/>
      <c r="AM7" s="7"/>
      <c r="AN7" s="5"/>
      <c r="AO7" s="6">
        <f t="shared" ca="1" si="3"/>
        <v>35280.673860342293</v>
      </c>
      <c r="AP7" s="6">
        <f t="shared" ca="1" si="3"/>
        <v>67933.249272908346</v>
      </c>
      <c r="AQ7" s="7">
        <f t="shared" ca="1" si="3"/>
        <v>59291.790534009386</v>
      </c>
    </row>
    <row r="8" spans="1:43" ht="12.9" customHeight="1" thickBot="1" x14ac:dyDescent="0.3">
      <c r="A8" s="4" t="str">
        <f>Lang!$A$22</f>
        <v>Subcontracting</v>
      </c>
      <c r="B8" s="428">
        <v>500</v>
      </c>
      <c r="C8" s="428">
        <v>500</v>
      </c>
      <c r="D8" s="429">
        <v>0</v>
      </c>
      <c r="F8" s="1124" t="str">
        <f>Lang!$A$295</f>
        <v>Machines to buy</v>
      </c>
      <c r="G8" s="1125"/>
      <c r="H8" s="458">
        <v>1</v>
      </c>
      <c r="J8" s="397">
        <f>'52'!U28</f>
        <v>0</v>
      </c>
      <c r="K8" s="398">
        <f>'52'!W28</f>
        <v>0</v>
      </c>
      <c r="L8" s="399">
        <f>'52'!Y28</f>
        <v>0</v>
      </c>
      <c r="N8" s="900">
        <f>IF('52'!U23&lt;'52'!U18,('52'!U18-'52'!U23)/'52'!U18*Config!$H$27,0)</f>
        <v>0</v>
      </c>
      <c r="O8" s="901">
        <f>IF('52'!W23&lt;'52'!W18,('52'!W18-'52'!W23)/'52'!W18*Config!$H$27,0)</f>
        <v>0</v>
      </c>
      <c r="P8" s="902">
        <f>IF('52'!Y23&lt;'52'!Y18,('52'!Y18-'52'!Y23)/'52'!Y18*Config!$H$27,0)</f>
        <v>0</v>
      </c>
      <c r="Q8" s="113"/>
      <c r="R8" s="900"/>
      <c r="S8" s="901"/>
      <c r="T8" s="902"/>
      <c r="U8" s="2"/>
      <c r="V8" s="638">
        <f>'22'!$U$18</f>
        <v>0</v>
      </c>
      <c r="W8" s="639">
        <f>'22'!$W$18</f>
        <v>0</v>
      </c>
      <c r="X8" s="640">
        <f>'22'!$Y$18</f>
        <v>0</v>
      </c>
      <c r="Y8" s="1114"/>
      <c r="AH8" s="1086"/>
      <c r="AI8" s="1087"/>
      <c r="AJ8" s="9"/>
      <c r="AK8" s="10"/>
      <c r="AL8" s="10"/>
      <c r="AM8" s="11"/>
      <c r="AN8" s="9"/>
      <c r="AO8" s="10">
        <f t="shared" ca="1" si="3"/>
        <v>106994.90982122168</v>
      </c>
      <c r="AP8" s="10">
        <f t="shared" ca="1" si="3"/>
        <v>116698.18138136136</v>
      </c>
      <c r="AQ8" s="11">
        <f t="shared" ca="1" si="3"/>
        <v>102837.15619646097</v>
      </c>
    </row>
    <row r="9" spans="1:43" ht="12.9" customHeight="1" thickBot="1" x14ac:dyDescent="0.3">
      <c r="A9" s="4" t="str">
        <f>Lang!$A$23</f>
        <v>Components next quarter</v>
      </c>
      <c r="B9" s="393">
        <f ca="1">IF(SUM(B2:B5)&lt;B7,B7-SUM(B2:B5)+B8,B8)</f>
        <v>500</v>
      </c>
      <c r="C9" s="393">
        <f ca="1">IF(SUM(C2:C5)&lt;C7,C7-SUM(C2:C5)+C8,C8)</f>
        <v>500</v>
      </c>
      <c r="D9" s="394">
        <f ca="1">IF(SUM(D2:D5)&lt;D7,D7-SUM(D2:D5)+D8,D8)</f>
        <v>0</v>
      </c>
      <c r="E9" s="473">
        <f ca="1">C13-(C13*0.25+(H7+H8)*25+(H20+H21)*10+FLOOR(IF(H31&gt;0,H31/1000*5,0),1)+(FLOOR(B9*0.25/6,1)+FLOOR(C9*0.5/6,1)+FLOOR(D9/6,1)))</f>
        <v>-15.5</v>
      </c>
      <c r="F9" s="1124" t="str">
        <f>Lang!$A$24</f>
        <v>Machines to sell</v>
      </c>
      <c r="G9" s="1125"/>
      <c r="H9" s="480">
        <v>0</v>
      </c>
      <c r="I9" s="380"/>
      <c r="J9" s="400">
        <f>'52'!U29</f>
        <v>0</v>
      </c>
      <c r="K9" s="401">
        <f>'52'!W29</f>
        <v>0</v>
      </c>
      <c r="L9" s="402">
        <f>'52'!Y29</f>
        <v>0</v>
      </c>
      <c r="N9" s="903">
        <f>IF('52'!U24&lt;'52'!U19,('52'!U19-'52'!U24)/'52'!U19*Config!$H$27,0)</f>
        <v>0</v>
      </c>
      <c r="O9" s="904">
        <f>IF('52'!W24&lt;'52'!W19,('52'!W19-'52'!W24)/'52'!W19*Config!$H$27,0)</f>
        <v>-3.4545398656031671E-2</v>
      </c>
      <c r="P9" s="905">
        <f>IF('52'!Y24&lt;'52'!Y19,('52'!Y19-'52'!Y24)/'52'!Y19*Config!$H$27,0)</f>
        <v>0</v>
      </c>
      <c r="Q9" s="113"/>
      <c r="R9" s="903">
        <f ca="1">($C30+OFFSET(History!$H$45,$B$52,0)*Config!$H2+OFFSET(History!$H$44,$B$52,0)*Config!$H2^2+OFFSET(History!$H$43,$B$52,0)*Config!$H2^3)^Config!$G2-(OFFSET(History!$H$45,$B$52,0)+OFFSET(History!$H$44,$B$52,0)*Config!$H2+OFFSET(History!$H$43,$B$52,0)*Config!$H2^2+OFFSET(History!$H$42,$B$52,0)*Config!$H2^3)^Config!$G2</f>
        <v>9.6646110769941673E-2</v>
      </c>
      <c r="S9" s="904">
        <f ca="1">($C30+OFFSET(History!$H$45,$B$52,0)*Config!$H2+OFFSET(History!$H$44,$B$52,0)*Config!$H2^2+OFFSET(History!$H$43,$B$52,0)*Config!$H2^3)^Config!$G2-(OFFSET(History!$H$45,$B$52,0)+OFFSET(History!$H$44,$B$52,0)*Config!$H2+OFFSET(History!$H$43,$B$52,0)*Config!$H2^2+OFFSET(History!$H$42,$B$52,0)*Config!$H2^3)^Config!$G2</f>
        <v>9.6646110769941673E-2</v>
      </c>
      <c r="T9" s="905">
        <f ca="1">($C30+OFFSET(History!$H$45,$B$52,0)*Config!$H2+OFFSET(History!$H$44,$B$52,0)*Config!$H2^2+OFFSET(History!$H$43,$B$52,0)*Config!$H2^3)^Config!$G2-(OFFSET(History!$H$45,$B$52,0)+OFFSET(History!$H$44,$B$52,0)*Config!$H2+OFFSET(History!$H$43,$B$52,0)*Config!$H2^2+OFFSET(History!$H$42,$B$52,0)*Config!$H2^3)^Config!$G2</f>
        <v>9.6646110769941673E-2</v>
      </c>
      <c r="U9" s="2"/>
      <c r="V9" s="641">
        <f>'22'!$U$19</f>
        <v>0</v>
      </c>
      <c r="W9" s="642">
        <f>'22'!$W$19</f>
        <v>0</v>
      </c>
      <c r="X9" s="643">
        <f>'22'!$Y$19</f>
        <v>0</v>
      </c>
      <c r="Y9" s="1114"/>
      <c r="AH9" s="1082" t="str">
        <f>Lang!$A$25</f>
        <v>Costs per items</v>
      </c>
      <c r="AI9" s="1083"/>
      <c r="AJ9" s="5">
        <f ca="1">AJ13+AJ17+AJ21+AJ25+AJ29+AJ33+AJ37+AJ41+AJ45+AJ49+AJ53+AJ57+AJ61+AJ65+AJ69+AJ73+AJ77+AJ81+AJ85+AJ89+AJ93+AJ97+AJ101</f>
        <v>226156.319730524</v>
      </c>
      <c r="AK9" s="6">
        <f ca="1">AK13+AK17+AK21+AK25+AK29+AK33+AK37+AK41+AK45+AK49+AK53+AK57+AK61+AK65+AK69+AK73+AK77+AK81+AK85+AK89+AK93+AK97+AK101</f>
        <v>29440</v>
      </c>
      <c r="AL9" s="6">
        <f ca="1">AL13+AL17+AL21+AL25+AL29+AL33+AL37+AL41+AL45+AL49+AL53+AL57+AL61+AL65+AL69+AL73+AL77+AL81+AL85+AL89+AL93+AL97+AL101</f>
        <v>18900</v>
      </c>
      <c r="AM9" s="7">
        <f ca="1">AM13+AM17+AM21+AM25+AM29+AM33+AM37+AM41+AM45+AM49+AM53+AM57+AM61+AM65+AM69+AM73+AM77+AM81+AM85+AM89+AM93+AM97+AM101</f>
        <v>11900</v>
      </c>
      <c r="AN9" s="5">
        <f t="shared" ref="AJ9:AQ12" si="4">AN13+AN17+AN21+AN25+AN29+AN33+AN37+AN41+AN45+AN49+AN53+AN57+AN61+AN65+AN69+AN73+AN77+AN81+AN85+AN89+AN93+AN97+AN101</f>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125</v>
      </c>
      <c r="C10" s="398">
        <f ca="1">IF(H39&gt;0,INT(2*G33*H39/1000)+75,0)+(IF(H39&gt;0,INT(2*G33*1.5*H39/1000)+75,0)-IF(H39&gt;0,INT(2*G33*H39/1000)+75,0))*C22</f>
        <v>205</v>
      </c>
      <c r="D10" s="399">
        <f ca="1">IF(H39&gt;0,INT(3*G33*H39/1000)+120,0)+(IF(H39&gt;0,INT(3*G33*1.5*H39/1000)+120,0)-IF(H39&gt;0,INT(3*G33*H39/1000)+120,0))*D22</f>
        <v>324.8</v>
      </c>
      <c r="F10" s="1124" t="str">
        <f>Lang!$A$27</f>
        <v>Efficiency, %</v>
      </c>
      <c r="G10" s="1125"/>
      <c r="H10" s="922">
        <f>IF(D1=2,IF('62'!G$27=0,(I10*'52'!G19+1*'52'!G20)/'52'!G21,'62'!G$27/100),I10)</f>
        <v>0.92784570312499992</v>
      </c>
      <c r="I10" s="923">
        <f>(INDEX(Config!$AH$2:$ED$52,101-ROUND('52'!G27,0),ROUND(IF(I11&gt;100,100,I11),0)+1)/100)</f>
        <v>0.92784570312499992</v>
      </c>
      <c r="J10" s="8"/>
      <c r="K10" s="8"/>
      <c r="L10" s="8"/>
      <c r="N10" s="113"/>
      <c r="O10" s="113"/>
      <c r="P10" s="113"/>
      <c r="Q10" s="113"/>
      <c r="R10" s="113"/>
      <c r="S10" s="113"/>
      <c r="T10" s="113"/>
      <c r="U10" s="2"/>
      <c r="V10" s="2"/>
      <c r="W10" s="8"/>
      <c r="AH10" s="1084"/>
      <c r="AI10" s="1085"/>
      <c r="AJ10" s="5">
        <f t="shared" si="4"/>
        <v>30000</v>
      </c>
      <c r="AK10" s="6">
        <f t="shared" si="4"/>
        <v>6000</v>
      </c>
      <c r="AL10" s="6">
        <f t="shared" si="4"/>
        <v>5000</v>
      </c>
      <c r="AM10" s="7">
        <f t="shared" si="4"/>
        <v>10000</v>
      </c>
      <c r="AN10" s="5">
        <f t="shared" ca="1" si="4"/>
        <v>20800</v>
      </c>
      <c r="AO10" s="6">
        <f t="shared" ref="AO10:AQ12" ca="1" si="5">AO14+AO18+AO22+AO26+AO30+AO34+AO38+AO42+AO46+AO50+AO54+AO58+AO62+AO66+AO70+AO74+AO78+AO82+AO86+AO90+AO94+AO98+AO102</f>
        <v>176707.84437637153</v>
      </c>
      <c r="AP10" s="6">
        <f t="shared" ca="1" si="5"/>
        <v>217817.15115243616</v>
      </c>
      <c r="AQ10" s="7">
        <f t="shared" ca="1" si="5"/>
        <v>208880.63723693398</v>
      </c>
    </row>
    <row r="11" spans="1:43" ht="12.9" customHeight="1" x14ac:dyDescent="0.25">
      <c r="A11" s="13" t="str">
        <f>Lang!$A$28</f>
        <v>Price production</v>
      </c>
      <c r="B11" s="398">
        <f ca="1">((SUM(AO82:AO84)+SUM(AO90:AO92)+SUM(AO94:AO96))+($AJ53+$AJ93+$AJ97)/$AN5*SUM(AO6:AO8))/SUM(B2:B5)</f>
        <v>143.35866429074557</v>
      </c>
      <c r="C11" s="398">
        <f ca="1">((SUM(AP82:AP84)+SUM(AP90:AP92)+SUM(AP94:AP96))+($AJ53+$AJ93+$AJ97)/$AN5*SUM(AP6:AP8))/SUM(C2:C5)</f>
        <v>230.50532001902658</v>
      </c>
      <c r="D11" s="399">
        <f ca="1">((SUM(AQ82:AQ84)+SUM(AQ90:AQ92)+SUM(AQ94:AQ96))+($AJ53+$AJ93+$AJ97)/$AN5*SUM(AQ6:AQ8))/SUM(D2:D5)</f>
        <v>365.28402539292551</v>
      </c>
      <c r="F11" s="1124" t="str">
        <f>Lang!$A$29</f>
        <v>Shift level</v>
      </c>
      <c r="G11" s="1125"/>
      <c r="H11" s="458">
        <v>2</v>
      </c>
      <c r="I11" s="481">
        <f>'51'!P20/'51'!W20/('52'!G$25/'52'!G$23*IF('51'!W20=1,1.37,1.27))</f>
        <v>8.7257575293360716</v>
      </c>
      <c r="J11" s="1078" t="str">
        <f>Lang!$A$30</f>
        <v>Orders next quarter</v>
      </c>
      <c r="K11" s="1079"/>
      <c r="L11" s="1088"/>
      <c r="N11" s="1128" t="str">
        <f>Lang!$A$31</f>
        <v>Seasonality</v>
      </c>
      <c r="O11" s="1129"/>
      <c r="P11" s="1130"/>
      <c r="Q11" s="113"/>
      <c r="R11" s="1100" t="str">
        <f>Lang!$A$32</f>
        <v>A&amp;D - recruit</v>
      </c>
      <c r="S11" s="1101"/>
      <c r="T11" s="1102"/>
      <c r="U11" s="2"/>
      <c r="V11" s="1131" t="str">
        <f>IF(X11=4,"Taxes","")</f>
        <v>Taxes</v>
      </c>
      <c r="W11" s="1132"/>
      <c r="X11" s="634">
        <f>IF(X6=4,1,X6+1)</f>
        <v>4</v>
      </c>
      <c r="Y11" s="1114">
        <f>SUM(V12:X14)</f>
        <v>2576</v>
      </c>
      <c r="AH11" s="1084"/>
      <c r="AI11" s="1085"/>
      <c r="AJ11" s="5">
        <f t="shared" si="4"/>
        <v>11000</v>
      </c>
      <c r="AK11" s="6">
        <f t="shared" si="4"/>
        <v>6000</v>
      </c>
      <c r="AL11" s="6">
        <f t="shared" si="4"/>
        <v>5000</v>
      </c>
      <c r="AM11" s="7">
        <f t="shared" si="4"/>
        <v>5000</v>
      </c>
      <c r="AN11" s="5">
        <f t="shared" ca="1" si="4"/>
        <v>18600</v>
      </c>
      <c r="AO11" s="6">
        <f t="shared" ca="1" si="5"/>
        <v>31242.535637424069</v>
      </c>
      <c r="AP11" s="6">
        <f t="shared" ca="1" si="5"/>
        <v>60157.778441997711</v>
      </c>
      <c r="AQ11" s="7">
        <f t="shared" ca="1" si="5"/>
        <v>52505.399587838234</v>
      </c>
    </row>
    <row r="12" spans="1:43" ht="12.9" customHeight="1" thickBot="1" x14ac:dyDescent="0.3">
      <c r="A12" s="632" t="str">
        <f>Lang!$A$33</f>
        <v>CO2</v>
      </c>
      <c r="B12" s="633" t="str">
        <f>Lang!$A$34</f>
        <v>Available space</v>
      </c>
      <c r="C12" s="633" t="str">
        <f>Lang!$A$35</f>
        <v>Factory</v>
      </c>
      <c r="D12" s="493" t="str">
        <f>Lang!$A$36</f>
        <v>Space</v>
      </c>
      <c r="F12" s="1135" t="str">
        <f>Lang!$A$37</f>
        <v>Maintenance hours</v>
      </c>
      <c r="G12" s="1136"/>
      <c r="H12" s="396">
        <v>20</v>
      </c>
      <c r="I12" s="481">
        <f ca="1">H12/H11/(H2/H3*IF(H11=1,1.37,1.27))</f>
        <v>6.6039791970641426</v>
      </c>
      <c r="J12" s="385">
        <f ca="1">'52'!U17*(1+N2+IF($T$46=1,R47,0))</f>
        <v>971.3226332213427</v>
      </c>
      <c r="K12" s="386">
        <f ca="1">'52'!W17*(1+O2+IF($T$46=1,S47,0))</f>
        <v>661.53221404261751</v>
      </c>
      <c r="L12" s="387">
        <f ca="1">'52'!Y17*(1+P2+IF($T$46=1,T47,0))</f>
        <v>396.58689702641044</v>
      </c>
      <c r="N12" s="900">
        <f ca="1">IF(ISNUMBER(OFFSET(Config!G30,($B$52-1)*3,)),OFFSET(Config!G30,($B$52-1)*3,),IF(OFFSET(V7,($B$52-1)*5,)&gt;0,OFFSET(V7,($B$52-1)*5,)/OFFSET(V2,($B$52-1)*5,)-1,0))</f>
        <v>4.4025086303533502E-2</v>
      </c>
      <c r="O12" s="901">
        <f ca="1">IF(ISNUMBER(OFFSET(Config!H30,($B$52-1)*3,)),OFFSET(Config!H30,($B$52-1)*3,),IF(OFFSET(W7,($B$52-1)*5,)&gt;0,OFFSET(W7,($B$52-1)*5,)/OFFSET(W2,($B$52-1)*5,)-1,0))</f>
        <v>4.4025086303533502E-2</v>
      </c>
      <c r="P12" s="902">
        <f ca="1">IF(ISNUMBER(OFFSET(Config!I30,($B$52-1)*3,)),OFFSET(Config!I30,($B$52-1)*3,),IF(OFFSET(X7,($B$52-1)*5,)&gt;0,OFFSET(X7,($B$52-1)*5,)/OFFSET(X2,($B$52-1)*5,)-1,0))</f>
        <v>4.4025086303533502E-2</v>
      </c>
      <c r="Q12" s="113"/>
      <c r="R12" s="900">
        <f ca="1">($E28+OFFSET(History!$A$45,$B$52,0)*Config!$H5+OFFSET(History!$A$44,$B$52,0)*Config!$H5^2+OFFSET(History!$A$43,$B$52,0)*Config!$H5^3)^Config!$G5-(OFFSET(History!$A$45,$B$52,0)+OFFSET(History!$A$44,$B$52,0)*Config!$H5+OFFSET(History!$A$43,$B$52,0)*Config!$H5^2+OFFSET(History!$A$42,$B$52,0)*Config!$H5^3)^Config!$G5</f>
        <v>0.14666528929878164</v>
      </c>
      <c r="S12" s="901">
        <f ca="1">($E28+OFFSET(History!$A$45,$B$52,0)*Config!$H5+OFFSET(History!$A$44,$B$52,0)*Config!$H5^2+OFFSET(History!$A$43,$B$52,0)*Config!$H5^3)^Config!$G5-(OFFSET(History!$A$45,$B$52,0)+OFFSET(History!$A$44,$B$52,0)*Config!$H5+OFFSET(History!$A$43,$B$52,0)*Config!$H5^2+OFFSET(History!$A$42,$B$52,0)*Config!$H5^3)^Config!$G5</f>
        <v>0.14666528929878164</v>
      </c>
      <c r="T12" s="902">
        <f ca="1">($E28+OFFSET(History!$A$45,$B$52,0)*Config!$H5+OFFSET(History!$A$44,$B$52,0)*Config!$H5^2+OFFSET(History!$A$43,$B$52,0)*Config!$H5^3)^Config!$G5-(OFFSET(History!$A$45,$B$52,0)+OFFSET(History!$A$44,$B$52,0)*Config!$H5+OFFSET(History!$A$43,$B$52,0)*Config!$H5^2+OFFSET(History!$A$42,$B$52,0)*Config!$H5^3)^Config!$G5</f>
        <v>0.14666528929878164</v>
      </c>
      <c r="U12" s="2"/>
      <c r="V12" s="638">
        <f>'32'!$U$17</f>
        <v>1367</v>
      </c>
      <c r="W12" s="639">
        <f>'32'!$W$17</f>
        <v>772</v>
      </c>
      <c r="X12" s="640">
        <f>'32'!$Y$17</f>
        <v>437</v>
      </c>
      <c r="Y12" s="1114"/>
      <c r="AH12" s="1086"/>
      <c r="AI12" s="1087"/>
      <c r="AJ12" s="9">
        <f t="shared" si="4"/>
        <v>47000</v>
      </c>
      <c r="AK12" s="10">
        <f t="shared" si="4"/>
        <v>6000</v>
      </c>
      <c r="AL12" s="10">
        <f t="shared" si="4"/>
        <v>5000</v>
      </c>
      <c r="AM12" s="11">
        <f t="shared" si="4"/>
        <v>5000</v>
      </c>
      <c r="AN12" s="9">
        <f t="shared" ca="1" si="4"/>
        <v>2600</v>
      </c>
      <c r="AO12" s="10">
        <f t="shared" ca="1" si="5"/>
        <v>106142.96189985434</v>
      </c>
      <c r="AP12" s="10">
        <f t="shared" ca="1" si="5"/>
        <v>115768.97107386803</v>
      </c>
      <c r="AQ12" s="11">
        <f t="shared" ca="1" si="5"/>
        <v>102018.31442532163</v>
      </c>
    </row>
    <row r="13" spans="1:43" ht="12.9" customHeight="1" thickBot="1" x14ac:dyDescent="0.3">
      <c r="A13" s="525">
        <f ca="1">0.00019*50*C13+0.00052*(6*H2+H15)</f>
        <v>26.679519401664336</v>
      </c>
      <c r="B13" s="505">
        <f>'52'!G7-'52'!G8-'52'!G10-D13</f>
        <v>250</v>
      </c>
      <c r="C13" s="401">
        <f>'52'!G10+D13</f>
        <v>550</v>
      </c>
      <c r="D13" s="396">
        <v>50</v>
      </c>
      <c r="E13" s="473">
        <f ca="1">C13-(C13*0.25+(H7+H8)*25+(H20+H21+H22)*10+FLOOR(IF(H31&gt;0,H31/1000*5,0),1))</f>
        <v>45.5</v>
      </c>
      <c r="J13" s="385">
        <f ca="1">'52'!U18*(1+N3+IF($T$46=1,R48,0))</f>
        <v>150.02301529184885</v>
      </c>
      <c r="K13" s="386">
        <f ca="1">'52'!W18*(1+O3+IF($T$46=1,S48,0))</f>
        <v>149.68577497644108</v>
      </c>
      <c r="L13" s="387">
        <f ca="1">'52'!Y18*(1+P3+IF($T$46=1,T48,0))</f>
        <v>76.187197205273748</v>
      </c>
      <c r="M13" s="32"/>
      <c r="N13" s="900">
        <f ca="1">IF(ISNUMBER(OFFSET(Config!G31,($B$52-1)*3,)),OFFSET(Config!G31,($B$52-1)*3,),IF(OFFSET(V8,($B$52-1)*5,)&gt;0,OFFSET(V8,($B$52-1)*5,)/OFFSET(V3,($B$52-1)*5,)-1,0))</f>
        <v>3.9759465023868311E-2</v>
      </c>
      <c r="O13" s="901">
        <f ca="1">IF(ISNUMBER(OFFSET(Config!H31,($B$52-1)*3,)),OFFSET(Config!H31,($B$52-1)*3,),IF(OFFSET(W8,($B$52-1)*5,)&gt;0,OFFSET(W8,($B$52-1)*5,)/OFFSET(W3,($B$52-1)*5,)-1,0))</f>
        <v>3.9759465023868311E-2</v>
      </c>
      <c r="P13" s="902">
        <f ca="1">IF(ISNUMBER(OFFSET(Config!I31,($B$52-1)*3,)),OFFSET(Config!I31,($B$52-1)*3,),IF(OFFSET(X8,($B$52-1)*5,)&gt;0,OFFSET(X8,($B$52-1)*5,)/OFFSET(X3,($B$52-1)*5,)-1,0))</f>
        <v>3.9759465023868311E-2</v>
      </c>
      <c r="Q13" s="113"/>
      <c r="R13" s="900">
        <f ca="1">($E29+OFFSET(History!$D$45,$B$52,0)*Config!$H6+OFFSET(History!$D$44,$B$52,0)*Config!$H6^2+OFFSET(History!$D$43,$B$52,0)*Config!$H6^3)^Config!$G6-(OFFSET(History!$D$45,$B$52,0)+OFFSET(History!$D$44,$B$52,0)*Config!$H6+OFFSET(History!$D$43,$B$52,0)*Config!$H6^2+OFFSET(History!$D$42,$B$52,0)*Config!$H6^3)^Config!$G6</f>
        <v>0.12696477892250346</v>
      </c>
      <c r="S13" s="901">
        <f ca="1">($E29+OFFSET(History!$D$45,$B$52,0)*Config!$H6+OFFSET(History!$D$44,$B$52,0)*Config!$H6^2+OFFSET(History!$D$43,$B$52,0)*Config!$H6^3)^Config!$G6-(OFFSET(History!$D$45,$B$52,0)+OFFSET(History!$D$44,$B$52,0)*Config!$H6+OFFSET(History!$D$43,$B$52,0)*Config!$H6^2+OFFSET(History!$D$42,$B$52,0)*Config!$H6^3)^Config!$G6</f>
        <v>0.12696477892250346</v>
      </c>
      <c r="T13" s="902">
        <f ca="1">($E29+OFFSET(History!$D$45,$B$52,0)*Config!$H6+OFFSET(History!$D$44,$B$52,0)*Config!$H6^2+OFFSET(History!$D$43,$B$52,0)*Config!$H6^3)^Config!$G6-(OFFSET(History!$D$45,$B$52,0)+OFFSET(History!$D$44,$B$52,0)*Config!$H6+OFFSET(History!$D$43,$B$52,0)*Config!$H6^2+OFFSET(History!$D$42,$B$52,0)*Config!$H6^3)^Config!$G6</f>
        <v>0.12696477892250346</v>
      </c>
      <c r="U13" s="2"/>
      <c r="V13" s="638">
        <f>'32'!$U$18</f>
        <v>0</v>
      </c>
      <c r="W13" s="639">
        <f>'32'!$W$18</f>
        <v>0</v>
      </c>
      <c r="X13" s="640">
        <f>'32'!$Y$18</f>
        <v>0</v>
      </c>
      <c r="Y13" s="1114"/>
      <c r="AH13" s="1082" t="str">
        <f>Lang!$A$38</f>
        <v>Advertising</v>
      </c>
      <c r="AI13" s="1083"/>
      <c r="AJ13" s="5"/>
      <c r="AK13" s="6"/>
      <c r="AL13" s="6"/>
      <c r="AM13" s="7"/>
      <c r="AN13" s="5"/>
      <c r="AO13" s="6"/>
      <c r="AP13" s="6"/>
      <c r="AQ13" s="7"/>
    </row>
    <row r="14" spans="1:43" ht="12.9" customHeight="1" thickBot="1" x14ac:dyDescent="0.3">
      <c r="D14" s="2"/>
      <c r="F14" s="1100" t="str">
        <f>Lang!$A$39</f>
        <v>Assembly details</v>
      </c>
      <c r="G14" s="1101"/>
      <c r="H14" s="1102"/>
      <c r="J14" s="388">
        <f ca="1">'52'!U19*(1+N4+IF($T$46=1,R49,0))</f>
        <v>463.40190650406231</v>
      </c>
      <c r="K14" s="389">
        <f ca="1">'52'!W19*(1+O4+IF($T$46=1,S49,0))</f>
        <v>317.67609146403464</v>
      </c>
      <c r="L14" s="390">
        <f ca="1">'52'!Y19*(1+P4+IF($T$46=1,T49,0))</f>
        <v>177.7046685551407</v>
      </c>
      <c r="M14" s="128"/>
      <c r="N14" s="903">
        <f ca="1">IF(ISNUMBER(OFFSET(Config!G32,($B$52-1)*3,)),OFFSET(Config!G32,($B$52-1)*3,),IF(OFFSET(V9,($B$52-1)*5,)&gt;0,OFFSET(V9,($B$52-1)*5,)/OFFSET(V4,($B$52-1)*5,)-1,0))</f>
        <v>-3.2176473226170246E-2</v>
      </c>
      <c r="O14" s="904">
        <f ca="1">IF(ISNUMBER(OFFSET(Config!H32,($B$52-1)*3,)),OFFSET(Config!H32,($B$52-1)*3,),IF(OFFSET(W9,($B$52-1)*5,)&gt;0,OFFSET(W9,($B$52-1)*5,)/OFFSET(W4,($B$52-1)*5,)-1,0))</f>
        <v>-3.2176473226170246E-2</v>
      </c>
      <c r="P14" s="905">
        <f ca="1">IF(ISNUMBER(OFFSET(Config!I32,($B$52-1)*3,)),OFFSET(Config!I32,($B$52-1)*3,),IF(OFFSET(X9,($B$52-1)*5,)&gt;0,OFFSET(X9,($B$52-1)*5,)/OFFSET(X4,($B$52-1)*5,)-1,0))</f>
        <v>-3.2176473226170246E-2</v>
      </c>
      <c r="Q14" s="113"/>
      <c r="R14" s="903"/>
      <c r="S14" s="904"/>
      <c r="T14" s="905"/>
      <c r="U14" s="2"/>
      <c r="V14" s="641">
        <f>'32'!$U$19</f>
        <v>0</v>
      </c>
      <c r="W14" s="642">
        <f>'32'!$W$19</f>
        <v>0</v>
      </c>
      <c r="X14" s="643">
        <f>'32'!$Y$19</f>
        <v>0</v>
      </c>
      <c r="Y14" s="1114"/>
      <c r="AH14" s="1084"/>
      <c r="AI14" s="1085"/>
      <c r="AJ14" s="5">
        <f t="shared" ref="AJ14:AM16" si="6">A38*1000</f>
        <v>15000</v>
      </c>
      <c r="AK14" s="6">
        <f t="shared" si="6"/>
        <v>6000</v>
      </c>
      <c r="AL14" s="6">
        <f t="shared" si="6"/>
        <v>5000</v>
      </c>
      <c r="AM14" s="7">
        <f t="shared" si="6"/>
        <v>10000</v>
      </c>
      <c r="AN14" s="5"/>
      <c r="AO14" s="6"/>
      <c r="AP14" s="6"/>
      <c r="AQ14" s="7"/>
    </row>
    <row r="15" spans="1:43" ht="12.9" customHeight="1" thickBot="1" x14ac:dyDescent="0.3">
      <c r="A15" s="1100" t="str">
        <f>Lang!$A$40</f>
        <v>Quality</v>
      </c>
      <c r="B15" s="1101"/>
      <c r="C15" s="1101"/>
      <c r="D15" s="1102"/>
      <c r="F15" s="1124" t="str">
        <f>Lang!$A$41</f>
        <v>Hours for assembly</v>
      </c>
      <c r="G15" s="1125"/>
      <c r="H15" s="394">
        <f ca="1">(SUM(B2:B5)*B20+SUM(C2:C5)*C20+SUM(D2:D5)*D20)/60</f>
        <v>10697.302995305288</v>
      </c>
      <c r="I15" s="455">
        <f ca="1">(H15+I19)/H18</f>
        <v>1.2194221083112571</v>
      </c>
      <c r="N15" s="113"/>
      <c r="O15" s="113"/>
      <c r="P15" s="113"/>
      <c r="Q15" s="113"/>
      <c r="R15" s="743"/>
      <c r="S15" s="744"/>
      <c r="T15" s="113"/>
      <c r="U15" s="2"/>
      <c r="V15" s="2"/>
      <c r="W15" s="8"/>
      <c r="AH15" s="1084"/>
      <c r="AI15" s="1085"/>
      <c r="AJ15" s="5">
        <f t="shared" si="6"/>
        <v>10000</v>
      </c>
      <c r="AK15" s="6">
        <f t="shared" si="6"/>
        <v>6000</v>
      </c>
      <c r="AL15" s="6">
        <f t="shared" si="6"/>
        <v>5000</v>
      </c>
      <c r="AM15" s="7">
        <f t="shared" si="6"/>
        <v>5000</v>
      </c>
      <c r="AN15" s="5"/>
      <c r="AO15" s="6"/>
      <c r="AP15" s="6"/>
      <c r="AQ15" s="7"/>
    </row>
    <row r="16" spans="1:43" ht="12.9" customHeight="1" thickBot="1" x14ac:dyDescent="0.3">
      <c r="A16" s="13" t="str">
        <f>Lang!$A$42</f>
        <v>Next quarter</v>
      </c>
      <c r="B16" s="494" t="str">
        <f ca="1">TRIM(OFFSET(History!AA7,$B$52-1,))</f>
        <v>Minor</v>
      </c>
      <c r="C16" s="494" t="str">
        <f ca="1">TRIM(OFFSET(History!AA17,$B$52-1,))</f>
        <v>Minor</v>
      </c>
      <c r="D16" s="495" t="str">
        <f ca="1">TRIM(OFFSET(History!AA27,$B$52-1,))</f>
        <v>Minor</v>
      </c>
      <c r="E16" s="483"/>
      <c r="F16" s="1124" t="str">
        <f>Lang!$A$10</f>
        <v>7 days</v>
      </c>
      <c r="G16" s="1125"/>
      <c r="H16" s="454">
        <f>H20*(420+84+72)</f>
        <v>12096</v>
      </c>
      <c r="I16" s="456">
        <f>H16/H18</f>
        <v>1.3714285714285714</v>
      </c>
      <c r="J16" s="1078" t="str">
        <f>Lang!$A$43</f>
        <v>Sales next quarter</v>
      </c>
      <c r="K16" s="1079"/>
      <c r="L16" s="1088"/>
      <c r="N16" s="1128" t="str">
        <f>Lang!$A$44</f>
        <v>Assembly time</v>
      </c>
      <c r="O16" s="1129"/>
      <c r="P16" s="1130"/>
      <c r="Q16" s="113"/>
      <c r="R16" s="1128" t="str">
        <f>Lang!$A$45</f>
        <v>Premium materials</v>
      </c>
      <c r="S16" s="1129"/>
      <c r="T16" s="1130"/>
      <c r="U16" s="2"/>
      <c r="V16" s="1131" t="str">
        <f>IF(X16=4,"Taxes","")</f>
        <v/>
      </c>
      <c r="W16" s="1132"/>
      <c r="X16" s="634">
        <f>IF(X11=4,1,X11+1)</f>
        <v>1</v>
      </c>
      <c r="Y16" s="1114">
        <f>SUM(V17:X19)</f>
        <v>2543</v>
      </c>
      <c r="AH16" s="1086"/>
      <c r="AI16" s="1087"/>
      <c r="AJ16" s="9">
        <f t="shared" si="6"/>
        <v>15000</v>
      </c>
      <c r="AK16" s="10">
        <f t="shared" si="6"/>
        <v>6000</v>
      </c>
      <c r="AL16" s="10">
        <f t="shared" si="6"/>
        <v>5000</v>
      </c>
      <c r="AM16" s="11">
        <f t="shared" si="6"/>
        <v>5000</v>
      </c>
      <c r="AN16" s="9"/>
      <c r="AO16" s="10"/>
      <c r="AP16" s="10"/>
      <c r="AQ16" s="11"/>
    </row>
    <row r="17" spans="1:43" ht="12.9" customHeight="1" x14ac:dyDescent="0.25">
      <c r="A17" s="13" t="str">
        <f>Lang!$A$46</f>
        <v>Previous quarter</v>
      </c>
      <c r="B17" s="494" t="str">
        <f>TRIM('52'!U39)</f>
        <v>Major</v>
      </c>
      <c r="C17" s="494" t="str">
        <f>TRIM('52'!W39)</f>
        <v>Minor</v>
      </c>
      <c r="D17" s="495" t="str">
        <f>TRIM('52'!Y39)</f>
        <v>Minor</v>
      </c>
      <c r="E17" s="457">
        <f ca="1">B18*B10*SUM(J2:J4)+C18*C10*SUM(K2:K4)+D18*D10*SUM(L2:L4)</f>
        <v>0</v>
      </c>
      <c r="F17" s="1133" t="str">
        <f>Lang!$A$12</f>
        <v>6 days</v>
      </c>
      <c r="G17" s="1134"/>
      <c r="H17" s="399">
        <f>H20*(420+84)</f>
        <v>10584</v>
      </c>
      <c r="I17" s="456">
        <f>H17/H18</f>
        <v>1.2</v>
      </c>
      <c r="J17" s="385">
        <f t="shared" ref="J17:L19" ca="1" si="7">J7+J12+IF(J37&lt;0,J37,0)</f>
        <v>971.3226332213427</v>
      </c>
      <c r="K17" s="386">
        <f t="shared" ca="1" si="7"/>
        <v>683.53221404261751</v>
      </c>
      <c r="L17" s="387">
        <f t="shared" ca="1" si="7"/>
        <v>402.58689702641044</v>
      </c>
      <c r="N17" s="900">
        <f ca="1">((OFFSET(History!G$19,$B$52,0)/1-100+1)^Config!J17-(OFFSET(History!G$18,$B$52,0)/1-100+1)^Config!J17)*(100-Config!M27)/(100-Config!M27)</f>
        <v>0</v>
      </c>
      <c r="O17" s="901">
        <f ca="1">((OFFSET(History!H$19,$B$52,0)/1.5-100+1)^Config!K17-(OFFSET(History!H$18,$B$52,0)/1.5-100+1)^Config!K17)*(100-Config!N27)/(100-Config!N27)</f>
        <v>0</v>
      </c>
      <c r="P17" s="902">
        <f ca="1">((OFFSET(History!I$19,$B$52,0)/3-100+1)^Config!L17-(OFFSET(History!I$18,$B$52,0)/3-100+1)^Config!L17)*(100-Config!O27)/(100-Config!O27)</f>
        <v>0</v>
      </c>
      <c r="Q17" s="113"/>
      <c r="R17" s="900">
        <f ca="1">((B$22*100)-OFFSET(History!N$19,$B$52,0))*(Config!J2+(Config!M27-Config!M27)*Config!M2)</f>
        <v>0</v>
      </c>
      <c r="S17" s="901">
        <f ca="1">((C$22*100)-OFFSET(History!O$19,$B$52,0))*(Config!K2+(Config!N27-Config!N27)*Config!N2)</f>
        <v>0</v>
      </c>
      <c r="T17" s="902">
        <f ca="1">((D$22*100)-OFFSET(History!P$19,$B$52,0))*(Config!L2+(Config!O27-Config!O27)*Config!O2)</f>
        <v>6.7038311406304113E-3</v>
      </c>
      <c r="U17" s="2"/>
      <c r="V17" s="638">
        <f>'42'!$U$17</f>
        <v>1112</v>
      </c>
      <c r="W17" s="639">
        <f>'42'!$W$17</f>
        <v>686</v>
      </c>
      <c r="X17" s="640">
        <f>'42'!$Y$17</f>
        <v>381</v>
      </c>
      <c r="Y17" s="1114"/>
      <c r="AH17" s="1082" t="str">
        <f>Lang!$A$47</f>
        <v>Internet distributor</v>
      </c>
      <c r="AI17" s="1083"/>
      <c r="AJ17" s="5"/>
      <c r="AK17" s="6"/>
      <c r="AL17" s="6"/>
      <c r="AM17" s="7"/>
      <c r="AN17" s="5"/>
      <c r="AO17" s="6"/>
      <c r="AP17" s="6"/>
      <c r="AQ17" s="7"/>
    </row>
    <row r="18" spans="1:43" ht="12.9" customHeight="1" x14ac:dyDescent="0.25">
      <c r="A18" s="1137" t="str">
        <f>Lang!$A$48</f>
        <v>R&amp;D</v>
      </c>
      <c r="B18" s="488">
        <v>0</v>
      </c>
      <c r="C18" s="488">
        <v>0</v>
      </c>
      <c r="D18" s="489">
        <v>0</v>
      </c>
      <c r="E18" s="457">
        <f>B18*(J2*J42+J3*J43+J4*J44)+C18*(K2*K42+K3*K43+K4*K44)+D18*(L2*L42+L3*L43+L4*L44)</f>
        <v>0</v>
      </c>
      <c r="F18" s="1133" t="str">
        <f>Lang!$A$14</f>
        <v>5 days</v>
      </c>
      <c r="G18" s="1134"/>
      <c r="H18" s="399">
        <f>H20*420</f>
        <v>8820</v>
      </c>
      <c r="I18" s="456">
        <v>1</v>
      </c>
      <c r="J18" s="385">
        <f t="shared" ca="1" si="7"/>
        <v>150.02301529184885</v>
      </c>
      <c r="K18" s="386">
        <f t="shared" ca="1" si="7"/>
        <v>149.68577497644108</v>
      </c>
      <c r="L18" s="387">
        <f t="shared" ca="1" si="7"/>
        <v>76.187197205273748</v>
      </c>
      <c r="N18" s="900">
        <f ca="1">((OFFSET(History!G$19,$B$52,0)/1-100+1)^Config!J18-(OFFSET(History!G$18,$B$52,0)/1-100+1)^Config!J18)*(100-Config!M28)/(100-Config!M28)</f>
        <v>0</v>
      </c>
      <c r="O18" s="901">
        <f ca="1">((OFFSET(History!H$19,$B$52,0)/1.5-100+1)^Config!K18-(OFFSET(History!H$18,$B$52,0)/1.5-100+1)^Config!K18)*(100-Config!N28)/(100-Config!N28)</f>
        <v>0</v>
      </c>
      <c r="P18" s="902">
        <f ca="1">((OFFSET(History!I$19,$B$52,0)/3-100+1)^Config!L18-(OFFSET(History!I$18,$B$52,0)/3-100+1)^Config!L18)*(100-Config!O28)/(100-Config!O28)</f>
        <v>0</v>
      </c>
      <c r="Q18" s="113"/>
      <c r="R18" s="900">
        <f ca="1">((B$22*100)-OFFSET(History!N$19,$B$52,0))*(Config!J3+(Config!M28-Config!M28)*Config!M3)</f>
        <v>0</v>
      </c>
      <c r="S18" s="901">
        <f ca="1">((C$22*100)-OFFSET(History!O$19,$B$52,0))*(Config!K3+(Config!N28-Config!N28)*Config!N3)</f>
        <v>0</v>
      </c>
      <c r="T18" s="902">
        <f ca="1">((D$22*100)-OFFSET(History!P$19,$B$52,0))*(Config!L3+(Config!O28-Config!O28)*Config!O3)</f>
        <v>1.194854148556021E-2</v>
      </c>
      <c r="U18" s="2"/>
      <c r="V18" s="638">
        <f>'42'!$U$18</f>
        <v>172</v>
      </c>
      <c r="W18" s="639">
        <f>'42'!$W$18</f>
        <v>123</v>
      </c>
      <c r="X18" s="640">
        <f>'42'!$Y$18</f>
        <v>69</v>
      </c>
      <c r="Y18" s="1114"/>
      <c r="AH18" s="1084"/>
      <c r="AI18" s="1085"/>
      <c r="AJ18" s="5"/>
      <c r="AK18" s="6"/>
      <c r="AL18" s="6"/>
      <c r="AM18" s="7"/>
      <c r="AN18" s="5"/>
      <c r="AO18" s="6"/>
      <c r="AP18" s="6"/>
      <c r="AQ18" s="7"/>
    </row>
    <row r="19" spans="1:43" ht="12.9" customHeight="1" thickBot="1" x14ac:dyDescent="0.3">
      <c r="A19" s="1138"/>
      <c r="B19" s="700">
        <f ca="1">IF($D$1=2,OFFSET(History!$T$6,$B$52,0),OFFSET(Config!$B$27,$B$52,0))</f>
        <v>28</v>
      </c>
      <c r="C19" s="700">
        <f ca="1">IF($D$1=2,OFFSET(History!$T$16,$B$52,0),OFFSET(Config!$B$32,$B$52,0))</f>
        <v>18</v>
      </c>
      <c r="D19" s="477">
        <f ca="1">IF($D$1=2,OFFSET(History!$T$26,$B$52,0),OFFSET(Config!$B$37,$B$52,0))</f>
        <v>11</v>
      </c>
      <c r="E19" s="457">
        <f ca="1">E17-E18</f>
        <v>0</v>
      </c>
      <c r="F19" s="1124" t="str">
        <f>Lang!$A$49</f>
        <v>Weeks of strike</v>
      </c>
      <c r="G19" s="1125"/>
      <c r="H19" s="454">
        <f>'52'!O20</f>
        <v>0</v>
      </c>
      <c r="I19" s="457">
        <f ca="1">H19*48*H20+AVERAGE(OFFSET(History!E16:E19,$B52,))</f>
        <v>58</v>
      </c>
      <c r="J19" s="388">
        <f t="shared" ca="1" si="7"/>
        <v>463.40190650406231</v>
      </c>
      <c r="K19" s="389">
        <f t="shared" ca="1" si="7"/>
        <v>317.67609146403464</v>
      </c>
      <c r="L19" s="390">
        <f t="shared" ca="1" si="7"/>
        <v>177.7046685551407</v>
      </c>
      <c r="N19" s="903">
        <f ca="1">((OFFSET(History!G$19,$B$52,0)/1-100+1)^Config!J19-(OFFSET(History!G$18,$B$52,0)/1-100+1)^Config!J19)*(100-Config!M29)/(100-Config!M29)</f>
        <v>0</v>
      </c>
      <c r="O19" s="904">
        <f ca="1">((OFFSET(History!H$19,$B$52,0)/1.5-100+1)^Config!K19-(OFFSET(History!H$18,$B$52,0)/1.5-100+1)^Config!K19)*(100-Config!N29)/(100-Config!N29)</f>
        <v>0</v>
      </c>
      <c r="P19" s="905">
        <f ca="1">((OFFSET(History!I$19,$B$52,0)/3-100+1)^Config!L19-(OFFSET(History!I$18,$B$52,0)/3-100+1)^Config!L19)*(100-Config!O29)/(100-Config!O29)</f>
        <v>0</v>
      </c>
      <c r="Q19" s="113"/>
      <c r="R19" s="903">
        <f ca="1">((B$22*100)-OFFSET(History!N$19,$B$52,0))*(Config!J4+(Config!M29-Config!M29)*Config!M4)</f>
        <v>0</v>
      </c>
      <c r="S19" s="904">
        <f ca="1">((C$22*100)-OFFSET(History!O$19,$B$52,0))*(Config!K4+(Config!N29-Config!N29)*Config!N4)</f>
        <v>0</v>
      </c>
      <c r="T19" s="905">
        <f ca="1">((D$22*100)-OFFSET(History!P$19,$B$52,0))*(Config!L4+(Config!O29-Config!O29)*Config!O4)</f>
        <v>7.954701404277573E-3</v>
      </c>
      <c r="U19" s="2"/>
      <c r="V19" s="641">
        <f>'42'!$U$19</f>
        <v>0</v>
      </c>
      <c r="W19" s="642">
        <f>'42'!$W$19</f>
        <v>0</v>
      </c>
      <c r="X19" s="643">
        <f>'42'!$Y$19</f>
        <v>0</v>
      </c>
      <c r="Y19" s="1114"/>
      <c r="AH19" s="1084"/>
      <c r="AI19" s="1085"/>
      <c r="AJ19" s="5"/>
      <c r="AK19" s="6"/>
      <c r="AL19" s="6"/>
      <c r="AM19" s="7"/>
      <c r="AN19" s="5"/>
      <c r="AO19" s="6"/>
      <c r="AP19" s="6"/>
      <c r="AQ19" s="7"/>
    </row>
    <row r="20" spans="1:43" ht="12.9" customHeight="1" thickBot="1" x14ac:dyDescent="0.3">
      <c r="A20" s="539" t="str">
        <f>Lang!$A$44</f>
        <v>Assembly time</v>
      </c>
      <c r="B20" s="565">
        <v>115</v>
      </c>
      <c r="C20" s="565">
        <v>165</v>
      </c>
      <c r="D20" s="566">
        <v>325</v>
      </c>
      <c r="E20" s="615">
        <f>Config!A43</f>
        <v>1</v>
      </c>
      <c r="F20" s="1124" t="str">
        <f>Lang!$A$50</f>
        <v>Workers next quarter</v>
      </c>
      <c r="G20" s="1125"/>
      <c r="H20" s="474">
        <f>'52'!N12</f>
        <v>21</v>
      </c>
      <c r="I20" s="472">
        <f>(H20+H21)*0.055</f>
        <v>1.32</v>
      </c>
      <c r="N20" s="113"/>
      <c r="O20" s="113"/>
      <c r="P20" s="113"/>
      <c r="Q20" s="113"/>
      <c r="R20" s="113"/>
      <c r="S20" s="113"/>
      <c r="T20" s="113"/>
      <c r="U20" s="2"/>
      <c r="V20" s="2"/>
      <c r="W20" s="8"/>
      <c r="AH20" s="1086"/>
      <c r="AI20" s="1087"/>
      <c r="AJ20" s="9">
        <f>C30*1000</f>
        <v>10000</v>
      </c>
      <c r="AK20" s="10"/>
      <c r="AL20" s="10"/>
      <c r="AM20" s="11"/>
      <c r="AN20" s="9"/>
      <c r="AO20" s="10">
        <f ca="1">(J19*J44)*$D$30</f>
        <v>12326.490713008059</v>
      </c>
      <c r="AP20" s="10">
        <f ca="1">(K19*K44)*$D$30</f>
        <v>13120.022577464631</v>
      </c>
      <c r="AQ20" s="11">
        <f ca="1">(L19*L44)*$D$30</f>
        <v>10573.427779030872</v>
      </c>
    </row>
    <row r="21" spans="1:43" ht="12.9" customHeight="1" x14ac:dyDescent="0.25">
      <c r="A21" s="699">
        <v>1.1000000000000001</v>
      </c>
      <c r="B21" s="700">
        <f>100*A21</f>
        <v>110.00000000000001</v>
      </c>
      <c r="C21" s="702">
        <f>150*A21</f>
        <v>165</v>
      </c>
      <c r="D21" s="477">
        <f>300*A21</f>
        <v>330</v>
      </c>
      <c r="E21" s="615">
        <f>Config!B43</f>
        <v>0</v>
      </c>
      <c r="F21" s="1124" t="str">
        <f>Lang!$A$51</f>
        <v>Recruit workers</v>
      </c>
      <c r="G21" s="1125"/>
      <c r="H21" s="458">
        <v>3</v>
      </c>
      <c r="I21" s="472">
        <f ca="1">ROUNDUP((H20+H21)*AVERAGE(OFFSET(History!C15:C19,B52,)),0)</f>
        <v>0</v>
      </c>
      <c r="J21" s="1078" t="str">
        <f>Lang!$A$52</f>
        <v>Production plan next quarter</v>
      </c>
      <c r="K21" s="1079"/>
      <c r="L21" s="1088"/>
      <c r="N21" s="1128" t="str">
        <f>Lang!$A$48</f>
        <v>R&amp;D</v>
      </c>
      <c r="O21" s="1129"/>
      <c r="P21" s="1130"/>
      <c r="Q21" s="113"/>
      <c r="R21" s="1116" t="str">
        <f>Lang!$A$53</f>
        <v>Training</v>
      </c>
      <c r="S21" s="1117"/>
      <c r="T21" s="1118"/>
      <c r="U21" s="2"/>
      <c r="V21" s="1131" t="str">
        <f>IF(X21=4,"Taxes","")</f>
        <v/>
      </c>
      <c r="W21" s="1132"/>
      <c r="X21" s="634">
        <f>IF(X16=4,1,X16+1)</f>
        <v>2</v>
      </c>
      <c r="Y21" s="1114">
        <f>SUM(V22:X24)</f>
        <v>2892</v>
      </c>
      <c r="AH21" s="1082" t="str">
        <f>Lang!$A$54</f>
        <v>Internet service provider</v>
      </c>
      <c r="AI21" s="1083"/>
      <c r="AJ21" s="5"/>
      <c r="AK21" s="6"/>
      <c r="AL21" s="6"/>
      <c r="AM21" s="7"/>
      <c r="AN21" s="5"/>
      <c r="AO21" s="6"/>
      <c r="AP21" s="6"/>
      <c r="AQ21" s="7"/>
    </row>
    <row r="22" spans="1:43" ht="12.9" customHeight="1" x14ac:dyDescent="0.25">
      <c r="A22" s="4" t="str">
        <f>Lang!$A$45</f>
        <v>Premium materials</v>
      </c>
      <c r="B22" s="490">
        <v>0</v>
      </c>
      <c r="C22" s="490">
        <v>0</v>
      </c>
      <c r="D22" s="475">
        <v>0.1</v>
      </c>
      <c r="E22" s="615">
        <f>Config!C43</f>
        <v>0</v>
      </c>
      <c r="F22" s="1124" t="str">
        <f>Lang!$A$55</f>
        <v>Train workers</v>
      </c>
      <c r="G22" s="1125"/>
      <c r="H22" s="458">
        <v>0</v>
      </c>
      <c r="I22" s="112"/>
      <c r="J22" s="385">
        <f t="shared" ref="J22:L23" ca="1" si="8">J7+J12+J27-J2*(1-B$18)</f>
        <v>871.74908588576955</v>
      </c>
      <c r="K22" s="386">
        <f t="shared" ca="1" si="8"/>
        <v>696.76285832346991</v>
      </c>
      <c r="L22" s="387">
        <f t="shared" ca="1" si="8"/>
        <v>410.51863496693863</v>
      </c>
      <c r="M22" s="446">
        <f ca="1">J22/500+K22/250+L22/125</f>
        <v>7.8146986848009279</v>
      </c>
      <c r="N22" s="900">
        <f ca="1">((B$23*20+60)-OFFSET(History!$W$6,$B$52-1,))*(Config!J7+(Config!M27-Config!M27)*Config!M7)</f>
        <v>7.2714547270456044E-3</v>
      </c>
      <c r="O22" s="901">
        <f ca="1">((C$23*20+60)-OFFSET(History!$W$16,$B$52-1,))*(Config!K7+(Config!N27-Config!N27)*Config!N7)</f>
        <v>0</v>
      </c>
      <c r="P22" s="902">
        <f ca="1">((D$23*20+60)-OFFSET(History!$W$26,$B$52-1,))*(Config!L7+(Config!O27-Config!O27)*Config!O7)</f>
        <v>4.9076024195021072E-3</v>
      </c>
      <c r="Q22" s="113"/>
      <c r="R22" s="900">
        <f ca="1">($H$23+OFFSET(History!$P$32,$B$52,0)*Config!$H$22+OFFSET(History!$P$31,$B$52,0)*Config!$H$22^2+OFFSET(History!$P$30,$B$52,0)*Config!$H$22^3+1)^Config!$G$22-(OFFSET(History!$P$32,$B$52,0)+OFFSET(History!$P$31,$B$52,0)*Config!$H$22+OFFSET(History!$P$30,$B$52,0)*Config!$H$22^2+OFFSET(History!$P$29,$B$52,0)*Config!$H$22^3+1)^Config!$G$22</f>
        <v>1.179880672143141E-2</v>
      </c>
      <c r="S22" s="901">
        <f ca="1">($H$23+OFFSET(History!$P$32,$B$52,0)*Config!$H$22+OFFSET(History!$P$31,$B$52,0)*Config!$H$22^2+OFFSET(History!$P$30,$B$52,0)*Config!$H$22^3+1)^Config!$G$22-(OFFSET(History!$P$32,$B$52,0)+OFFSET(History!$P$31,$B$52,0)*Config!$H$22+OFFSET(History!$P$30,$B$52,0)*Config!$H$22^2+OFFSET(History!$P$29,$B$52,0)*Config!$H$22^3+1)^Config!$G$22</f>
        <v>1.179880672143141E-2</v>
      </c>
      <c r="T22" s="902">
        <f ca="1">($H$23+OFFSET(History!$P$32,$B$52,0)*Config!$H$22+OFFSET(History!$P$31,$B$52,0)*Config!$H$22^2+OFFSET(History!$P$30,$B$52,0)*Config!$H$22^3+1)^Config!$G$22-(OFFSET(History!$P$32,$B$52,0)+OFFSET(History!$P$31,$B$52,0)*Config!$H$22+OFFSET(History!$P$30,$B$52,0)*Config!$H$22^2+OFFSET(History!$P$29,$B$52,0)*Config!$H$22^3+1)^Config!$G$22</f>
        <v>1.179880672143141E-2</v>
      </c>
      <c r="U22" s="2"/>
      <c r="V22" s="638">
        <f>'52'!$U$17</f>
        <v>1016</v>
      </c>
      <c r="W22" s="639">
        <f>'52'!$W$17</f>
        <v>670</v>
      </c>
      <c r="X22" s="640">
        <f>'52'!$Y$17</f>
        <v>396</v>
      </c>
      <c r="Y22" s="1114"/>
      <c r="AH22" s="1084"/>
      <c r="AI22" s="1085"/>
      <c r="AJ22" s="5"/>
      <c r="AK22" s="6"/>
      <c r="AL22" s="6"/>
      <c r="AM22" s="7"/>
      <c r="AN22" s="5"/>
      <c r="AO22" s="6"/>
      <c r="AP22" s="6"/>
      <c r="AQ22" s="7"/>
    </row>
    <row r="23" spans="1:43" ht="12.9" customHeight="1" x14ac:dyDescent="0.25">
      <c r="A23" s="539" t="str">
        <f>Lang!$A$48</f>
        <v>R&amp;D</v>
      </c>
      <c r="B23" s="491">
        <f ca="1">(OFFSET(History!W6,$B$52-1,)+E23+INDEX(Config!$M59:$O258,(OFFSET(History!W6,$B$52-1,)+E23)-60,2)-60)/20</f>
        <v>1.7</v>
      </c>
      <c r="C23" s="491">
        <f ca="1">(OFFSET(History!W16,$B$52-1,)+E24+INDEX(Config!$M59:$O258,(OFFSET(History!W16,$B$52-1,)+E24)-60,2)-60)/20</f>
        <v>2.6</v>
      </c>
      <c r="D23" s="492">
        <f ca="1">(OFFSET(History!W26,$B$52-1,)+E25+INDEX(Config!$M59:$O258,(OFFSET(History!W26,$B$52-1,)+E25)-60,2)-60)/20</f>
        <v>1.7</v>
      </c>
      <c r="E23" s="476">
        <f ca="1">Config!$O55*B$18*E$20+IF(B$16="Major",Config!$O56,0)+IF(B$16="Minor",Config!$O54,0)</f>
        <v>6</v>
      </c>
      <c r="F23" s="1124" t="str">
        <f>Lang!$A$53</f>
        <v>Training</v>
      </c>
      <c r="G23" s="1125"/>
      <c r="H23" s="458">
        <v>3</v>
      </c>
      <c r="J23" s="385">
        <f t="shared" ca="1" si="8"/>
        <v>97.023475597685831</v>
      </c>
      <c r="K23" s="386">
        <f t="shared" ca="1" si="8"/>
        <v>122.67949047596991</v>
      </c>
      <c r="L23" s="387">
        <f t="shared" ca="1" si="8"/>
        <v>65.710941149379224</v>
      </c>
      <c r="M23" s="446">
        <f ca="1">J23/500+K23/250+L23/125</f>
        <v>1.2104524422942853</v>
      </c>
      <c r="N23" s="900">
        <f ca="1">((B$23*20+60)-OFFSET(History!$W$6,$B$52-1,))*(Config!J8+(Config!M28-Config!M28)*Config!M8)</f>
        <v>1.0092436314179606E-2</v>
      </c>
      <c r="O23" s="901">
        <f ca="1">((C$23*20+60)-OFFSET(History!$W$16,$B$52-1,))*(Config!K8+(Config!N28-Config!N28)*Config!N8)</f>
        <v>0</v>
      </c>
      <c r="P23" s="902">
        <f ca="1">((D$23*20+60)-OFFSET(History!$W$26,$B$52-1,))*(Config!L8+(Config!O28-Config!O28)*Config!O8)</f>
        <v>8.7470417846089062E-3</v>
      </c>
      <c r="Q23" s="113"/>
      <c r="R23" s="900">
        <f ca="1">($H$23+OFFSET(History!$P$32,$B$52,0)*Config!$H$22+OFFSET(History!$P$31,$B$52,0)*Config!$H$22^2+OFFSET(History!$P$30,$B$52,0)*Config!$H$22^3+1)^Config!$G$22-(OFFSET(History!$P$32,$B$52,0)+OFFSET(History!$P$31,$B$52,0)*Config!$H$22+OFFSET(History!$P$30,$B$52,0)*Config!$H$22^2+OFFSET(History!$P$29,$B$52,0)*Config!$H$22^3+1)^Config!$G$22</f>
        <v>1.179880672143141E-2</v>
      </c>
      <c r="S23" s="901">
        <f ca="1">($H$23+OFFSET(History!$P$32,$B$52,0)*Config!$H$22+OFFSET(History!$P$31,$B$52,0)*Config!$H$22^2+OFFSET(History!$P$30,$B$52,0)*Config!$H$22^3+1)^Config!$G$22-(OFFSET(History!$P$32,$B$52,0)+OFFSET(History!$P$31,$B$52,0)*Config!$H$22+OFFSET(History!$P$30,$B$52,0)*Config!$H$22^2+OFFSET(History!$P$29,$B$52,0)*Config!$H$22^3+1)^Config!$G$22</f>
        <v>1.179880672143141E-2</v>
      </c>
      <c r="T23" s="902">
        <f ca="1">($H$23+OFFSET(History!$P$32,$B$52,0)*Config!$H$22+OFFSET(History!$P$31,$B$52,0)*Config!$H$22^2+OFFSET(History!$P$30,$B$52,0)*Config!$H$22^3+1)^Config!$G$22-(OFFSET(History!$P$32,$B$52,0)+OFFSET(History!$P$31,$B$52,0)*Config!$H$22+OFFSET(History!$P$30,$B$52,0)*Config!$H$22^2+OFFSET(History!$P$29,$B$52,0)*Config!$H$22^3+1)^Config!$G$22</f>
        <v>1.179880672143141E-2</v>
      </c>
      <c r="U23" s="2"/>
      <c r="V23" s="638">
        <f>'52'!$U$18</f>
        <v>122</v>
      </c>
      <c r="W23" s="639">
        <f>'52'!$W$18</f>
        <v>120</v>
      </c>
      <c r="X23" s="640">
        <f>'52'!$Y$18</f>
        <v>63</v>
      </c>
      <c r="Y23" s="1114"/>
      <c r="AH23" s="1084"/>
      <c r="AI23" s="1085"/>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4.725E-2</v>
      </c>
      <c r="C24" s="546">
        <f>(C20-150)/150*IF(C20&lt;150*1.21,0.315,IF(C20&lt;150*1.41,0.31,IF(C20&lt;150*1.61,0.305,IF(C20&lt;150*1.81,0.3,0.295))))</f>
        <v>3.15E-2</v>
      </c>
      <c r="D24" s="545">
        <f>(D20-300)/300*IF(D20&lt;300*1.21,0.315,IF(D20&lt;300*1.41,0.31,IF(D20&lt;300*1.61,0.305,IF(D20&lt;300*1.81,0.3,0.295))))</f>
        <v>2.6249999999999999E-2</v>
      </c>
      <c r="E24" s="476">
        <f ca="1">Config!$O55*C$18*E$21+IF(C$16="Major",Config!$O56,0)+IF(C$16="Minor",Config!$O54,0)</f>
        <v>6</v>
      </c>
      <c r="F24" s="1124" t="str">
        <f>Lang!$A$56</f>
        <v>Mechanics next quarter</v>
      </c>
      <c r="G24" s="1125"/>
      <c r="H24" s="503">
        <f>'52'!O12-I24</f>
        <v>27</v>
      </c>
      <c r="I24" s="768">
        <f>CEILING(IF(H7*4*H11&lt;'52'!O12,('52'!O12-H7*4*H11)/2,0),1)</f>
        <v>0</v>
      </c>
      <c r="J24" s="388">
        <f ca="1">J14+J29-J4*(1-B$18)</f>
        <v>470.30396369918418</v>
      </c>
      <c r="K24" s="389">
        <f ca="1">K14+K29-K4*(1-C$18)</f>
        <v>327.20637420795566</v>
      </c>
      <c r="L24" s="390">
        <f ca="1">L14+L29-L4*(1-D$18)</f>
        <v>178.03580861179492</v>
      </c>
      <c r="M24" s="446">
        <f ca="1">J24/500+K24/250+L24/125</f>
        <v>3.6737198931245505</v>
      </c>
      <c r="N24" s="903">
        <f ca="1">((B$23*20+60)-OFFSET(History!$W$6,$B$52-1,))*(Config!J9+(Config!M29-Config!M29)*Config!M9)</f>
        <v>7.925430460188591E-3</v>
      </c>
      <c r="O24" s="904">
        <f ca="1">((C$23*20+60)-OFFSET(History!$W$16,$B$52-1,))*(Config!K9+(Config!N29-Config!N29)*Config!N9)</f>
        <v>0</v>
      </c>
      <c r="P24" s="905">
        <f ca="1">((D$23*20+60)-OFFSET(History!$W$26,$B$52-1,))*(Config!L9+(Config!O29-Config!O29)*Config!O9)</f>
        <v>5.8233137200377552E-3</v>
      </c>
      <c r="Q24" s="113"/>
      <c r="R24" s="903">
        <f ca="1">($H$23+OFFSET(History!$P$32,$B$52,0)*Config!$H$22+OFFSET(History!$P$31,$B$52,0)*Config!$H$22^2+OFFSET(History!$P$30,$B$52,0)*Config!$H$22^3+1)^Config!$G$22-(OFFSET(History!$P$32,$B$52,0)+OFFSET(History!$P$31,$B$52,0)*Config!$H$22+OFFSET(History!$P$30,$B$52,0)*Config!$H$22^2+OFFSET(History!$P$29,$B$52,0)*Config!$H$22^3+1)^Config!$G$22</f>
        <v>1.179880672143141E-2</v>
      </c>
      <c r="S24" s="904">
        <f ca="1">($H$23+OFFSET(History!$P$32,$B$52,0)*Config!$H$22+OFFSET(History!$P$31,$B$52,0)*Config!$H$22^2+OFFSET(History!$P$30,$B$52,0)*Config!$H$22^3+1)^Config!$G$22-(OFFSET(History!$P$32,$B$52,0)+OFFSET(History!$P$31,$B$52,0)*Config!$H$22+OFFSET(History!$P$30,$B$52,0)*Config!$H$22^2+OFFSET(History!$P$29,$B$52,0)*Config!$H$22^3+1)^Config!$G$22</f>
        <v>1.179880672143141E-2</v>
      </c>
      <c r="T24" s="905">
        <f ca="1">($H$23+OFFSET(History!$P$32,$B$52,0)*Config!$H$22+OFFSET(History!$P$31,$B$52,0)*Config!$H$22^2+OFFSET(History!$P$30,$B$52,0)*Config!$H$22^3+1)^Config!$G$22-(OFFSET(History!$P$32,$B$52,0)+OFFSET(History!$P$31,$B$52,0)*Config!$H$22+OFFSET(History!$P$30,$B$52,0)*Config!$H$22^2+OFFSET(History!$P$29,$B$52,0)*Config!$H$22^3+1)^Config!$G$22</f>
        <v>1.179880672143141E-2</v>
      </c>
      <c r="U24" s="2"/>
      <c r="V24" s="641">
        <f>'52'!$U$19</f>
        <v>243</v>
      </c>
      <c r="W24" s="642">
        <f>'52'!$W$19</f>
        <v>167</v>
      </c>
      <c r="X24" s="643">
        <f>'52'!$Y$19</f>
        <v>95</v>
      </c>
      <c r="Y24" s="1114"/>
      <c r="AH24" s="1086"/>
      <c r="AI24" s="1087"/>
      <c r="AJ24" s="366">
        <f>'52'!G42*1000</f>
        <v>5000</v>
      </c>
      <c r="AK24" s="10"/>
      <c r="AL24" s="10"/>
      <c r="AM24" s="11"/>
      <c r="AN24" s="9"/>
      <c r="AO24" s="10">
        <f ca="1">(J19*J44)*0.03</f>
        <v>5282.7817341463106</v>
      </c>
      <c r="AP24" s="10">
        <f ca="1">(K19*K44)*0.03</f>
        <v>5622.8668189134123</v>
      </c>
      <c r="AQ24" s="11">
        <f ca="1">(L19*L44)*0.03</f>
        <v>4531.4690481560874</v>
      </c>
    </row>
    <row r="25" spans="1:43" ht="12.9" customHeight="1" thickBot="1" x14ac:dyDescent="0.3">
      <c r="A25" s="540" t="str">
        <f>Lang!$A$45</f>
        <v>Premium materials</v>
      </c>
      <c r="B25" s="541">
        <f>B22*IF(B22&lt;21,0.165,IF(B22&lt;41,0.16,IF(B22&lt;61,0.155,IF(B22&lt;81,0.15,0.145))))</f>
        <v>0</v>
      </c>
      <c r="C25" s="541">
        <f>C22*IF(C22&lt;21,0.165,IF(C22&lt;41,0.16,IF(C22&lt;61,0.155,IF(C22&lt;81,0.15,0.145))))</f>
        <v>0</v>
      </c>
      <c r="D25" s="542">
        <f>D22*IF(D22&lt;21,0.165,IF(D22&lt;41,0.16,IF(D22&lt;61,0.155,IF(D22&lt;81,0.15,0.145))))</f>
        <v>1.6500000000000001E-2</v>
      </c>
      <c r="E25" s="476">
        <f ca="1">Config!$O55*D$18*E$22+IF(D$16="Major",Config!$O56,0)+IF(D$16="Minor",Config!$O54,0)</f>
        <v>6</v>
      </c>
      <c r="F25" s="1124" t="str">
        <f>Lang!$A$57</f>
        <v>Recruit mechanics</v>
      </c>
      <c r="G25" s="1125"/>
      <c r="H25" s="477">
        <f>IF(H7*4*H11-H24&lt;0,0,H7*4*H11-H24)</f>
        <v>5</v>
      </c>
      <c r="I25" s="768">
        <f ca="1">ROUNDUP((H24+H25)*AVERAGEIF(OFFSET(History!C2:C6,B52,),"&gt;0"),0)</f>
        <v>3</v>
      </c>
      <c r="N25" s="745"/>
      <c r="O25" s="745"/>
      <c r="P25" s="745"/>
      <c r="Q25" s="113"/>
      <c r="R25" s="745"/>
      <c r="S25" s="745"/>
      <c r="T25" s="745"/>
      <c r="U25" s="2"/>
      <c r="V25" s="2"/>
      <c r="W25" s="8"/>
      <c r="AH25" s="1082" t="str">
        <f>Lang!$A$58</f>
        <v>Agents and distributors</v>
      </c>
      <c r="AI25" s="1083"/>
      <c r="AJ25" s="5"/>
      <c r="AK25" s="6"/>
      <c r="AL25" s="6"/>
      <c r="AM25" s="7"/>
      <c r="AN25" s="5"/>
      <c r="AO25" s="6"/>
      <c r="AP25" s="6"/>
      <c r="AQ25" s="7"/>
    </row>
    <row r="26" spans="1:43" ht="12.9" customHeight="1" thickBot="1" x14ac:dyDescent="0.3">
      <c r="A26" s="20"/>
      <c r="B26" s="544">
        <f ca="1">ROUND(SUM(B23:B25),2)</f>
        <v>1.75</v>
      </c>
      <c r="C26" s="544">
        <f ca="1">ROUND(SUM(C23:C25),2)</f>
        <v>2.63</v>
      </c>
      <c r="D26" s="544">
        <f ca="1">ROUND(SUM(D23:D25),2)</f>
        <v>1.74</v>
      </c>
      <c r="E26" s="483"/>
      <c r="F26" s="1124" t="str">
        <f>Lang!$A$59</f>
        <v>Workers wage rate</v>
      </c>
      <c r="G26" s="1125"/>
      <c r="H26" s="478">
        <v>12.2</v>
      </c>
      <c r="I26" s="457">
        <f ca="1">IF(H15&gt;H17,H26*H18+H26*1.5*(H17-H18)+H26*2*(H15-H17),IF(H15&gt;H18,H26*H18+H26*1.5*(H15-H18),H26*H15))/H20</f>
        <v>6792.8472897832871</v>
      </c>
      <c r="J26" s="1078" t="str">
        <f>Lang!$A$60</f>
        <v>Stocks next quarter</v>
      </c>
      <c r="K26" s="1079"/>
      <c r="L26" s="1088"/>
      <c r="N26" s="1116" t="str">
        <f>Lang!$A$61</f>
        <v>Corporate advertising</v>
      </c>
      <c r="O26" s="1117"/>
      <c r="P26" s="1118"/>
      <c r="Q26" s="113"/>
      <c r="R26" s="1116" t="str">
        <f>Lang!$A$115</f>
        <v>Management budget</v>
      </c>
      <c r="S26" s="1117"/>
      <c r="T26" s="1118"/>
      <c r="U26" s="2"/>
      <c r="V26" s="1080" t="str">
        <f>IF(X26=4,"Taxes","")</f>
        <v/>
      </c>
      <c r="W26" s="1104"/>
      <c r="X26" s="634">
        <f>IF(X21=4,1,X21+1)</f>
        <v>3</v>
      </c>
      <c r="Y26" s="1114">
        <f>SUM(V27:X29)</f>
        <v>3376</v>
      </c>
      <c r="AH26" s="1084"/>
      <c r="AI26" s="1085"/>
      <c r="AJ26" s="5">
        <f>(E28*C28)*1000+(B28-E28)*7500</f>
        <v>15000</v>
      </c>
      <c r="AK26" s="6"/>
      <c r="AL26" s="6"/>
      <c r="AM26" s="7"/>
      <c r="AN26" s="5"/>
      <c r="AO26" s="6">
        <f t="shared" ref="AO26:AQ27" ca="1" si="9">(J17*J42)*$D$28</f>
        <v>22301.567658762029</v>
      </c>
      <c r="AP26" s="6">
        <f t="shared" ca="1" si="9"/>
        <v>23445.154941661785</v>
      </c>
      <c r="AQ26" s="7">
        <f t="shared" ca="1" si="9"/>
        <v>19726.757954294113</v>
      </c>
    </row>
    <row r="27" spans="1:43" ht="12.9" customHeight="1" thickBot="1" x14ac:dyDescent="0.3">
      <c r="A27" s="1100" t="str">
        <f>Lang!$A$58</f>
        <v>Agents and distributors</v>
      </c>
      <c r="B27" s="1101"/>
      <c r="C27" s="1101"/>
      <c r="D27" s="1102"/>
      <c r="E27" s="483"/>
      <c r="F27" s="1126" t="str">
        <f>Lang!$A$62</f>
        <v>Machinists wage rate</v>
      </c>
      <c r="G27" s="1127"/>
      <c r="H27" s="479">
        <f>H26*0.65</f>
        <v>7.93</v>
      </c>
      <c r="I27" s="457">
        <f ca="1">IF(H24+H25=0,0,H62/(H24+H25))</f>
        <v>8801.1493401450098</v>
      </c>
      <c r="J27" s="404">
        <f t="shared" ref="J27:L29" ca="1" si="10">J12*$M32+J12*J$35+J12*J32</f>
        <v>19.426452664426854</v>
      </c>
      <c r="K27" s="405">
        <f t="shared" ca="1" si="10"/>
        <v>13.230644280852351</v>
      </c>
      <c r="L27" s="408">
        <f t="shared" ca="1" si="10"/>
        <v>7.9317379405282091</v>
      </c>
      <c r="N27" s="900">
        <f ca="1">Config!$G17*(OFFSET(History!$A$32,$B$52,0)+OFFSET(History!$A$31,$B$52,0)*Config!$H17+OFFSET(History!$A$30,$B$52,0)*Config!$H17^2+OFFSET(History!$A$29,$B$52,0)*Config!$H17^3)-Config!$G17*(OFFSET(History!$A$31,$B$52,0)+OFFSET(History!$A$30,$B$52,0)*Config!$H17+OFFSET(History!$A$29,$B$52,0)*Config!$H17^2+OFFSET(History!$A$28,$B$52,0)*Config!$H17^3)</f>
        <v>-4.1704343466631702E-5</v>
      </c>
      <c r="O27" s="901">
        <f ca="1">Config!$G17*(OFFSET(History!$A$32,$B$52,0)+OFFSET(History!$A$31,$B$52,0)*Config!$H17+OFFSET(History!$A$30,$B$52,0)*Config!$H17^2+OFFSET(History!$A$29,$B$52,0)*Config!$H17^3)-Config!$G17*(OFFSET(History!$A$31,$B$52,0)+OFFSET(History!$A$30,$B$52,0)*Config!$H17+OFFSET(History!$A$29,$B$52,0)*Config!$H17^2+OFFSET(History!$A$28,$B$52,0)*Config!$H17^3)</f>
        <v>-4.1704343466631702E-5</v>
      </c>
      <c r="P27" s="902">
        <f ca="1">Config!$G17*(OFFSET(History!$A$32,$B$52,0)+OFFSET(History!$A$31,$B$52,0)*Config!$H17+OFFSET(History!$A$30,$B$52,0)*Config!$H17^2+OFFSET(History!$A$29,$B$52,0)*Config!$H17^3)-Config!$G17*(OFFSET(History!$A$31,$B$52,0)+OFFSET(History!$A$30,$B$52,0)*Config!$H17+OFFSET(History!$A$29,$B$52,0)*Config!$H17^2+OFFSET(History!$A$28,$B$52,0)*Config!$H17^3)</f>
        <v>-4.1704343466631702E-5</v>
      </c>
      <c r="Q27" s="113"/>
      <c r="R27" s="900">
        <f ca="1">($H$47+OFFSET(History!$Q$19,$B$52,0)*Config!$H$25+OFFSET(History!$Q$18,$B$52,0)*Config!$H$25^2+OFFSET(History!$Q$17,$B$52,0)*Config!$H$25^3+1)^Config!$G$25-(OFFSET(History!$Q$19,$B$52,0)+OFFSET(History!$Q$18,$B$52,0)*Config!$H$25+OFFSET(History!$Q$17,$B$52,0)*Config!$H$25^2+OFFSET(History!$Q$16,$B$52,0)*Config!$H$25^3+1)^Config!$G$25</f>
        <v>1.7706719528462367E-2</v>
      </c>
      <c r="S27" s="901">
        <f ca="1">($H$47+OFFSET(History!$Q$19,$B$52,0)*Config!$H$25+OFFSET(History!$Q$18,$B$52,0)*Config!$H$25^2+OFFSET(History!$Q$17,$B$52,0)*Config!$H$25^3+1)^Config!$G$25-(OFFSET(History!$Q$19,$B$52,0)+OFFSET(History!$Q$18,$B$52,0)*Config!$H$25+OFFSET(History!$Q$17,$B$52,0)*Config!$H$25^2+OFFSET(History!$Q$16,$B$52,0)*Config!$H$25^3+1)^Config!$G$25</f>
        <v>1.7706719528462367E-2</v>
      </c>
      <c r="T27" s="902">
        <f ca="1">($H$47+OFFSET(History!$Q$19,$B$52,0)*Config!$H$25+OFFSET(History!$Q$18,$B$52,0)*Config!$H$25^2+OFFSET(History!$Q$17,$B$52,0)*Config!$H$25^3+1)^Config!$G$25-(OFFSET(History!$Q$19,$B$52,0)+OFFSET(History!$Q$18,$B$52,0)*Config!$H$25+OFFSET(History!$Q$17,$B$52,0)*Config!$H$25^2+OFFSET(History!$Q$16,$B$52,0)*Config!$H$25^3+1)^Config!$G$25</f>
        <v>1.7706719528462367E-2</v>
      </c>
      <c r="U27" s="2"/>
      <c r="V27" s="638">
        <f>'62'!$U$17</f>
        <v>970</v>
      </c>
      <c r="W27" s="639">
        <f>'62'!$W$17</f>
        <v>663</v>
      </c>
      <c r="X27" s="640">
        <f>'62'!$Y$17</f>
        <v>399</v>
      </c>
      <c r="Y27" s="1114"/>
      <c r="AH27" s="1084"/>
      <c r="AI27" s="1085"/>
      <c r="AJ27" s="5">
        <f>(E29*C29)*1000+(B29-E29)*7500</f>
        <v>1000</v>
      </c>
      <c r="AK27" s="6"/>
      <c r="AL27" s="6"/>
      <c r="AM27" s="7"/>
      <c r="AN27" s="5"/>
      <c r="AO27" s="6">
        <f t="shared" ca="1" si="9"/>
        <v>3570.5477639460032</v>
      </c>
      <c r="AP27" s="6">
        <f t="shared" ca="1" si="9"/>
        <v>5134.2220816919298</v>
      </c>
      <c r="AQ27" s="7">
        <f t="shared" ca="1" si="9"/>
        <v>3893.1657771894888</v>
      </c>
    </row>
    <row r="28" spans="1:43" ht="12.9" customHeight="1" thickBot="1" x14ac:dyDescent="0.3">
      <c r="A28" s="603">
        <v>3</v>
      </c>
      <c r="B28" s="463">
        <v>0</v>
      </c>
      <c r="C28" s="463">
        <v>10</v>
      </c>
      <c r="D28" s="523">
        <v>7.0000000000000007E-2</v>
      </c>
      <c r="E28" s="457">
        <f>'52'!M30+A28</f>
        <v>6</v>
      </c>
      <c r="F28" s="1115">
        <f ca="1">H76+H81</f>
        <v>157876.73741636099</v>
      </c>
      <c r="G28" s="1115"/>
      <c r="H28" s="1115"/>
      <c r="J28" s="404">
        <f t="shared" ca="1" si="10"/>
        <v>3.000460305836977</v>
      </c>
      <c r="K28" s="405">
        <f t="shared" ca="1" si="10"/>
        <v>2.9937154995288218</v>
      </c>
      <c r="L28" s="408">
        <f t="shared" ca="1" si="10"/>
        <v>1.523743944105475</v>
      </c>
      <c r="N28" s="900">
        <f ca="1">Config!$G18*(OFFSET(History!$E$32,$B$52,0)+OFFSET(History!$E$31,$B$52,0)*Config!$H18+OFFSET(History!$E$30,$B$52,0)*Config!$H18^2+OFFSET(History!$E$29,$B$52,0)*Config!$H18^3)-Config!$G18*(OFFSET(History!$E$31,$B$52,0)+OFFSET(History!$E$30,$B$52,0)*Config!$H18+OFFSET(History!$E$29,$B$52,0)*Config!$H18^2+OFFSET(History!$E$28,$B$52,0)*Config!$H18^3)</f>
        <v>8.45113403234734E-5</v>
      </c>
      <c r="O28" s="901">
        <f ca="1">Config!$G18*(OFFSET(History!$E$32,$B$52,0)+OFFSET(History!$E$31,$B$52,0)*Config!$H18+OFFSET(History!$E$30,$B$52,0)*Config!$H18^2+OFFSET(History!$E$29,$B$52,0)*Config!$H18^3)-Config!$G18*(OFFSET(History!$E$31,$B$52,0)+OFFSET(History!$E$30,$B$52,0)*Config!$H18+OFFSET(History!$E$29,$B$52,0)*Config!$H18^2+OFFSET(History!$E$28,$B$52,0)*Config!$H18^3)</f>
        <v>8.45113403234734E-5</v>
      </c>
      <c r="P28" s="902">
        <f ca="1">Config!$G18*(OFFSET(History!$E$32,$B$52,0)+OFFSET(History!$E$31,$B$52,0)*Config!$H18+OFFSET(History!$E$30,$B$52,0)*Config!$H18^2+OFFSET(History!$E$29,$B$52,0)*Config!$H18^3)-Config!$G18*(OFFSET(History!$E$31,$B$52,0)+OFFSET(History!$E$30,$B$52,0)*Config!$H18+OFFSET(History!$E$29,$B$52,0)*Config!$H18^2+OFFSET(History!$E$28,$B$52,0)*Config!$H18^3)</f>
        <v>8.45113403234734E-5</v>
      </c>
      <c r="Q28" s="113"/>
      <c r="R28" s="900">
        <f ca="1">($H$47+OFFSET(History!$Q$19,$B$52,0)*Config!$H$25+OFFSET(History!$Q$18,$B$52,0)*Config!$H$25^2+OFFSET(History!$Q$17,$B$52,0)*Config!$H$25^3+1)^Config!$G$25-(OFFSET(History!$Q$19,$B$52,0)+OFFSET(History!$Q$18,$B$52,0)*Config!$H$25+OFFSET(History!$Q$17,$B$52,0)*Config!$H$25^2+OFFSET(History!$Q$16,$B$52,0)*Config!$H$25^3+1)^Config!$G$25</f>
        <v>1.7706719528462367E-2</v>
      </c>
      <c r="S28" s="901">
        <f ca="1">($H$47+OFFSET(History!$Q$19,$B$52,0)*Config!$H$25+OFFSET(History!$Q$18,$B$52,0)*Config!$H$25^2+OFFSET(History!$Q$17,$B$52,0)*Config!$H$25^3+1)^Config!$G$25-(OFFSET(History!$Q$19,$B$52,0)+OFFSET(History!$Q$18,$B$52,0)*Config!$H$25+OFFSET(History!$Q$17,$B$52,0)*Config!$H$25^2+OFFSET(History!$Q$16,$B$52,0)*Config!$H$25^3+1)^Config!$G$25</f>
        <v>1.7706719528462367E-2</v>
      </c>
      <c r="T28" s="902">
        <f ca="1">($H$47+OFFSET(History!$Q$19,$B$52,0)*Config!$H$25+OFFSET(History!$Q$18,$B$52,0)*Config!$H$25^2+OFFSET(History!$Q$17,$B$52,0)*Config!$H$25^3+1)^Config!$G$25-(OFFSET(History!$Q$19,$B$52,0)+OFFSET(History!$Q$18,$B$52,0)*Config!$H$25+OFFSET(History!$Q$17,$B$52,0)*Config!$H$25^2+OFFSET(History!$Q$16,$B$52,0)*Config!$H$25^3+1)^Config!$G$25</f>
        <v>1.7706719528462367E-2</v>
      </c>
      <c r="U28" s="2"/>
      <c r="V28" s="638">
        <f>'62'!$U$18</f>
        <v>155</v>
      </c>
      <c r="W28" s="639">
        <f>'62'!$W$18</f>
        <v>152</v>
      </c>
      <c r="X28" s="640">
        <f>'62'!$Y$18</f>
        <v>77</v>
      </c>
      <c r="Y28" s="1114"/>
      <c r="AH28" s="1086"/>
      <c r="AI28" s="1087"/>
      <c r="AJ28" s="9"/>
      <c r="AK28" s="10"/>
      <c r="AL28" s="10"/>
      <c r="AM28" s="11"/>
      <c r="AN28" s="9"/>
      <c r="AO28" s="10"/>
      <c r="AP28" s="10"/>
      <c r="AQ28" s="11"/>
    </row>
    <row r="29" spans="1:43" ht="12.9" customHeight="1" thickBot="1" x14ac:dyDescent="0.3">
      <c r="A29" s="603">
        <v>1</v>
      </c>
      <c r="B29" s="463">
        <v>0</v>
      </c>
      <c r="C29" s="463">
        <v>8</v>
      </c>
      <c r="D29" s="523">
        <v>0.06</v>
      </c>
      <c r="E29" s="457">
        <f>'52'!N30+A29</f>
        <v>2</v>
      </c>
      <c r="F29" s="1080" t="str">
        <f>Lang!$A$63</f>
        <v>Raw materials</v>
      </c>
      <c r="G29" s="1081"/>
      <c r="H29" s="453">
        <f ca="1">IF(B52=1,G33,IF(B52=2,G34,G35))</f>
        <v>78498</v>
      </c>
      <c r="J29" s="407">
        <f t="shared" ca="1" si="10"/>
        <v>13.902057195121868</v>
      </c>
      <c r="K29" s="406">
        <f t="shared" ca="1" si="10"/>
        <v>9.5302827439210382</v>
      </c>
      <c r="L29" s="403">
        <f t="shared" ca="1" si="10"/>
        <v>5.3311400566542204</v>
      </c>
      <c r="N29" s="903">
        <f ca="1">Config!$G19*(OFFSET(History!$I$32,$B$52,0)+OFFSET(History!$I$31,$B$52,0)*Config!$H19+OFFSET(History!$I$30,$B$52,0)*Config!$H19^2+OFFSET(History!$I$29,$B$52,0)*Config!$H19^3)-Config!$G19*(OFFSET(History!$I$31,$B$52,0)+OFFSET(History!$I$30,$B$52,0)*Config!$H19+OFFSET(History!$I$29,$B$52,0)*Config!$H19^2+OFFSET(History!$I$28,$B$52,0)*Config!$H19^3)</f>
        <v>3.4251428266624331E-4</v>
      </c>
      <c r="O29" s="904">
        <f ca="1">Config!$G19*(OFFSET(History!$I$32,$B$52,0)+OFFSET(History!$I$31,$B$52,0)*Config!$H19+OFFSET(History!$I$30,$B$52,0)*Config!$H19^2+OFFSET(History!$I$29,$B$52,0)*Config!$H19^3)-Config!$G19*(OFFSET(History!$I$31,$B$52,0)+OFFSET(History!$I$30,$B$52,0)*Config!$H19+OFFSET(History!$I$29,$B$52,0)*Config!$H19^2+OFFSET(History!$I$28,$B$52,0)*Config!$H19^3)</f>
        <v>3.4251428266624331E-4</v>
      </c>
      <c r="P29" s="905">
        <f ca="1">Config!$G19*(OFFSET(History!$I$32,$B$52,0)+OFFSET(History!$I$31,$B$52,0)*Config!$H19+OFFSET(History!$I$30,$B$52,0)*Config!$H19^2+OFFSET(History!$I$29,$B$52,0)*Config!$H19^3)-Config!$G19*(OFFSET(History!$I$31,$B$52,0)+OFFSET(History!$I$30,$B$52,0)*Config!$H19+OFFSET(History!$I$29,$B$52,0)*Config!$H19^2+OFFSET(History!$I$28,$B$52,0)*Config!$H19^3)</f>
        <v>3.4251428266624331E-4</v>
      </c>
      <c r="Q29" s="113"/>
      <c r="R29" s="903">
        <f ca="1">($H$47+OFFSET(History!$Q$19,$B$52,0)*Config!$H$25+OFFSET(History!$Q$18,$B$52,0)*Config!$H$25^2+OFFSET(History!$Q$17,$B$52,0)*Config!$H$25^3+1)^Config!$G$25-(OFFSET(History!$Q$19,$B$52,0)+OFFSET(History!$Q$18,$B$52,0)*Config!$H$25+OFFSET(History!$Q$17,$B$52,0)*Config!$H$25^2+OFFSET(History!$Q$16,$B$52,0)*Config!$H$25^3+1)^Config!$G$25</f>
        <v>1.7706719528462367E-2</v>
      </c>
      <c r="S29" s="904">
        <f ca="1">($H$47+OFFSET(History!$Q$19,$B$52,0)*Config!$H$25+OFFSET(History!$Q$18,$B$52,0)*Config!$H$25^2+OFFSET(History!$Q$17,$B$52,0)*Config!$H$25^3+1)^Config!$G$25-(OFFSET(History!$Q$19,$B$52,0)+OFFSET(History!$Q$18,$B$52,0)*Config!$H$25+OFFSET(History!$Q$17,$B$52,0)*Config!$H$25^2+OFFSET(History!$Q$16,$B$52,0)*Config!$H$25^3+1)^Config!$G$25</f>
        <v>1.7706719528462367E-2</v>
      </c>
      <c r="T29" s="905">
        <f ca="1">($H$47+OFFSET(History!$Q$19,$B$52,0)*Config!$H$25+OFFSET(History!$Q$18,$B$52,0)*Config!$H$25^2+OFFSET(History!$Q$17,$B$52,0)*Config!$H$25^3+1)^Config!$G$25-(OFFSET(History!$Q$19,$B$52,0)+OFFSET(History!$Q$18,$B$52,0)*Config!$H$25+OFFSET(History!$Q$17,$B$52,0)*Config!$H$25^2+OFFSET(History!$Q$16,$B$52,0)*Config!$H$25^3+1)^Config!$G$25</f>
        <v>1.7706719528462367E-2</v>
      </c>
      <c r="U29" s="2"/>
      <c r="V29" s="641">
        <f>'62'!$U$19</f>
        <v>464</v>
      </c>
      <c r="W29" s="642">
        <f>'62'!$W$19</f>
        <v>318</v>
      </c>
      <c r="X29" s="643">
        <f>'62'!$Y$19</f>
        <v>178</v>
      </c>
      <c r="Y29" s="1114"/>
      <c r="AH29" s="1090" t="str">
        <f>Lang!$A$64</f>
        <v>Sales office</v>
      </c>
      <c r="AI29" s="1091"/>
      <c r="AJ29" s="5">
        <f ca="1">C59</f>
        <v>16298.765321006986</v>
      </c>
      <c r="AK29" s="6"/>
      <c r="AL29" s="6"/>
      <c r="AM29" s="7"/>
      <c r="AN29" s="5"/>
      <c r="AO29" s="6"/>
      <c r="AP29" s="6"/>
      <c r="AQ29" s="7"/>
    </row>
    <row r="30" spans="1:43" ht="12.9" customHeight="1" thickBot="1" x14ac:dyDescent="0.3">
      <c r="A30" s="15"/>
      <c r="B30" s="395"/>
      <c r="C30" s="395">
        <v>10</v>
      </c>
      <c r="D30" s="524">
        <v>7.0000000000000007E-2</v>
      </c>
      <c r="E30" s="457">
        <f>'52'!O30</f>
        <v>1</v>
      </c>
      <c r="F30" s="1107" t="str">
        <f>Lang!$A$65</f>
        <v>Required materials</v>
      </c>
      <c r="G30" s="1108"/>
      <c r="H30" s="394">
        <f ca="1">SUM(B2:B5)*1+SUM(C2:C5)*2+SUM(D2:D5)*3-(IF(SUM(B2:B5)&lt;B7,SUM(B2:B5),B7)*1+IF(SUM(C2:C5)&lt;C7,SUM(C2:C5),C7)*2+IF(SUM(D2:D5)&lt;D7,SUM(D2:D5),D7)*3)</f>
        <v>6449.343265714142</v>
      </c>
      <c r="I30" s="471">
        <f ca="1">H30/'52'!G34</f>
        <v>1.3167299440004374</v>
      </c>
      <c r="N30" s="113"/>
      <c r="O30" s="743"/>
      <c r="P30" s="113"/>
      <c r="Q30" s="113"/>
      <c r="R30" s="113"/>
      <c r="S30" s="113"/>
      <c r="T30" s="113"/>
      <c r="U30" s="2"/>
      <c r="V30" s="2"/>
      <c r="W30" s="8"/>
      <c r="AH30" s="1092"/>
      <c r="AI30" s="1093"/>
      <c r="AJ30" s="5"/>
      <c r="AK30" s="6"/>
      <c r="AL30" s="6"/>
      <c r="AM30" s="7"/>
      <c r="AN30" s="5"/>
      <c r="AO30" s="6"/>
      <c r="AP30" s="6"/>
      <c r="AQ30" s="7"/>
    </row>
    <row r="31" spans="1:43" ht="12.9" customHeight="1" thickBot="1" x14ac:dyDescent="0.3">
      <c r="E31" s="483"/>
      <c r="F31" s="1107" t="str">
        <f>Lang!$A$66</f>
        <v>Materials will remain</v>
      </c>
      <c r="G31" s="1108"/>
      <c r="H31" s="394">
        <f ca="1">I33+H32+H33-H30</f>
        <v>493.48085195827207</v>
      </c>
      <c r="I31" s="32"/>
      <c r="J31" s="1119" t="str">
        <f>Lang!$A$60</f>
        <v>Stocks next quarter</v>
      </c>
      <c r="K31" s="1120"/>
      <c r="L31" s="1121"/>
      <c r="N31" s="1116" t="str">
        <f>Lang!$A$67</f>
        <v>Direct advertising</v>
      </c>
      <c r="O31" s="1117"/>
      <c r="P31" s="1118"/>
      <c r="Q31" s="743"/>
      <c r="R31" s="1116" t="str">
        <f>Lang!$A$68</f>
        <v>Ports</v>
      </c>
      <c r="S31" s="1117"/>
      <c r="T31" s="1118"/>
      <c r="U31" s="2"/>
      <c r="V31" s="1080" t="str">
        <f>IF(X31=4,"Taxes","")</f>
        <v>Taxes</v>
      </c>
      <c r="W31" s="1104"/>
      <c r="X31" s="634">
        <f>IF(X26=4,1,X26+1)</f>
        <v>4</v>
      </c>
      <c r="Y31" s="1114">
        <f>SUM(V32:X34)</f>
        <v>3802</v>
      </c>
      <c r="AG31" s="8"/>
      <c r="AH31" s="1092"/>
      <c r="AI31" s="1093"/>
      <c r="AJ31" s="5"/>
      <c r="AK31" s="6"/>
      <c r="AL31" s="6"/>
      <c r="AM31" s="7"/>
      <c r="AN31" s="5"/>
      <c r="AO31" s="6"/>
      <c r="AP31" s="6"/>
      <c r="AQ31" s="7"/>
    </row>
    <row r="32" spans="1:43" ht="12.9" customHeight="1" thickBot="1" x14ac:dyDescent="0.3">
      <c r="A32" s="1078" t="str">
        <f>Lang!$A$69</f>
        <v>Optimal advertising</v>
      </c>
      <c r="B32" s="1079"/>
      <c r="C32" s="1079"/>
      <c r="D32" s="453">
        <f ca="1">H56*E32/1000</f>
        <v>97.792591926041908</v>
      </c>
      <c r="E32" s="445">
        <v>0.06</v>
      </c>
      <c r="F32" s="1107" t="str">
        <f>Lang!$A$70</f>
        <v>Additional materials</v>
      </c>
      <c r="G32" s="1108"/>
      <c r="H32" s="394">
        <f ca="1">SUM(B2:B5)*1*B22+SUM(C2:C5)*2*C22+SUM(D2:D5)*3*D22-(IF(SUM(B2:B5)&lt;B7,SUM(B2:B5),B7)*1*B22+IF(SUM(C2:C5)&lt;C7,SUM(C2:C5),C7)*2*C22+IF(SUM(D2:D5)&lt;D7,SUM(D2:D5),D7)*3*D22)</f>
        <v>222.82411767241385</v>
      </c>
      <c r="J32" s="439">
        <v>0</v>
      </c>
      <c r="K32" s="440">
        <v>0</v>
      </c>
      <c r="L32" s="441">
        <v>0</v>
      </c>
      <c r="M32" s="445">
        <v>0.02</v>
      </c>
      <c r="N32" s="900">
        <f ca="1">Config!L22*(B38+OFFSET(History!B$32,$B$52,0)*Config!$O22+OFFSET(History!B$31,$B$52,0)*Config!$O22^2+OFFSET(History!B$30,$B$52,0)*Config!$O22^3)-Config!L22*(OFFSET(History!B$32,$B$52,0)+OFFSET(History!B$31,$B$52,0)*Config!$O22+OFFSET(History!B$30,$B$52,0)*Config!$O22^2+OFFSET(History!B$29,$B$52,0)*Config!$O22^3)</f>
        <v>3.1717278086536571E-3</v>
      </c>
      <c r="O32" s="901">
        <f ca="1">Config!M22*(C38+OFFSET(History!C$32,$B$52,0)*Config!$O22+OFFSET(History!C$31,$B$52,0)*Config!$O22^2+OFFSET(History!C$30,$B$52,0)*Config!$O22^3)-Config!M22*(OFFSET(History!C$32,$B$52,0)+OFFSET(History!C$31,$B$52,0)*Config!$O22+OFFSET(History!C$30,$B$52,0)*Config!$O22^2+OFFSET(History!C$29,$B$52,0)*Config!$O22^3)</f>
        <v>0</v>
      </c>
      <c r="P32" s="902">
        <f ca="1">Config!N22*(D38+OFFSET(History!D$32,$B$52,0)*Config!$O22+OFFSET(History!D$31,$B$52,0)*Config!$O22^2+OFFSET(History!D$30,$B$52,0)*Config!$O22^3)-Config!N22*(OFFSET(History!D$32,$B$52,0)+OFFSET(History!D$31,$B$52,0)*Config!$O22+OFFSET(History!D$30,$B$52,0)*Config!$O22^2+OFFSET(History!D$29,$B$52,0)*Config!$O22^3)</f>
        <v>0</v>
      </c>
      <c r="Q32" s="113"/>
      <c r="R32" s="900"/>
      <c r="S32" s="901"/>
      <c r="T32" s="902"/>
      <c r="U32" s="2"/>
      <c r="V32" s="638">
        <f>'72'!$U$17</f>
        <v>1178</v>
      </c>
      <c r="W32" s="639">
        <f>'72'!$W$17</f>
        <v>717</v>
      </c>
      <c r="X32" s="640">
        <f>'72'!$Y$17</f>
        <v>392</v>
      </c>
      <c r="Y32" s="1114"/>
      <c r="AH32" s="1094"/>
      <c r="AI32" s="1095"/>
      <c r="AJ32" s="9"/>
      <c r="AK32" s="10"/>
      <c r="AL32" s="10"/>
      <c r="AM32" s="11"/>
      <c r="AN32" s="9"/>
      <c r="AO32" s="10"/>
      <c r="AP32" s="10"/>
      <c r="AQ32" s="11"/>
    </row>
    <row r="33" spans="1:43" ht="12.9" customHeight="1" x14ac:dyDescent="0.25">
      <c r="A33" s="433">
        <f ca="1">SUM(AK2:AM2)/SUM($AK$2:$AM$4)*SUM($A$38:$A$40)</f>
        <v>22.954755604473789</v>
      </c>
      <c r="B33" s="434">
        <f t="shared" ref="B33:D35" ca="1" si="11">AK2/SUM($AK$2:$AM$4)*$D$32</f>
        <v>19.115629421796022</v>
      </c>
      <c r="C33" s="434">
        <f t="shared" ca="1" si="11"/>
        <v>20.095847092852956</v>
      </c>
      <c r="D33" s="438">
        <f t="shared" ca="1" si="11"/>
        <v>16.908649675109238</v>
      </c>
      <c r="F33" s="4" t="str">
        <f>Lang!$A$71</f>
        <v>Spot - 1, 2, 3, 4, 5</v>
      </c>
      <c r="G33" s="62">
        <f ca="1">OFFSET(History!N45,$B52,)</f>
        <v>78498</v>
      </c>
      <c r="H33" s="429">
        <v>5000</v>
      </c>
      <c r="I33" s="457">
        <f>'52'!G35+'52'!G37+'52'!G38</f>
        <v>1720</v>
      </c>
      <c r="J33" s="439">
        <v>0</v>
      </c>
      <c r="K33" s="440">
        <v>0</v>
      </c>
      <c r="L33" s="441">
        <v>0</v>
      </c>
      <c r="M33" s="445">
        <v>0.02</v>
      </c>
      <c r="N33" s="900">
        <f ca="1">Config!L23*(B39+OFFSET(History!F$32,$B$52,0)*Config!$O23+OFFSET(History!F$31,$B$52,0)*Config!$O23^2+OFFSET(History!F$30,$B$52,0)*Config!$O23^3)-Config!L23*(OFFSET(History!F$32,$B$52,0)+OFFSET(History!F$31,$B$52,0)*Config!$O23+OFFSET(History!F$30,$B$52,0)*Config!$O23^2+OFFSET(History!F$29,$B$52,0)*Config!$O23^3)</f>
        <v>4.238889246040517E-3</v>
      </c>
      <c r="O33" s="901">
        <f ca="1">Config!M23*(C39+OFFSET(History!G$32,$B$52,0)*Config!$O23+OFFSET(History!G$31,$B$52,0)*Config!$O23^2+OFFSET(History!G$30,$B$52,0)*Config!$O23^3)-Config!M23*(OFFSET(History!G$32,$B$52,0)+OFFSET(History!G$31,$B$52,0)*Config!$O23+OFFSET(History!G$30,$B$52,0)*Config!$O23^2+OFFSET(History!G$29,$B$52,0)*Config!$O23^3)</f>
        <v>1.0671614373868599E-3</v>
      </c>
      <c r="P33" s="902">
        <f ca="1">Config!N23*(D39+OFFSET(History!H$32,$B$52,0)*Config!$O23+OFFSET(History!H$31,$B$52,0)*Config!$O23^2+OFFSET(History!H$30,$B$52,0)*Config!$O23^3)-Config!N23*(OFFSET(History!H$32,$B$52,0)+OFFSET(History!H$31,$B$52,0)*Config!$O23+OFFSET(History!H$30,$B$52,0)*Config!$O23^2+OFFSET(History!H$29,$B$52,0)*Config!$O23^3)</f>
        <v>1.0671614373868599E-3</v>
      </c>
      <c r="Q33" s="113"/>
      <c r="R33" s="900"/>
      <c r="S33" s="901"/>
      <c r="T33" s="902"/>
      <c r="U33" s="2"/>
      <c r="V33" s="638">
        <f>'72'!$U$18</f>
        <v>113</v>
      </c>
      <c r="W33" s="639">
        <f>'72'!$W$18</f>
        <v>126</v>
      </c>
      <c r="X33" s="640">
        <f>'72'!$Y$18</f>
        <v>63</v>
      </c>
      <c r="Y33" s="1114"/>
      <c r="AH33" s="1082" t="str">
        <f>Lang!$A$223</f>
        <v>Guarantee servicing</v>
      </c>
      <c r="AI33" s="1083"/>
      <c r="AJ33" s="5"/>
      <c r="AK33" s="6">
        <f ca="1">B6*60</f>
        <v>1440</v>
      </c>
      <c r="AL33" s="6">
        <f ca="1">C6*150</f>
        <v>900</v>
      </c>
      <c r="AM33" s="7">
        <f ca="1">D6*250</f>
        <v>900</v>
      </c>
      <c r="AN33" s="5"/>
      <c r="AO33" s="6"/>
      <c r="AP33" s="6"/>
      <c r="AQ33" s="7"/>
    </row>
    <row r="34" spans="1:43" ht="12.9" customHeight="1" thickBot="1" x14ac:dyDescent="0.3">
      <c r="A34" s="433">
        <f ca="1">SUM(AK3:AM3)/SUM($AK$2:$AM$4)*SUM($A$38:$A$40)</f>
        <v>4.4167887653569942</v>
      </c>
      <c r="B34" s="434">
        <f t="shared" ca="1" si="11"/>
        <v>3.0604695119537166</v>
      </c>
      <c r="C34" s="434">
        <f t="shared" ca="1" si="11"/>
        <v>4.4007617843073676</v>
      </c>
      <c r="D34" s="438">
        <f t="shared" ca="1" si="11"/>
        <v>3.33699923759099</v>
      </c>
      <c r="F34" s="13" t="str">
        <f>Lang!$A$72</f>
        <v>3 mth - 1, 2, 3, 4</v>
      </c>
      <c r="G34" s="62">
        <f ca="1">OFFSET(History!O45,$B52,)</f>
        <v>75387</v>
      </c>
      <c r="H34" s="429">
        <v>0</v>
      </c>
      <c r="I34" s="457">
        <f>'52'!G39</f>
        <v>0</v>
      </c>
      <c r="J34" s="442">
        <v>0</v>
      </c>
      <c r="K34" s="443">
        <v>0</v>
      </c>
      <c r="L34" s="444">
        <v>0</v>
      </c>
      <c r="M34" s="445">
        <v>0.03</v>
      </c>
      <c r="N34" s="903">
        <f ca="1">Config!L24*(B40+OFFSET(History!J$32,$B$52,0)*Config!$O24+OFFSET(History!J$31,$B$52,0)*Config!$O24^2+OFFSET(History!J$30,$B$52,0)*Config!$O24^3)-Config!L24*(OFFSET(History!J$32,$B$52,0)+OFFSET(History!J$31,$B$52,0)*Config!$O24+OFFSET(History!J$30,$B$52,0)*Config!$O24^2+OFFSET(History!J$29,$B$52,0)*Config!$O24^3)</f>
        <v>7.2855737022687259E-3</v>
      </c>
      <c r="O34" s="904">
        <f ca="1">Config!M24*(C40+OFFSET(History!K$32,$B$52,0)*Config!$O24+OFFSET(History!K$31,$B$52,0)*Config!$O24^2+OFFSET(History!K$30,$B$52,0)*Config!$O24^3)-Config!M24*(OFFSET(History!K$32,$B$52,0)+OFFSET(History!K$31,$B$52,0)*Config!$O24+OFFSET(History!K$30,$B$52,0)*Config!$O24^2+OFFSET(History!K$29,$B$52,0)*Config!$O24^3)</f>
        <v>4.1138458936150653E-3</v>
      </c>
      <c r="P34" s="905">
        <f ca="1">Config!N24*(D40+OFFSET(History!L$32,$B$52,0)*Config!$O24+OFFSET(History!L$31,$B$52,0)*Config!$O24^2+OFFSET(History!L$30,$B$52,0)*Config!$O24^3)-Config!N24*(OFFSET(History!L$32,$B$52,0)+OFFSET(History!L$31,$B$52,0)*Config!$O24+OFFSET(History!L$30,$B$52,0)*Config!$O24^2+OFFSET(History!L$29,$B$52,0)*Config!$O24^3)</f>
        <v>4.1138458936150653E-3</v>
      </c>
      <c r="Q34" s="113"/>
      <c r="R34" s="903">
        <f ca="1">(OFFSET(History!$M$58,$B$52,0)-0.01)/100</f>
        <v>8.9999999999994316E-4</v>
      </c>
      <c r="S34" s="904">
        <f ca="1">(OFFSET(History!$M$58,$B$52,0)-0.01)/100</f>
        <v>8.9999999999994316E-4</v>
      </c>
      <c r="T34" s="905">
        <f ca="1">(OFFSET(History!$M$58,$B$52,0)-0.01)/100</f>
        <v>8.9999999999994316E-4</v>
      </c>
      <c r="U34" s="2"/>
      <c r="V34" s="641">
        <f>'72'!$U$19</f>
        <v>584</v>
      </c>
      <c r="W34" s="642">
        <f>'72'!$W$19</f>
        <v>395</v>
      </c>
      <c r="X34" s="643">
        <f>'72'!$Y$19</f>
        <v>234</v>
      </c>
      <c r="Y34" s="1114"/>
      <c r="AH34" s="1084"/>
      <c r="AI34" s="1085"/>
      <c r="AJ34" s="5"/>
      <c r="AK34" s="6"/>
      <c r="AL34" s="6"/>
      <c r="AM34" s="7"/>
      <c r="AN34" s="5"/>
      <c r="AO34" s="6"/>
      <c r="AP34" s="6"/>
      <c r="AQ34" s="7"/>
    </row>
    <row r="35" spans="1:43" ht="12.9" customHeight="1" thickBot="1" x14ac:dyDescent="0.3">
      <c r="A35" s="437">
        <f ca="1">SUM(AK4:AM4)/SUM($AK$2:$AM$4)*SUM($A$38:$A$40)</f>
        <v>12.628455630169221</v>
      </c>
      <c r="B35" s="436">
        <f t="shared" ca="1" si="11"/>
        <v>10.56556346829262</v>
      </c>
      <c r="C35" s="436">
        <f t="shared" ca="1" si="11"/>
        <v>11.245733637826826</v>
      </c>
      <c r="D35" s="435">
        <f t="shared" ca="1" si="11"/>
        <v>9.0629380963121751</v>
      </c>
      <c r="F35" s="15" t="str">
        <f>Lang!$A$73</f>
        <v>6 mth - 1, 2, 3</v>
      </c>
      <c r="G35" s="651">
        <f ca="1">OFFSET(History!P45,$B52,)</f>
        <v>71419</v>
      </c>
      <c r="H35" s="432">
        <v>0</v>
      </c>
      <c r="J35" s="445">
        <v>0</v>
      </c>
      <c r="K35" s="445">
        <v>0</v>
      </c>
      <c r="L35" s="445">
        <v>0</v>
      </c>
      <c r="N35" s="743"/>
      <c r="O35" s="743"/>
      <c r="P35" s="743"/>
      <c r="Q35" s="113"/>
      <c r="R35" s="743"/>
      <c r="S35" s="743"/>
      <c r="T35" s="743"/>
      <c r="U35" s="2"/>
      <c r="V35" s="2"/>
      <c r="W35" s="8"/>
      <c r="AH35" s="1084"/>
      <c r="AI35" s="1085"/>
      <c r="AJ35" s="5"/>
      <c r="AK35" s="6"/>
      <c r="AL35" s="6"/>
      <c r="AM35" s="7"/>
      <c r="AN35" s="5"/>
      <c r="AO35" s="6"/>
      <c r="AP35" s="6"/>
      <c r="AQ35" s="7"/>
    </row>
    <row r="36" spans="1:43" ht="12.9" customHeight="1" thickBot="1" x14ac:dyDescent="0.3">
      <c r="E36" s="3"/>
      <c r="F36" s="1115">
        <f ca="1">F28+J42*J37+J43*J38+J44*J39+K42*K37+K43*K38+K44*K39+L42*L37+L43*L38+L44*L39</f>
        <v>353258.20531566243</v>
      </c>
      <c r="G36" s="1115"/>
      <c r="H36" s="1115"/>
      <c r="J36" s="1080" t="str">
        <f>Lang!$A$60</f>
        <v>Stocks next quarter</v>
      </c>
      <c r="K36" s="1081"/>
      <c r="L36" s="1103"/>
      <c r="N36" s="1116" t="str">
        <f>Lang!$A$74</f>
        <v>Prices</v>
      </c>
      <c r="O36" s="1117"/>
      <c r="P36" s="1118"/>
      <c r="Q36" s="743"/>
      <c r="R36" s="1080" t="str">
        <f>Lang!$A$75</f>
        <v>Web-site development</v>
      </c>
      <c r="S36" s="1081"/>
      <c r="T36" s="1103"/>
      <c r="U36" s="2"/>
      <c r="V36" s="1080" t="str">
        <f>IF(X36=4,"Taxes","")</f>
        <v/>
      </c>
      <c r="W36" s="1104"/>
      <c r="X36" s="634">
        <f>IF(X31=4,1,X31+1)</f>
        <v>1</v>
      </c>
      <c r="Y36" s="1114">
        <f>SUM(V37:X39)</f>
        <v>4965</v>
      </c>
      <c r="AH36" s="1086"/>
      <c r="AI36" s="1087"/>
      <c r="AJ36" s="9"/>
      <c r="AK36" s="10"/>
      <c r="AL36" s="10"/>
      <c r="AM36" s="11"/>
      <c r="AN36" s="9"/>
      <c r="AO36" s="10"/>
      <c r="AP36" s="10"/>
      <c r="AQ36" s="11"/>
    </row>
    <row r="37" spans="1:43" ht="12.9" customHeight="1" x14ac:dyDescent="0.25">
      <c r="A37" s="1080" t="str">
        <f>Lang!$A$38</f>
        <v>Advertising</v>
      </c>
      <c r="B37" s="1081"/>
      <c r="C37" s="1081"/>
      <c r="D37" s="453">
        <f>SUM(B38:D40)</f>
        <v>53</v>
      </c>
      <c r="F37" s="1080" t="str">
        <f>Lang!$A$76</f>
        <v>Operations</v>
      </c>
      <c r="G37" s="1081"/>
      <c r="H37" s="1103"/>
      <c r="J37" s="385">
        <f t="shared" ref="J37:L39" ca="1" si="12">B2+J2*(1-B$18)-J7-J12</f>
        <v>39.677366778657301</v>
      </c>
      <c r="K37" s="386">
        <f t="shared" ca="1" si="12"/>
        <v>29.467785957382489</v>
      </c>
      <c r="L37" s="387">
        <f t="shared" ca="1" si="12"/>
        <v>17.413102973589559</v>
      </c>
      <c r="M37" s="448">
        <f ca="1">SUM(J37:L37)/SUM(J12:L12)</f>
        <v>4.2651264049905477E-2</v>
      </c>
      <c r="N37" s="900">
        <f>((Config!J12/J42)-(Config!J12/J47))*(100-Config!M27)/(100-Config!M27)</f>
        <v>-2.4571166243907427E-2</v>
      </c>
      <c r="O37" s="901">
        <f>((Config!K12/K42)-(Config!K12/K47))*(100-Config!N27)/(100-Config!N27)</f>
        <v>0</v>
      </c>
      <c r="P37" s="902">
        <f>((Config!L12/L42)-(Config!L12/L47))*(100-Config!O27)/(100-Config!O27)</f>
        <v>0</v>
      </c>
      <c r="Q37" s="743"/>
      <c r="R37" s="900"/>
      <c r="S37" s="901"/>
      <c r="T37" s="902"/>
      <c r="U37" s="2"/>
      <c r="V37" s="638">
        <f>'82'!$U$17</f>
        <v>1093</v>
      </c>
      <c r="W37" s="639">
        <f>'82'!$W$17</f>
        <v>701</v>
      </c>
      <c r="X37" s="640">
        <f>'82'!$Y$17</f>
        <v>363</v>
      </c>
      <c r="Y37" s="1114"/>
      <c r="AH37" s="1082" t="str">
        <f>Lang!$A$77</f>
        <v>Transport</v>
      </c>
      <c r="AI37" s="1083"/>
      <c r="AJ37" s="5"/>
      <c r="AK37" s="6"/>
      <c r="AL37" s="6"/>
      <c r="AM37" s="7"/>
      <c r="AN37" s="5"/>
      <c r="AO37" s="6"/>
      <c r="AP37" s="6"/>
      <c r="AQ37" s="7"/>
    </row>
    <row r="38" spans="1:43" ht="12.9" customHeight="1" x14ac:dyDescent="0.25">
      <c r="A38" s="427">
        <v>15</v>
      </c>
      <c r="B38" s="428">
        <v>6</v>
      </c>
      <c r="C38" s="428">
        <v>5</v>
      </c>
      <c r="D38" s="429">
        <v>10</v>
      </c>
      <c r="E38" s="457">
        <f>SUM(A38:D38)</f>
        <v>36</v>
      </c>
      <c r="F38" s="1122" t="str">
        <f>Lang!$A$78</f>
        <v>Share price</v>
      </c>
      <c r="G38" s="1123"/>
      <c r="H38" s="484">
        <f ca="1">IF('51'!$L$5&gt;0,OFFSET('54'!E35,,'51'!$L$5),'54'!F35)</f>
        <v>104.37</v>
      </c>
      <c r="I38" s="473"/>
      <c r="J38" s="385">
        <f t="shared" ca="1" si="12"/>
        <v>65.97698470815115</v>
      </c>
      <c r="K38" s="386">
        <f t="shared" ca="1" si="12"/>
        <v>82.314225023558919</v>
      </c>
      <c r="L38" s="387">
        <f t="shared" ca="1" si="12"/>
        <v>43.812802794726252</v>
      </c>
      <c r="M38" s="448">
        <f ca="1">SUM(J38:L38)/SUM(J13:L13)</f>
        <v>0.51105629995570723</v>
      </c>
      <c r="N38" s="900">
        <f>((Config!J13/J43)-(Config!J13/J48))*(100-Config!M28)/(100-Config!M28)</f>
        <v>-6.0948775605343293E-2</v>
      </c>
      <c r="O38" s="901">
        <f>((Config!K13/K43)-(Config!K13/K48))*(100-Config!N28)/(100-Config!N28)</f>
        <v>0</v>
      </c>
      <c r="P38" s="902">
        <f>((Config!L13/L43)-(Config!L13/L48))*(100-Config!O28)/(100-Config!O28)</f>
        <v>-8.7564508472772751E-3</v>
      </c>
      <c r="Q38" s="743"/>
      <c r="R38" s="900"/>
      <c r="S38" s="901"/>
      <c r="T38" s="902"/>
      <c r="U38" s="2"/>
      <c r="V38" s="638">
        <f>'82'!$U$18</f>
        <v>595</v>
      </c>
      <c r="W38" s="639">
        <f>'82'!$W$18</f>
        <v>362</v>
      </c>
      <c r="X38" s="640">
        <f>'82'!$Y$18</f>
        <v>190</v>
      </c>
      <c r="Y38" s="1114"/>
      <c r="Z38" s="23"/>
      <c r="AA38" s="23"/>
      <c r="AB38" s="23"/>
      <c r="AH38" s="1084"/>
      <c r="AI38" s="1085"/>
      <c r="AJ38" s="5"/>
      <c r="AK38" s="6"/>
      <c r="AL38" s="6"/>
      <c r="AM38" s="7"/>
      <c r="AN38" s="5">
        <f ca="1">CEILING(E2,1)*CEILING('52'!M36/400,1)*650</f>
        <v>20800</v>
      </c>
      <c r="AO38" s="6"/>
      <c r="AP38" s="6"/>
      <c r="AQ38" s="7"/>
    </row>
    <row r="39" spans="1:43" ht="12.9" customHeight="1" thickBot="1" x14ac:dyDescent="0.3">
      <c r="A39" s="427">
        <v>10</v>
      </c>
      <c r="B39" s="428">
        <v>6</v>
      </c>
      <c r="C39" s="428">
        <v>5</v>
      </c>
      <c r="D39" s="429">
        <v>5</v>
      </c>
      <c r="E39" s="457">
        <f>SUM(A39:D39)</f>
        <v>26</v>
      </c>
      <c r="F39" s="1096" t="str">
        <f>Lang!$A$79</f>
        <v>Exchange rate</v>
      </c>
      <c r="G39" s="1097"/>
      <c r="H39" s="485">
        <f ca="1">OFFSET(History!Q45,$B52,)</f>
        <v>0.83</v>
      </c>
      <c r="I39" s="483"/>
      <c r="J39" s="388">
        <f t="shared" ca="1" si="12"/>
        <v>55.59809349593769</v>
      </c>
      <c r="K39" s="389">
        <f t="shared" ca="1" si="12"/>
        <v>38.323908535965359</v>
      </c>
      <c r="L39" s="390">
        <f t="shared" ca="1" si="12"/>
        <v>20.295331444859301</v>
      </c>
      <c r="M39" s="448">
        <f ca="1">SUM(J39:L39)/SUM(J14:L14)</f>
        <v>0.11912744927997101</v>
      </c>
      <c r="N39" s="903">
        <f>((Config!J14/J44)-(Config!J14/J49))*(100-Config!M29)/(100-Config!M29)</f>
        <v>-4.089087115029999E-2</v>
      </c>
      <c r="O39" s="904">
        <f>((Config!K14/K44)-(Config!K14/K49))*(100-Config!N29)/(100-Config!N29)</f>
        <v>0</v>
      </c>
      <c r="P39" s="905">
        <f>((Config!L14/L44)-(Config!L14/L49))*(100-Config!O29)/(100-Config!O29)</f>
        <v>0</v>
      </c>
      <c r="Q39" s="743"/>
      <c r="R39" s="903">
        <f ca="1">($H$46+OFFSET(History!$N$58,$B$52,0)*Config!$H$14+OFFSET(History!$N$57,$B$52,0)*Config!$H$14^2+OFFSET(History!$N$56,$B$52,0)*Config!$H$14^3+1)^Config!$G$14-(OFFSET(History!$N$58,$B$52,0)+OFFSET(History!$N$57,$B$52,0)*Config!$H$14+OFFSET(History!$N$56,$B$52,0)*Config!$H$14^2+OFFSET(History!$N$55,$B$52,0)*Config!$H$14^3+1)^Config!$G$14</f>
        <v>7.2088749200036606E-3</v>
      </c>
      <c r="S39" s="904">
        <f ca="1">($H$46+OFFSET(History!$N$58,$B$52,0)*Config!$H$14+OFFSET(History!$N$57,$B$52,0)*Config!$H$14^2+OFFSET(History!$N$56,$B$52,0)*Config!$H$14^3+1)^Config!$G$14-(OFFSET(History!$N$58,$B$52,0)+OFFSET(History!$N$57,$B$52,0)*Config!$H$14+OFFSET(History!$N$56,$B$52,0)*Config!$H$14^2+OFFSET(History!$N$55,$B$52,0)*Config!$H$14^3+1)^Config!$G$14</f>
        <v>7.2088749200036606E-3</v>
      </c>
      <c r="T39" s="905">
        <f ca="1">($H$46+OFFSET(History!$N$58,$B$52,0)*Config!$H$14+OFFSET(History!$N$57,$B$52,0)*Config!$H$14^2+OFFSET(History!$N$56,$B$52,0)*Config!$H$14^3+1)^Config!$G$14-(OFFSET(History!$N$58,$B$52,0)+OFFSET(History!$N$57,$B$52,0)*Config!$H$14+OFFSET(History!$N$56,$B$52,0)*Config!$H$14^2+OFFSET(History!$N$55,$B$52,0)*Config!$H$14^3+1)^Config!$G$14</f>
        <v>7.2088749200036606E-3</v>
      </c>
      <c r="U39" s="2"/>
      <c r="V39" s="641">
        <f>'82'!$U$19</f>
        <v>928</v>
      </c>
      <c r="W39" s="642">
        <f>'82'!$W$19</f>
        <v>479</v>
      </c>
      <c r="X39" s="643">
        <f>'82'!$Y$19</f>
        <v>254</v>
      </c>
      <c r="Y39" s="1114"/>
      <c r="Z39" s="29"/>
      <c r="AA39" s="23"/>
      <c r="AB39" s="23"/>
      <c r="AH39" s="1084"/>
      <c r="AI39" s="1085"/>
      <c r="AJ39" s="5"/>
      <c r="AK39" s="6"/>
      <c r="AL39" s="6"/>
      <c r="AM39" s="7"/>
      <c r="AN39" s="5">
        <f ca="1">CEILING(E3,1)*CEILING('52'!N36/400,1)*650+CEILING(E3,1)*8000</f>
        <v>18600</v>
      </c>
      <c r="AO39" s="6"/>
      <c r="AP39" s="6"/>
      <c r="AQ39" s="7"/>
    </row>
    <row r="40" spans="1:43" ht="12.9" customHeight="1" thickBot="1" x14ac:dyDescent="0.3">
      <c r="A40" s="430">
        <v>15</v>
      </c>
      <c r="B40" s="431">
        <v>6</v>
      </c>
      <c r="C40" s="431">
        <v>5</v>
      </c>
      <c r="D40" s="432">
        <v>5</v>
      </c>
      <c r="E40" s="457">
        <f>SUM(A40:D40)</f>
        <v>31</v>
      </c>
      <c r="F40" s="1096" t="str">
        <f>Lang!$A$80</f>
        <v>Bank base rate</v>
      </c>
      <c r="G40" s="1097"/>
      <c r="H40" s="486">
        <f>'54'!G10</f>
        <v>0.5</v>
      </c>
      <c r="I40" s="483"/>
      <c r="J40" s="448">
        <f ca="1">SUM(J37:J39)/SUM(J12:J14)</f>
        <v>0.10175276464205715</v>
      </c>
      <c r="K40" s="448">
        <f ca="1">SUM(K37:K39)/SUM(K12:K14)</f>
        <v>0.13296723059498303</v>
      </c>
      <c r="L40" s="448">
        <f ca="1">SUM(L37:L39)/SUM(L12:L14)</f>
        <v>0.12532497888772928</v>
      </c>
      <c r="R40" s="107"/>
      <c r="S40" s="3"/>
      <c r="U40" s="2"/>
      <c r="V40" s="2"/>
      <c r="W40" s="8"/>
      <c r="Z40" s="23"/>
      <c r="AA40" s="23"/>
      <c r="AB40" s="23"/>
      <c r="AG40" s="8"/>
      <c r="AH40" s="1086"/>
      <c r="AI40" s="1087"/>
      <c r="AJ40" s="9"/>
      <c r="AK40" s="10"/>
      <c r="AL40" s="10"/>
      <c r="AM40" s="11"/>
      <c r="AN40" s="9">
        <f ca="1">CEILING(E4,1)*CEILING('52'!O36/400,1)*650</f>
        <v>2600</v>
      </c>
      <c r="AO40" s="10"/>
      <c r="AP40" s="10"/>
      <c r="AQ40" s="11"/>
    </row>
    <row r="41" spans="1:43" ht="12.9" customHeight="1" thickBot="1" x14ac:dyDescent="0.3">
      <c r="E41" s="3"/>
      <c r="F41" s="1096" t="str">
        <f>Lang!$A$81</f>
        <v>Issue/repurchase shares</v>
      </c>
      <c r="G41" s="1097"/>
      <c r="H41" s="392">
        <v>0</v>
      </c>
      <c r="I41" s="483"/>
      <c r="J41" s="1100" t="str">
        <f>Lang!$A$74</f>
        <v>Prices</v>
      </c>
      <c r="K41" s="1101"/>
      <c r="L41" s="1102"/>
      <c r="N41" s="1078" t="str">
        <f>Lang!$A$82</f>
        <v>Average prices</v>
      </c>
      <c r="O41" s="1079"/>
      <c r="P41" s="1088"/>
      <c r="R41" s="1116" t="str">
        <f>Lang!$A$83</f>
        <v>Manual correction</v>
      </c>
      <c r="S41" s="1117"/>
      <c r="T41" s="1118"/>
      <c r="U41" s="2"/>
      <c r="V41" s="1080" t="str">
        <f>IF(X41=4,"Taxes","")</f>
        <v/>
      </c>
      <c r="W41" s="1104"/>
      <c r="X41" s="634">
        <f>IF(X36=4,1,X36+1)</f>
        <v>2</v>
      </c>
      <c r="Y41" s="1114">
        <f>SUM(V42:X44)</f>
        <v>0</v>
      </c>
      <c r="AH41" s="1082" t="str">
        <f>Lang!$A$48</f>
        <v>R&amp;D</v>
      </c>
      <c r="AI41" s="1083"/>
      <c r="AJ41" s="5"/>
      <c r="AK41" s="6">
        <f ca="1">B19*1000</f>
        <v>28000</v>
      </c>
      <c r="AL41" s="6">
        <f ca="1">C19*1000</f>
        <v>18000</v>
      </c>
      <c r="AM41" s="7">
        <f ca="1">D19*1000</f>
        <v>11000</v>
      </c>
      <c r="AN41" s="5"/>
      <c r="AO41" s="6"/>
      <c r="AP41" s="6"/>
      <c r="AQ41" s="7"/>
    </row>
    <row r="42" spans="1:43" ht="12.9" customHeight="1" x14ac:dyDescent="0.25">
      <c r="A42" s="1078" t="str">
        <f>Lang!$A$84</f>
        <v>Market shares</v>
      </c>
      <c r="B42" s="1079"/>
      <c r="C42" s="1079"/>
      <c r="D42" s="918">
        <v>10</v>
      </c>
      <c r="E42" s="457">
        <f ca="1">SUM(B43:D45)</f>
        <v>380.58618357487921</v>
      </c>
      <c r="F42" s="1096" t="str">
        <f>Lang!$A$85</f>
        <v>Dividends</v>
      </c>
      <c r="G42" s="1097"/>
      <c r="H42" s="475">
        <v>0</v>
      </c>
      <c r="I42" s="455">
        <f ca="1">OFFSET(Config!$E$7,$B$52,0)</f>
        <v>0</v>
      </c>
      <c r="J42" s="409">
        <v>328</v>
      </c>
      <c r="K42" s="410">
        <v>490</v>
      </c>
      <c r="L42" s="411">
        <v>700</v>
      </c>
      <c r="M42" s="923">
        <f>AVERAGE(J42:L42)/AVERAGE(N47:P47)-1</f>
        <v>1.980198019801982E-3</v>
      </c>
      <c r="N42" s="421">
        <f>IF(ISNUMBER(AVERAGEIF('64'!F43:M43,"&gt;0")),AVERAGEIF('64'!F43:M43,"&gt;0"),0)</f>
        <v>325.42857142857144</v>
      </c>
      <c r="O42" s="422">
        <f>IF(ISNUMBER(AVERAGEIF('64'!F46:M46,"&gt;0")),AVERAGEIF('64'!F46:M46,"&gt;0"),0)</f>
        <v>491.42857142857144</v>
      </c>
      <c r="P42" s="423">
        <f>IF(ISNUMBER(AVERAGEIF('64'!F49:M49,"&gt;0")),AVERAGEIF('64'!F49:M49,"&gt;0"),0)</f>
        <v>700</v>
      </c>
      <c r="Q42" s="923">
        <f>AVERAGE(N42:P42)/AVERAGE(N47:P47)-1</f>
        <v>1.2258368694013644E-3</v>
      </c>
      <c r="R42" s="962">
        <v>-0.25</v>
      </c>
      <c r="S42" s="600">
        <v>-0.21</v>
      </c>
      <c r="T42" s="601">
        <v>-0.22</v>
      </c>
      <c r="U42" s="2"/>
      <c r="V42" s="638">
        <f>'92'!$U$17</f>
        <v>0</v>
      </c>
      <c r="W42" s="639">
        <f>'92'!$W$17</f>
        <v>0</v>
      </c>
      <c r="X42" s="640">
        <f>'92'!$Y$17</f>
        <v>0</v>
      </c>
      <c r="Y42" s="1114"/>
      <c r="Z42" s="30"/>
      <c r="AA42" s="30"/>
      <c r="AB42" s="30"/>
      <c r="AH42" s="1084"/>
      <c r="AI42" s="1085"/>
      <c r="AJ42" s="5"/>
      <c r="AK42" s="6"/>
      <c r="AL42" s="6"/>
      <c r="AM42" s="7"/>
      <c r="AN42" s="5"/>
      <c r="AO42" s="6"/>
      <c r="AP42" s="6"/>
      <c r="AQ42" s="7"/>
    </row>
    <row r="43" spans="1:43" ht="12.9" customHeight="1" x14ac:dyDescent="0.25">
      <c r="A43" s="915" t="str">
        <f>Lang!$A$7</f>
        <v>Europe</v>
      </c>
      <c r="B43" s="393">
        <f ca="1">IF($D$1=2,OFFSET(History!A$72,$B$52,0),OFFSET(Config!M27,$B$52*3,0)+(OFFSET(Config!M27,$B$52*3,0)-OFFSET(Config!M27,($B$52-1)*3,0))+IF($D$42&lt;&gt;0,$D$42,0))</f>
        <v>44.71304347826085</v>
      </c>
      <c r="C43" s="393">
        <f ca="1">IF($D$1=2,OFFSET(History!B$72,$B$52,0),OFFSET(Config!N27,$B$52*3,0)+(OFFSET(Config!N27,$B$52*3,0)-OFFSET(Config!N27,($B$52-1)*3,0))+IF($D$42&lt;&gt;0,$D$42,0))</f>
        <v>53.682608695652164</v>
      </c>
      <c r="D43" s="394">
        <f ca="1">IF($D$1=2,OFFSET(History!C$72,$B$52,0),OFFSET(Config!O27,$B$52*3,0)+(OFFSET(Config!O27,$B$52*3,0)-OFFSET(Config!O27,($B$52-1)*3,0))+IF($D$42&lt;&gt;0,$D$42,0))</f>
        <v>65.936956521739148</v>
      </c>
      <c r="F43" s="1096" t="str">
        <f>Lang!$A$86</f>
        <v>Term deposit</v>
      </c>
      <c r="G43" s="1097"/>
      <c r="H43" s="429">
        <v>0</v>
      </c>
      <c r="I43" s="483"/>
      <c r="J43" s="409">
        <v>340</v>
      </c>
      <c r="K43" s="410">
        <v>490</v>
      </c>
      <c r="L43" s="411">
        <v>730</v>
      </c>
      <c r="M43" s="923">
        <f>AVERAGE(J43:L43)/AVERAGE(N48:P48)-1</f>
        <v>6.4516129032259339E-3</v>
      </c>
      <c r="N43" s="421">
        <f>IF(ISNUMBER(AVERAGEIF('64'!F44:M44,"&gt;0")),AVERAGEIF('64'!F44:M44,"&gt;0"),0)</f>
        <v>334.28571428571428</v>
      </c>
      <c r="O43" s="422">
        <f>IF(ISNUMBER(AVERAGEIF('64'!F47:M47,"&gt;0")),AVERAGEIF('64'!F47:M47,"&gt;0"),0)</f>
        <v>491.42857142857144</v>
      </c>
      <c r="P43" s="423">
        <f>IF(ISNUMBER(AVERAGEIF('64'!F50:M50,"&gt;0")),AVERAGEIF('64'!F50:M50,"&gt;0"),0)</f>
        <v>720</v>
      </c>
      <c r="Q43" s="923">
        <f>AVERAGE(N43:P43)/AVERAGE(N48:P48)-1</f>
        <v>-2.7649769585251782E-3</v>
      </c>
      <c r="R43" s="962">
        <v>0.08</v>
      </c>
      <c r="S43" s="600">
        <v>0.05</v>
      </c>
      <c r="T43" s="601">
        <v>0</v>
      </c>
      <c r="U43" s="2"/>
      <c r="V43" s="638">
        <f>'92'!$U$18</f>
        <v>0</v>
      </c>
      <c r="W43" s="639">
        <f>'92'!$W$18</f>
        <v>0</v>
      </c>
      <c r="X43" s="640">
        <f>'92'!$Y$18</f>
        <v>0</v>
      </c>
      <c r="Y43" s="1114"/>
      <c r="AH43" s="1084"/>
      <c r="AI43" s="1085"/>
      <c r="AJ43" s="5"/>
      <c r="AK43" s="6"/>
      <c r="AL43" s="6"/>
      <c r="AM43" s="7"/>
      <c r="AN43" s="5"/>
      <c r="AO43" s="6"/>
      <c r="AP43" s="6"/>
      <c r="AQ43" s="7"/>
    </row>
    <row r="44" spans="1:43" ht="12.9" customHeight="1" thickBot="1" x14ac:dyDescent="0.3">
      <c r="A44" s="915" t="str">
        <f>Lang!$A$9</f>
        <v>Nafta</v>
      </c>
      <c r="B44" s="393">
        <f ca="1">IF($D$1=2,OFFSET(History!D$72,$B$52,0),OFFSET(Config!M28,$B$52*3,0)+(OFFSET(Config!M28,$B$52*3,0)-OFFSET(Config!M28,($B$52-1)*3,0))+IF($D$42&lt;&gt;0,$D$42,0))</f>
        <v>19.384782608695652</v>
      </c>
      <c r="C44" s="393">
        <f ca="1">IF($D$1=2,OFFSET(History!E$72,$B$52,0),OFFSET(Config!N28,$B$52*3,0)+(OFFSET(Config!N28,$B$52*3,0)-OFFSET(Config!N28,($B$52-1)*3,0))+IF($D$42&lt;&gt;0,$D$42,0))</f>
        <v>25.243478260869562</v>
      </c>
      <c r="D44" s="394">
        <f ca="1">IF($D$1=2,OFFSET(History!F$72,$B$52,0),OFFSET(Config!O28,$B$52*3,0)+(OFFSET(Config!O28,$B$52*3,0)-OFFSET(Config!O28,($B$52-1)*3,0))+IF($D$42&lt;&gt;0,$D$42,0))</f>
        <v>31.464444444444446</v>
      </c>
      <c r="F44" s="1096" t="str">
        <f>Lang!$A$87</f>
        <v>Term loans</v>
      </c>
      <c r="G44" s="1097"/>
      <c r="H44" s="429">
        <v>0</v>
      </c>
      <c r="I44" s="483"/>
      <c r="J44" s="412">
        <v>380</v>
      </c>
      <c r="K44" s="413">
        <v>590</v>
      </c>
      <c r="L44" s="414">
        <v>850</v>
      </c>
      <c r="M44" s="923">
        <f>AVERAGE(J44:L44)/AVERAGE(N49:P49)-1</f>
        <v>2.7548209366390353E-3</v>
      </c>
      <c r="N44" s="424">
        <f>IF(ISNUMBER(AVERAGEIF('64'!F45:M45,"&gt;0")),AVERAGEIF('64'!F45:M45,"&gt;0"),0)</f>
        <v>367.85714285714283</v>
      </c>
      <c r="O44" s="425">
        <f>IF(ISNUMBER(AVERAGEIF('64'!F48:M48,"&gt;0")),AVERAGEIF('64'!F48:M48,"&gt;0"),0)</f>
        <v>582.85714285714289</v>
      </c>
      <c r="P44" s="426">
        <f>IF(ISNUMBER(AVERAGEIF('64'!F51:M51,"&gt;0")),AVERAGEIF('64'!F51:M51,"&gt;0"),0)</f>
        <v>833.57142857142856</v>
      </c>
      <c r="Q44" s="923">
        <f>AVERAGE(N44:P44)/AVERAGE(N49:P49)-1</f>
        <v>-1.6922471467926137E-2</v>
      </c>
      <c r="R44" s="963">
        <v>0.8</v>
      </c>
      <c r="S44" s="964">
        <v>0.8</v>
      </c>
      <c r="T44" s="965">
        <v>0.72</v>
      </c>
      <c r="U44" s="2"/>
      <c r="V44" s="641">
        <f>'92'!$U$19</f>
        <v>0</v>
      </c>
      <c r="W44" s="642">
        <f>'92'!$W$19</f>
        <v>0</v>
      </c>
      <c r="X44" s="643">
        <f>'92'!$Y$19</f>
        <v>0</v>
      </c>
      <c r="Y44" s="1114"/>
      <c r="AC44" s="23"/>
      <c r="AD44" s="23"/>
      <c r="AE44" s="23"/>
      <c r="AH44" s="1086"/>
      <c r="AI44" s="1087"/>
      <c r="AJ44" s="9"/>
      <c r="AK44" s="10"/>
      <c r="AL44" s="10"/>
      <c r="AM44" s="11"/>
      <c r="AN44" s="9"/>
      <c r="AO44" s="10"/>
      <c r="AP44" s="10"/>
      <c r="AQ44" s="11"/>
    </row>
    <row r="45" spans="1:43" ht="12.9" customHeight="1" thickBot="1" x14ac:dyDescent="0.3">
      <c r="A45" s="916" t="str">
        <f>Lang!$A$11</f>
        <v>Internet</v>
      </c>
      <c r="B45" s="919">
        <f ca="1">IF($D$1=2,OFFSET(History!G$72,$B$52,0),OFFSET(Config!M29,$B$52*3,0)+(OFFSET(Config!M29,$B$52*3,0)-OFFSET(Config!M29,($B$52-1)*3,0))+IF($D$42&lt;&gt;0,$D$42,0))</f>
        <v>38.841304347826082</v>
      </c>
      <c r="C45" s="919">
        <f ca="1">IF($D$1=2,OFFSET(History!H$72,$B$52,0),OFFSET(Config!N29,$B$52*3,0)+(OFFSET(Config!N29,$B$52*3,0)-OFFSET(Config!N29,($B$52-1)*3,0))+IF($D$42&lt;&gt;0,$D$42,0))</f>
        <v>43.604347826086958</v>
      </c>
      <c r="D45" s="920">
        <f ca="1">IF($D$1=2,OFFSET(History!I$72,$B$52,0),OFFSET(Config!O29,$B$52*3,0)+(OFFSET(Config!O29,$B$52*3,0)-OFFSET(Config!O29,($B$52-1)*3,0))+IF($D$42&lt;&gt;0,$D$42,0))</f>
        <v>57.715217391304328</v>
      </c>
      <c r="E45" s="151"/>
      <c r="F45" s="1105" t="str">
        <f>Lang!$A$68</f>
        <v>Ports</v>
      </c>
      <c r="G45" s="1106"/>
      <c r="H45" s="567">
        <f ca="1">IF($D$1=2,OFFSET(History!$K$59,$B$52,0),I45)</f>
        <v>8</v>
      </c>
      <c r="I45" s="481">
        <f>CEILING(I49*0.0001+6,1)</f>
        <v>8</v>
      </c>
      <c r="J45" s="923">
        <f>AVERAGE(J42:J44)/AVERAGE(N47:N49)-1</f>
        <v>1.256038647342983E-2</v>
      </c>
      <c r="K45" s="923">
        <f>AVERAGE(K42:K44)/AVERAGE(O47:O49)-1</f>
        <v>0</v>
      </c>
      <c r="L45" s="923">
        <f>AVERAGE(L42:L44)/AVERAGE(P47:P49)-1</f>
        <v>2.19780219780219E-3</v>
      </c>
      <c r="M45" s="703"/>
      <c r="N45" s="923">
        <f>AVERAGE(N42:N44)/AVERAGE(N47:N49)-1</f>
        <v>-7.1773636991027123E-3</v>
      </c>
      <c r="O45" s="923">
        <f>AVERAGE(O42:O44)/AVERAGE(O47:O49)-1</f>
        <v>-2.7297543221110887E-3</v>
      </c>
      <c r="P45" s="923">
        <f>AVERAGE(P42:P44)/AVERAGE(P47:P49)-1</f>
        <v>-9.4191522762951951E-3</v>
      </c>
      <c r="Q45" s="3"/>
      <c r="R45" s="113"/>
      <c r="S45" s="113"/>
      <c r="T45" s="113"/>
      <c r="U45" s="2"/>
      <c r="V45" s="2"/>
      <c r="W45" s="8"/>
      <c r="AC45" s="23"/>
      <c r="AD45" s="23"/>
      <c r="AE45" s="23"/>
      <c r="AH45" s="1082" t="str">
        <f>Lang!$A$75</f>
        <v>Web-site development</v>
      </c>
      <c r="AI45" s="1083"/>
      <c r="AJ45" s="5"/>
      <c r="AK45" s="6"/>
      <c r="AL45" s="6"/>
      <c r="AM45" s="7"/>
      <c r="AN45" s="5"/>
      <c r="AO45" s="6"/>
      <c r="AP45" s="6"/>
      <c r="AQ45" s="7"/>
    </row>
    <row r="46" spans="1:43" ht="12.9" customHeight="1" thickBot="1" x14ac:dyDescent="0.3">
      <c r="F46" s="1107" t="str">
        <f>Lang!$A$75</f>
        <v>Web-site development</v>
      </c>
      <c r="G46" s="1108"/>
      <c r="H46" s="429">
        <v>17</v>
      </c>
      <c r="I46" s="487"/>
      <c r="J46" s="1109" t="str">
        <f>Lang!$A$88</f>
        <v>Prices previous quarter</v>
      </c>
      <c r="K46" s="1110"/>
      <c r="L46" s="1111"/>
      <c r="N46" s="1109" t="str">
        <f>Lang!$A$89</f>
        <v>Average prices previous quarter</v>
      </c>
      <c r="O46" s="1110"/>
      <c r="P46" s="1111"/>
      <c r="Q46" s="3"/>
      <c r="R46" s="1112" t="str">
        <f>Lang!$A$90</f>
        <v>Deviation</v>
      </c>
      <c r="S46" s="1113"/>
      <c r="T46" s="69">
        <v>0</v>
      </c>
      <c r="U46" s="2"/>
      <c r="V46" s="1080" t="str">
        <f>IF(X46=4,"Taxes","")</f>
        <v/>
      </c>
      <c r="W46" s="1104"/>
      <c r="X46" s="634">
        <f>IF(X41=4,1,X41+1)</f>
        <v>3</v>
      </c>
      <c r="Y46" s="1114">
        <f>SUM(V47:X49)</f>
        <v>0</v>
      </c>
      <c r="AC46" s="23"/>
      <c r="AD46" s="23"/>
      <c r="AE46" s="23"/>
      <c r="AH46" s="1084"/>
      <c r="AI46" s="1085"/>
      <c r="AJ46" s="5"/>
      <c r="AK46" s="6"/>
      <c r="AL46" s="6"/>
      <c r="AM46" s="7"/>
      <c r="AN46" s="5"/>
      <c r="AO46" s="6"/>
      <c r="AP46" s="6"/>
      <c r="AQ46" s="7"/>
    </row>
    <row r="47" spans="1:43" ht="12.9" customHeight="1" x14ac:dyDescent="0.25">
      <c r="A47" s="1078" t="str">
        <f>Lang!$A$91</f>
        <v>Variable costs in price</v>
      </c>
      <c r="B47" s="1079"/>
      <c r="C47" s="1079"/>
      <c r="D47" s="1088"/>
      <c r="F47" s="1096" t="str">
        <f>Lang!$A$115</f>
        <v>Management budget</v>
      </c>
      <c r="G47" s="1097"/>
      <c r="H47" s="429">
        <v>80</v>
      </c>
      <c r="I47" s="457">
        <f ca="1">(C71-C70)*0.14/1000</f>
        <v>65.726252958863526</v>
      </c>
      <c r="J47" s="415">
        <f>'51'!F19</f>
        <v>325</v>
      </c>
      <c r="K47" s="416">
        <f>'51'!H19</f>
        <v>490</v>
      </c>
      <c r="L47" s="417">
        <f>'51'!J19</f>
        <v>700</v>
      </c>
      <c r="N47" s="421">
        <f>AVERAGEIF('54'!F43:M43,"&gt;0")</f>
        <v>325</v>
      </c>
      <c r="O47" s="422">
        <f>AVERAGEIF('54'!F46:M46,"&gt;0")</f>
        <v>490</v>
      </c>
      <c r="P47" s="423">
        <f>AVERAGEIF('54'!F49:M49,"&gt;0")</f>
        <v>700</v>
      </c>
      <c r="R47" s="908">
        <f ca="1">IF('52'!U17&gt;0,'62'!U17/'52'!U17-1-N2,0)</f>
        <v>-1.3018043517152578E-3</v>
      </c>
      <c r="S47" s="909">
        <f ca="1">IF('52'!W17&gt;0,'62'!W17/'52'!W17-1-O2,0)</f>
        <v>2.1907253095261314E-3</v>
      </c>
      <c r="T47" s="910">
        <f ca="1">IF('52'!Y17&gt;0,'62'!Y17/'52'!Y17-1-P2,0)</f>
        <v>6.0936943777513686E-3</v>
      </c>
      <c r="U47" s="2"/>
      <c r="V47" s="638">
        <f>'102'!$U$17</f>
        <v>0</v>
      </c>
      <c r="W47" s="639">
        <f>'102'!$W$17</f>
        <v>0</v>
      </c>
      <c r="X47" s="640">
        <f>'102'!$Y$17</f>
        <v>0</v>
      </c>
      <c r="Y47" s="1114"/>
      <c r="AH47" s="1084"/>
      <c r="AI47" s="1085"/>
      <c r="AJ47" s="5"/>
      <c r="AK47" s="6"/>
      <c r="AL47" s="6"/>
      <c r="AM47" s="7"/>
      <c r="AN47" s="5"/>
      <c r="AO47" s="6"/>
      <c r="AP47" s="6"/>
      <c r="AQ47" s="7"/>
    </row>
    <row r="48" spans="1:43" ht="12.9" customHeight="1" thickBot="1" x14ac:dyDescent="0.3">
      <c r="A48" s="4" t="str">
        <f>Lang!$A$7</f>
        <v>Europe</v>
      </c>
      <c r="B48" s="449">
        <f ca="1">AO6/(B2*(1+'52'!U$8/'52'!U$6))/J42</f>
        <v>0.60659416674694011</v>
      </c>
      <c r="C48" s="449">
        <f ca="1">AP6/(C2*(1+'52'!W$8/'52'!W$6))/K42</f>
        <v>0.62534278738944626</v>
      </c>
      <c r="D48" s="450">
        <f ca="1">AQ6/(D2*(1+'52'!Y$8/'52'!Y$6))/L42</f>
        <v>0.71217951806700652</v>
      </c>
      <c r="E48" s="448">
        <f ca="1">E49+E50</f>
        <v>0.86866956720538446</v>
      </c>
      <c r="F48" s="1096" t="str">
        <f>Lang!$A$92</f>
        <v>Insurance plan</v>
      </c>
      <c r="G48" s="1097"/>
      <c r="H48" s="392">
        <f ca="1">IF($D$1=2,OFFSET(History!$O$33,$B$52,0),IF(OFFSET(Config!D20,B52,)&gt;('53'!R12+'53'!L18)*0.005,4,0))</f>
        <v>0</v>
      </c>
      <c r="I48" s="483"/>
      <c r="J48" s="415">
        <f>'51'!F20</f>
        <v>335</v>
      </c>
      <c r="K48" s="416">
        <f>'51'!H20</f>
        <v>490</v>
      </c>
      <c r="L48" s="417">
        <f>'51'!J20</f>
        <v>725</v>
      </c>
      <c r="N48" s="421">
        <f>AVERAGEIF('54'!F44:M44,"&gt;0")</f>
        <v>335</v>
      </c>
      <c r="O48" s="422">
        <f>AVERAGEIF('54'!F47:M47,"&gt;0")</f>
        <v>490</v>
      </c>
      <c r="P48" s="423">
        <f>AVERAGEIF('54'!F50:M50,"&gt;0")</f>
        <v>725</v>
      </c>
      <c r="R48" s="908">
        <f ca="1">IF('52'!U18&gt;0,'62'!U18/'52'!U18-1-N3,0)</f>
        <v>4.0794956624189582E-2</v>
      </c>
      <c r="S48" s="909">
        <f ca="1">IF('52'!W18&gt;0,'62'!W18/'52'!W18-1-O3,0)</f>
        <v>1.9285208529657649E-2</v>
      </c>
      <c r="T48" s="910">
        <f ca="1">IF('52'!Y18&gt;0,'62'!Y18/'52'!Y18-1-P3,0)</f>
        <v>1.2901631662321555E-2</v>
      </c>
      <c r="U48" s="2"/>
      <c r="V48" s="638">
        <f>'102'!$U$18</f>
        <v>0</v>
      </c>
      <c r="W48" s="639">
        <f>'102'!$W$18</f>
        <v>0</v>
      </c>
      <c r="X48" s="640">
        <f>'102'!$Y$18</f>
        <v>0</v>
      </c>
      <c r="Y48" s="1114"/>
      <c r="AB48" s="23"/>
      <c r="AC48" s="23"/>
      <c r="AD48" s="23"/>
      <c r="AE48" s="23"/>
      <c r="AH48" s="1086"/>
      <c r="AI48" s="1087"/>
      <c r="AJ48" s="9">
        <f>C62</f>
        <v>17000</v>
      </c>
      <c r="AK48" s="10"/>
      <c r="AL48" s="10"/>
      <c r="AM48" s="11"/>
      <c r="AN48" s="9"/>
      <c r="AO48" s="10"/>
      <c r="AP48" s="10"/>
      <c r="AQ48" s="11"/>
    </row>
    <row r="49" spans="1:43" ht="12.9" customHeight="1" thickBot="1" x14ac:dyDescent="0.3">
      <c r="A49" s="4" t="str">
        <f>Lang!$A$9</f>
        <v>Nafta</v>
      </c>
      <c r="B49" s="449">
        <f ca="1">AO7/(B3*(1+'52'!U$8/'52'!U$6))/J43</f>
        <v>0.62965223194500086</v>
      </c>
      <c r="C49" s="449">
        <f ca="1">AP7/(C3*(1+'52'!W$8/'52'!W$6))/K43</f>
        <v>0.66546971538879196</v>
      </c>
      <c r="D49" s="450">
        <f ca="1">AQ7/(D3*(1+'52'!Y$8/'52'!Y$6))/L43</f>
        <v>0.72873269154200759</v>
      </c>
      <c r="E49" s="448">
        <f ca="1">AN1</f>
        <v>0.62768745660226888</v>
      </c>
      <c r="F49" s="1096" t="str">
        <f>Lang!$A$93</f>
        <v>Corporate activity</v>
      </c>
      <c r="G49" s="1097"/>
      <c r="H49" s="429">
        <v>1</v>
      </c>
      <c r="I49" s="457">
        <f>I50*0.85+A40*500</f>
        <v>13362.45</v>
      </c>
      <c r="J49" s="418">
        <f>'51'!F21</f>
        <v>375</v>
      </c>
      <c r="K49" s="419">
        <f>'51'!H21</f>
        <v>590</v>
      </c>
      <c r="L49" s="420">
        <f>'51'!J21</f>
        <v>850</v>
      </c>
      <c r="N49" s="424">
        <f>AVERAGEIF('54'!F45:M45,"&gt;0")</f>
        <v>375</v>
      </c>
      <c r="O49" s="425">
        <f>AVERAGEIF('54'!F48:M48,"&gt;0")</f>
        <v>590</v>
      </c>
      <c r="P49" s="426">
        <f>AVERAGEIF('54'!F51:M51,"&gt;0")</f>
        <v>850</v>
      </c>
      <c r="R49" s="911">
        <f ca="1">IF('52'!U19&gt;0,'62'!U19/'52'!U19-1-N4,0)</f>
        <v>2.4612901067393445E-3</v>
      </c>
      <c r="S49" s="912">
        <f ca="1">IF('52'!W19&gt;0,'62'!W19/'52'!W19-1-O4,0)</f>
        <v>1.939572071648632E-3</v>
      </c>
      <c r="T49" s="913">
        <f ca="1">IF('52'!Y19&gt;0,'62'!Y19/'52'!Y19-1-P4,0)</f>
        <v>3.1087520511505762E-3</v>
      </c>
      <c r="U49" s="2"/>
      <c r="V49" s="641">
        <f>'102'!$U$19</f>
        <v>0</v>
      </c>
      <c r="W49" s="642">
        <f>'102'!$W$19</f>
        <v>0</v>
      </c>
      <c r="X49" s="643">
        <f>'102'!$Y$19</f>
        <v>0</v>
      </c>
      <c r="Y49" s="1114"/>
      <c r="AC49" s="23"/>
      <c r="AD49" s="23"/>
      <c r="AE49" s="23"/>
      <c r="AH49" s="1082" t="str">
        <f>Lang!$A$106</f>
        <v>Personnel department</v>
      </c>
      <c r="AI49" s="1083"/>
      <c r="AJ49" s="5">
        <f>C63</f>
        <v>14000</v>
      </c>
      <c r="AK49" s="6"/>
      <c r="AL49" s="6"/>
      <c r="AM49" s="7"/>
      <c r="AN49" s="5"/>
      <c r="AO49" s="6"/>
      <c r="AP49" s="6"/>
      <c r="AQ49" s="7"/>
    </row>
    <row r="50" spans="1:43" ht="12.9" customHeight="1" thickBot="1" x14ac:dyDescent="0.3">
      <c r="A50" s="12" t="str">
        <f>Lang!$A$11</f>
        <v>Internet</v>
      </c>
      <c r="B50" s="451">
        <f ca="1">AO8/(B4*(1+'52'!U$8/'52'!U$6))/J44</f>
        <v>0.53391526122783239</v>
      </c>
      <c r="C50" s="451">
        <f ca="1">AP8/(C4*(1+'52'!W$8/'52'!W$6))/K44</f>
        <v>0.53871049508469027</v>
      </c>
      <c r="D50" s="452">
        <f ca="1">AQ8/(D4*(1+'52'!Y$8/'52'!Y$6))/L44</f>
        <v>0.60742704765079758</v>
      </c>
      <c r="E50" s="448">
        <f ca="1">AN1/AN5*AJ5</f>
        <v>0.24098211060311558</v>
      </c>
      <c r="F50" s="1098" t="str">
        <f>Lang!$A$84</f>
        <v>Market shares</v>
      </c>
      <c r="G50" s="1099"/>
      <c r="H50" s="550">
        <f>IF($D$1=2,'61'!P35,1)</f>
        <v>1</v>
      </c>
      <c r="I50" s="473">
        <f>'52'!G43</f>
        <v>6897</v>
      </c>
      <c r="Q50" s="133"/>
      <c r="U50" s="2"/>
      <c r="AH50" s="1084"/>
      <c r="AI50" s="1085"/>
      <c r="AJ50" s="5"/>
      <c r="AK50" s="6"/>
      <c r="AL50" s="6"/>
      <c r="AM50" s="7"/>
      <c r="AN50" s="5"/>
      <c r="AO50" s="6"/>
      <c r="AP50" s="6"/>
      <c r="AQ50" s="7"/>
    </row>
    <row r="51" spans="1:43" ht="12.9" customHeight="1" x14ac:dyDescent="0.25">
      <c r="F51" s="25"/>
      <c r="G51" s="25"/>
      <c r="H51" s="25"/>
      <c r="J51" s="945"/>
      <c r="K51" s="945"/>
      <c r="L51" s="945"/>
      <c r="M51" s="380"/>
      <c r="R51" s="767"/>
      <c r="S51" s="767"/>
      <c r="T51" s="767"/>
      <c r="U51" s="2"/>
      <c r="V51" s="95"/>
      <c r="W51" s="95"/>
      <c r="X51" s="95"/>
      <c r="AH51" s="1084"/>
      <c r="AI51" s="1085"/>
      <c r="AJ51" s="5"/>
      <c r="AK51" s="6"/>
      <c r="AL51" s="6"/>
      <c r="AM51" s="7"/>
      <c r="AN51" s="5"/>
      <c r="AO51" s="6"/>
      <c r="AP51" s="6"/>
      <c r="AQ51" s="7"/>
    </row>
    <row r="52" spans="1:43" ht="12.9" customHeight="1" thickBot="1" x14ac:dyDescent="0.3">
      <c r="A52" s="3" t="str">
        <f>Lang!$A$94</f>
        <v>Decision</v>
      </c>
      <c r="B52" s="461">
        <v>1</v>
      </c>
      <c r="C52" s="3" t="str">
        <f>Lang!$A$95</f>
        <v>Quarter</v>
      </c>
      <c r="D52" s="462">
        <f>IF('51'!S9=4,1,'51'!S9+1)</f>
        <v>3</v>
      </c>
      <c r="F52" s="25"/>
      <c r="G52" s="25"/>
      <c r="H52" s="25"/>
      <c r="J52" s="945"/>
      <c r="K52" s="945"/>
      <c r="L52" s="945"/>
      <c r="N52" s="150"/>
      <c r="R52" s="906"/>
      <c r="S52" s="906"/>
      <c r="T52" s="906"/>
      <c r="V52" s="95"/>
      <c r="W52" s="95"/>
      <c r="X52" s="95"/>
      <c r="AH52" s="1086"/>
      <c r="AI52" s="1087"/>
      <c r="AJ52" s="9"/>
      <c r="AK52" s="10"/>
      <c r="AL52" s="10"/>
      <c r="AM52" s="11"/>
      <c r="AN52" s="9"/>
      <c r="AO52" s="10"/>
      <c r="AP52" s="10"/>
      <c r="AQ52" s="11"/>
    </row>
    <row r="53" spans="1:43" ht="12.9" customHeight="1" x14ac:dyDescent="0.25">
      <c r="E53" s="151"/>
      <c r="F53" s="25"/>
      <c r="G53" s="25"/>
      <c r="H53" s="25"/>
      <c r="J53" s="945"/>
      <c r="K53" s="945"/>
      <c r="L53" s="945"/>
      <c r="M53" s="380"/>
      <c r="N53" s="150"/>
      <c r="Q53" s="3"/>
      <c r="R53" s="906"/>
      <c r="S53" s="906"/>
      <c r="T53" s="906"/>
      <c r="V53" s="95"/>
      <c r="W53" s="95"/>
      <c r="X53" s="95"/>
      <c r="AH53" s="1082" t="str">
        <f>Lang!$A$37</f>
        <v>Maintenance hours</v>
      </c>
      <c r="AI53" s="1083"/>
      <c r="AJ53" s="5">
        <f ca="1">C64</f>
        <v>6800</v>
      </c>
      <c r="AK53" s="6"/>
      <c r="AL53" s="6"/>
      <c r="AM53" s="7"/>
      <c r="AN53" s="5"/>
      <c r="AO53" s="6"/>
      <c r="AP53" s="6"/>
      <c r="AQ53" s="7"/>
    </row>
    <row r="54" spans="1:43" ht="12.9" customHeight="1" x14ac:dyDescent="0.25">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V54" s="95"/>
      <c r="W54" s="95"/>
      <c r="X54" s="95"/>
      <c r="AH54" s="1084"/>
      <c r="AI54" s="1085"/>
      <c r="AJ54" s="5"/>
      <c r="AK54" s="6"/>
      <c r="AL54" s="6"/>
      <c r="AM54" s="7"/>
      <c r="AN54" s="5"/>
      <c r="AO54" s="6"/>
      <c r="AP54" s="6"/>
      <c r="AQ54" s="7"/>
    </row>
    <row r="55" spans="1:43" ht="12.9" customHeight="1" x14ac:dyDescent="0.25">
      <c r="A55" s="21" t="str">
        <f>Lang!$A$38</f>
        <v>Advertising</v>
      </c>
      <c r="B55" s="20"/>
      <c r="C55" s="19">
        <f>SUM(A38:D40)*1000</f>
        <v>93000</v>
      </c>
      <c r="D55" s="504">
        <f>'63'!F8</f>
        <v>93000</v>
      </c>
      <c r="E55" s="23"/>
      <c r="F55" s="20" t="str">
        <f>Lang!$A$100</f>
        <v>Orders revenue</v>
      </c>
      <c r="H55" s="22">
        <f ca="1">J12*J42+J13*J43+J14*J44+K12*K42+K13*K43+K14*K44+L12*L42+L13*L43+L14*L44</f>
        <v>1614896.5321006984</v>
      </c>
      <c r="I55" s="151">
        <f ca="1">H56-H55</f>
        <v>14980</v>
      </c>
      <c r="J55" s="23"/>
      <c r="K55" s="501" t="str">
        <f>Lang!$A$153</f>
        <v>Non-current assets</v>
      </c>
      <c r="L55" s="501"/>
      <c r="M55" s="20"/>
      <c r="N55" s="655"/>
      <c r="O55" s="504"/>
      <c r="P55" s="149" t="str">
        <f>Lang!$A$101</f>
        <v>Operating activities</v>
      </c>
      <c r="Q55" s="3"/>
      <c r="R55" s="3"/>
      <c r="S55" s="3"/>
      <c r="V55" s="95"/>
      <c r="W55" s="95"/>
      <c r="X55" s="95"/>
      <c r="AH55" s="1084"/>
      <c r="AI55" s="1085"/>
      <c r="AJ55" s="5"/>
      <c r="AK55" s="6"/>
      <c r="AL55" s="6"/>
      <c r="AM55" s="7"/>
      <c r="AN55" s="5"/>
      <c r="AO55" s="6"/>
      <c r="AP55" s="6"/>
      <c r="AQ55" s="7"/>
    </row>
    <row r="56" spans="1:43" ht="12.9" customHeight="1" thickBot="1" x14ac:dyDescent="0.3">
      <c r="A56" s="21" t="str">
        <f>Lang!$A$47</f>
        <v>Internet distributor</v>
      </c>
      <c r="B56" s="20"/>
      <c r="C56" s="19">
        <f ca="1">(J19*J44+K19*K44+L19*L44)*D30+C30*1000</f>
        <v>46019.941069503562</v>
      </c>
      <c r="D56" s="504">
        <f>'63'!F9</f>
        <v>29278</v>
      </c>
      <c r="E56" s="23"/>
      <c r="F56" s="20" t="str">
        <f>Lang!$A$102</f>
        <v>Sales revenue</v>
      </c>
      <c r="H56" s="19">
        <f ca="1">(J17*J42+K17*K42+L17*L42+J18*J43+K18*K43+L18*L43+J19*J44+K19*K44+L19*L44)+E17</f>
        <v>1629876.5321006984</v>
      </c>
      <c r="I56" s="504">
        <f>'63'!L8</f>
        <v>1316350</v>
      </c>
      <c r="J56" s="23"/>
      <c r="K56" s="3" t="str">
        <f>Lang!$A$238</f>
        <v>Land</v>
      </c>
      <c r="L56" s="2"/>
      <c r="M56" s="19">
        <f>'53'!R9</f>
        <v>50000</v>
      </c>
      <c r="N56" s="504">
        <f>'63'!R9</f>
        <v>50000</v>
      </c>
      <c r="O56" s="655"/>
      <c r="P56" s="3" t="str">
        <f>Lang!$A$249</f>
        <v>Trading receipts</v>
      </c>
      <c r="Q56" s="3"/>
      <c r="R56" s="19">
        <f ca="1">(J17*J42+K17*K42+L17*L42)*0.34+('51'!F19*'52'!U22+'51'!H19*'52'!W22+'51'!J19*'52'!Y22)*0.66+('51'!F20*'52'!U23+'51'!H20*'52'!W23+'51'!J20*'52'!Y23)+(J19*J44+K19*K44+L19*L44)</f>
        <v>1575394.6351158235</v>
      </c>
      <c r="S56" s="504">
        <f>'63'!X9</f>
        <v>1327524</v>
      </c>
      <c r="V56" s="95"/>
      <c r="AH56" s="1086"/>
      <c r="AI56" s="1087"/>
      <c r="AJ56" s="9"/>
      <c r="AK56" s="10"/>
      <c r="AL56" s="10"/>
      <c r="AM56" s="11"/>
      <c r="AN56" s="9"/>
      <c r="AO56" s="10"/>
      <c r="AP56" s="10"/>
      <c r="AQ56" s="11"/>
    </row>
    <row r="57" spans="1:43" ht="12.9" customHeight="1" x14ac:dyDescent="0.25">
      <c r="A57" s="21" t="str">
        <f>Lang!$A$54</f>
        <v>Internet service provider</v>
      </c>
      <c r="B57" s="20"/>
      <c r="C57" s="19">
        <f ca="1">(J19*J44+K19*K44+L19*L44)*0.03+'52'!G42*1000</f>
        <v>20437.11760121581</v>
      </c>
      <c r="D57" s="504">
        <f>'63'!F10</f>
        <v>13261</v>
      </c>
      <c r="E57" s="23"/>
      <c r="F57" s="20"/>
      <c r="H57" s="22"/>
      <c r="I57" s="504"/>
      <c r="J57" s="23"/>
      <c r="K57" s="20" t="str">
        <f>Lang!$A$239</f>
        <v>Buildings</v>
      </c>
      <c r="L57" s="20"/>
      <c r="M57" s="19">
        <f>'53'!R10+D13*500</f>
        <v>275000</v>
      </c>
      <c r="N57" s="504">
        <f>'63'!R10</f>
        <v>275000</v>
      </c>
      <c r="O57" s="655"/>
      <c r="P57" s="3" t="str">
        <f>Lang!$A$234</f>
        <v>Insurance receipts</v>
      </c>
      <c r="Q57" s="3"/>
      <c r="R57" s="19">
        <f ca="1">H70</f>
        <v>0</v>
      </c>
      <c r="S57" s="504">
        <f>'63'!X10</f>
        <v>0</v>
      </c>
      <c r="V57" s="95"/>
      <c r="AH57" s="1082" t="str">
        <f>Lang!$A$107</f>
        <v xml:space="preserve">Purchasing and warehousing </v>
      </c>
      <c r="AI57" s="1083"/>
      <c r="AJ57" s="5">
        <f ca="1">C65</f>
        <v>8562.1799418700703</v>
      </c>
      <c r="AK57" s="6"/>
      <c r="AL57" s="6"/>
      <c r="AM57" s="7"/>
      <c r="AN57" s="5"/>
      <c r="AO57" s="6"/>
      <c r="AP57" s="6"/>
      <c r="AQ57" s="7"/>
    </row>
    <row r="58" spans="1:43" ht="12.9" customHeight="1" x14ac:dyDescent="0.25">
      <c r="A58" s="379" t="str">
        <f>Lang!$A$58</f>
        <v>Agents and distributors</v>
      </c>
      <c r="B58" s="20"/>
      <c r="C58" s="19">
        <f ca="1">(J12*J42+K12*K42+L12*L42)*MAX('51'!W14/100,D28)+(J18*J43+K18*K43+L18*L43)*MAX('51'!W15/100,D29)+(E28*MAX('51'!T14,C28)+E29*MAX('51'!T15,C29))*1000+((B28+B29)-(E28+E29))*7500</f>
        <v>91223.111088570004</v>
      </c>
      <c r="D58" s="504">
        <f>'63'!F11</f>
        <v>113564</v>
      </c>
      <c r="E58" s="23"/>
      <c r="F58" s="20" t="str">
        <f>Lang!$A$229</f>
        <v>Opening inventory values</v>
      </c>
      <c r="H58" s="19">
        <f>'53'!L18</f>
        <v>129336</v>
      </c>
      <c r="I58" s="504">
        <f>'63'!L10</f>
        <v>129336</v>
      </c>
      <c r="J58" s="23"/>
      <c r="K58" s="2" t="str">
        <f>Lang!$A$240</f>
        <v>Machinery</v>
      </c>
      <c r="L58" s="2"/>
      <c r="M58" s="19">
        <f>IF('52'!G21&gt;0,('53'!R11+H8*300000-'53'!R11/'52'!G21*H9)*0.975,0)</f>
        <v>1336598.25</v>
      </c>
      <c r="N58" s="504">
        <f>'63'!R11</f>
        <v>1336600</v>
      </c>
      <c r="O58" s="655"/>
      <c r="P58" s="3" t="str">
        <f>Lang!$A$250</f>
        <v>Trading payments</v>
      </c>
      <c r="Q58" s="3"/>
      <c r="R58" s="19">
        <f ca="1">(C71+H59+H60+H63+H62+H61+H64+H65+'53'!R25)-M74</f>
        <v>1470833.207838668</v>
      </c>
      <c r="S58" s="504">
        <f>'63'!X11</f>
        <v>1320961</v>
      </c>
      <c r="V58" s="95"/>
      <c r="AH58" s="1084"/>
      <c r="AI58" s="1085"/>
      <c r="AJ58" s="5"/>
      <c r="AK58" s="6"/>
      <c r="AL58" s="6"/>
      <c r="AM58" s="7"/>
      <c r="AN58" s="5"/>
      <c r="AO58" s="6"/>
      <c r="AP58" s="6"/>
      <c r="AQ58" s="7"/>
    </row>
    <row r="59" spans="1:43" ht="12.9" customHeight="1" x14ac:dyDescent="0.25">
      <c r="A59" s="21" t="str">
        <f>Lang!$A$64</f>
        <v>Sales office</v>
      </c>
      <c r="B59" s="20"/>
      <c r="C59" s="19">
        <f ca="1">MAX(H55,H56)*0.01</f>
        <v>16298.765321006986</v>
      </c>
      <c r="D59" s="504">
        <f>'63'!F12</f>
        <v>16209</v>
      </c>
      <c r="E59" s="23"/>
      <c r="F59" s="8" t="str">
        <f>Lang!$A$230</f>
        <v>Components purchased</v>
      </c>
      <c r="G59" s="8"/>
      <c r="H59" s="19">
        <f ca="1">B8*ROUND(B10,0)+C8*ROUND(C10,0)+D8*ROUND(D10,0)</f>
        <v>165000</v>
      </c>
      <c r="I59" s="504">
        <f>'63'!L11</f>
        <v>164000</v>
      </c>
      <c r="J59" s="23"/>
      <c r="K59" s="20" t="str">
        <f>Lang!$A$103</f>
        <v>Property, plant and equipment</v>
      </c>
      <c r="L59" s="20"/>
      <c r="M59" s="19">
        <f>SUM(M56:M58)</f>
        <v>1661598.25</v>
      </c>
      <c r="N59" s="504">
        <f>'63'!R12</f>
        <v>1661600</v>
      </c>
      <c r="O59" s="655"/>
      <c r="P59" s="3" t="str">
        <f>Lang!$A$251</f>
        <v>Tax paid</v>
      </c>
      <c r="Q59" s="3"/>
      <c r="R59" s="19">
        <f>IF(D52=2,'53'!R24,0)</f>
        <v>0</v>
      </c>
      <c r="S59" s="504">
        <f>'63'!X12</f>
        <v>0</v>
      </c>
      <c r="V59" s="95"/>
      <c r="AH59" s="1084"/>
      <c r="AI59" s="1085"/>
      <c r="AJ59" s="5"/>
      <c r="AK59" s="6"/>
      <c r="AL59" s="6"/>
      <c r="AM59" s="7"/>
      <c r="AN59" s="5"/>
      <c r="AO59" s="6"/>
      <c r="AP59" s="6"/>
      <c r="AQ59" s="7"/>
    </row>
    <row r="60" spans="1:43" ht="12.9" customHeight="1" thickBot="1" x14ac:dyDescent="0.3">
      <c r="A60" s="21" t="str">
        <f>Lang!$A$223</f>
        <v>Guarantee servicing</v>
      </c>
      <c r="B60" s="20"/>
      <c r="C60" s="19">
        <f ca="1">B6*60+C6*150+D6*250</f>
        <v>3240</v>
      </c>
      <c r="D60" s="504">
        <f>'63'!F13</f>
        <v>10110</v>
      </c>
      <c r="E60" s="23"/>
      <c r="F60" s="2" t="str">
        <f>Lang!$A$137</f>
        <v>Materials purchased</v>
      </c>
      <c r="H60" s="19">
        <f ca="1">(H32*G33*1.5+IF(H31&lt;0,-H31,0)*G33*1.1+H33*G33+H34*G34+H35*G35)*H39/1000</f>
        <v>347543.30324836617</v>
      </c>
      <c r="I60" s="504">
        <f>'63'!L12</f>
        <v>338586</v>
      </c>
      <c r="J60" s="23"/>
      <c r="L60" s="2"/>
      <c r="M60" s="3"/>
      <c r="N60" s="504"/>
      <c r="O60" s="655"/>
      <c r="P60" s="3" t="str">
        <f>Lang!$A$104</f>
        <v>Net cash flow from operations</v>
      </c>
      <c r="Q60" s="3"/>
      <c r="R60" s="19">
        <f ca="1">R56+R57-R58-R59</f>
        <v>104561.42727715545</v>
      </c>
      <c r="S60" s="504">
        <f>'63'!X13</f>
        <v>6563</v>
      </c>
      <c r="U60" s="25"/>
      <c r="V60" s="95"/>
      <c r="AH60" s="1086"/>
      <c r="AI60" s="1087"/>
      <c r="AJ60" s="9"/>
      <c r="AK60" s="10"/>
      <c r="AL60" s="10"/>
      <c r="AM60" s="11"/>
      <c r="AN60" s="9"/>
      <c r="AO60" s="10"/>
      <c r="AP60" s="10"/>
      <c r="AQ60" s="11"/>
    </row>
    <row r="61" spans="1:43" ht="12.9" customHeight="1" x14ac:dyDescent="0.25">
      <c r="A61" s="21" t="str">
        <f>Lang!$A$294</f>
        <v>Product development</v>
      </c>
      <c r="B61" s="20"/>
      <c r="C61" s="19">
        <f ca="1">SUM(B19:D19)*1000</f>
        <v>57000</v>
      </c>
      <c r="D61" s="504">
        <f>'63'!F14</f>
        <v>65000</v>
      </c>
      <c r="E61" s="23"/>
      <c r="F61" s="20" t="str">
        <f>Lang!$A$149</f>
        <v>Machine running costs</v>
      </c>
      <c r="H61" s="19">
        <f ca="1">8*H2+3500*H7+IF(H7=0,0,H11*12500)+SUM(B2:D5)</f>
        <v>83404.961240569071</v>
      </c>
      <c r="I61" s="504">
        <f>'63'!L13</f>
        <v>73185</v>
      </c>
      <c r="J61" s="23"/>
      <c r="K61" s="365" t="str">
        <f>Lang!$A$113</f>
        <v>Current assets</v>
      </c>
      <c r="L61" s="2"/>
      <c r="M61" s="3"/>
      <c r="N61" s="504"/>
      <c r="Q61" s="3"/>
      <c r="R61" s="3"/>
      <c r="S61" s="504"/>
      <c r="U61" s="946"/>
      <c r="V61" s="95"/>
      <c r="W61" s="95"/>
      <c r="X61" s="95"/>
      <c r="AH61" s="1082" t="str">
        <f>Lang!$A$108</f>
        <v>Business intelligence</v>
      </c>
      <c r="AI61" s="1083"/>
      <c r="AJ61" s="5">
        <f>C66</f>
        <v>12500</v>
      </c>
      <c r="AK61" s="6"/>
      <c r="AL61" s="6"/>
      <c r="AM61" s="7"/>
      <c r="AN61" s="5"/>
      <c r="AO61" s="6"/>
      <c r="AP61" s="6"/>
      <c r="AQ61" s="7"/>
    </row>
    <row r="62" spans="1:43" ht="12.9" customHeight="1" x14ac:dyDescent="0.25">
      <c r="A62" s="21" t="str">
        <f>Lang!$A$75</f>
        <v>Web-site development</v>
      </c>
      <c r="B62" s="20"/>
      <c r="C62" s="19">
        <f>H46*1000</f>
        <v>17000</v>
      </c>
      <c r="D62" s="504">
        <f>'63'!F15</f>
        <v>17000</v>
      </c>
      <c r="E62" s="23"/>
      <c r="F62" s="20" t="str">
        <f>Lang!$A$299</f>
        <v>Machinists wages</v>
      </c>
      <c r="H62" s="19">
        <f ca="1">IF(H2&lt;(H24+H25)*360/4,(H24+H25)*360*H27,IF(H2&gt;H4,H27*H5+H27*1.5*(H4-H5)+H27*2*(H2-H4),IF(H2&gt;H5,H27*H5+H27*1.5*(H2-H5),H27*H2))*4)*IF(H11=2,4/3,IF(H11=3,5/3,1))</f>
        <v>281636.77888464031</v>
      </c>
      <c r="I62" s="504">
        <f>'63'!L14</f>
        <v>187458</v>
      </c>
      <c r="J62" s="23"/>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87378.51772506471</v>
      </c>
      <c r="N62" s="504">
        <f>'63'!R15</f>
        <v>37410</v>
      </c>
      <c r="O62" s="8"/>
      <c r="P62" s="149" t="str">
        <f>Lang!$A$105</f>
        <v>Investing activities</v>
      </c>
      <c r="Q62" s="3"/>
      <c r="R62" s="3"/>
      <c r="S62" s="504"/>
      <c r="U62" s="25"/>
      <c r="AH62" s="1084"/>
      <c r="AI62" s="1085"/>
      <c r="AJ62" s="5"/>
      <c r="AK62" s="6"/>
      <c r="AL62" s="6"/>
      <c r="AM62" s="7"/>
      <c r="AN62" s="5"/>
      <c r="AO62" s="6"/>
      <c r="AP62" s="6"/>
      <c r="AQ62" s="7"/>
    </row>
    <row r="63" spans="1:43" ht="12.9" customHeight="1" x14ac:dyDescent="0.25">
      <c r="A63" s="21" t="str">
        <f>Lang!$A$106</f>
        <v>Personnel department</v>
      </c>
      <c r="B63" s="20"/>
      <c r="C63" s="19">
        <f>H21*2000+H22*8500+H23*1000+I24*2000+IF(H25&gt;0,H25*1000)</f>
        <v>14000</v>
      </c>
      <c r="D63" s="504">
        <f>'63'!F16</f>
        <v>14000</v>
      </c>
      <c r="E63" s="23"/>
      <c r="F63" s="20" t="str">
        <f>Lang!$A$298</f>
        <v>Assembly wages</v>
      </c>
      <c r="H63" s="19">
        <f ca="1">IF(H15&gt;H17,H26*H18+H26*1.5*(H17-H18)+H26*2*(H15-H17),IF(H15&gt;H18,H26*H18+H26*1.5*(H15-H18),H26*H15))+IF(I26&lt;I27,(I27-I26)*H20,0)</f>
        <v>184824.13614304521</v>
      </c>
      <c r="I63" s="504">
        <f>'63'!L15</f>
        <v>123019</v>
      </c>
      <c r="J63" s="23"/>
      <c r="K63" s="8" t="str">
        <f>Lang!$A$242</f>
        <v>Component inventories</v>
      </c>
      <c r="L63" s="2"/>
      <c r="M63" s="19">
        <f ca="1">(B8*B10+C8*C10+D8*D10)+OFFSET(History!$M$85,$B$52,0)</f>
        <v>165000</v>
      </c>
      <c r="N63" s="504">
        <f>'63'!R16</f>
        <v>164000</v>
      </c>
      <c r="P63" s="3" t="str">
        <f>Lang!$A$252</f>
        <v>Interest received</v>
      </c>
      <c r="Q63" s="3"/>
      <c r="R63" s="19">
        <f>H73</f>
        <v>1437.5</v>
      </c>
      <c r="S63" s="504">
        <f>'63'!X16</f>
        <v>2875</v>
      </c>
      <c r="U63" s="25"/>
      <c r="V63" s="617"/>
      <c r="W63" s="617"/>
      <c r="X63" s="617"/>
      <c r="AH63" s="1084"/>
      <c r="AI63" s="1085"/>
      <c r="AJ63" s="5"/>
      <c r="AK63" s="6"/>
      <c r="AL63" s="6"/>
      <c r="AM63" s="7"/>
      <c r="AN63" s="5"/>
      <c r="AO63" s="6"/>
      <c r="AP63" s="6"/>
      <c r="AQ63" s="7"/>
    </row>
    <row r="64" spans="1:43" ht="12.9" customHeight="1" thickBot="1" x14ac:dyDescent="0.3">
      <c r="A64" s="21" t="str">
        <f>Lang!$A$224</f>
        <v>Machine maintenance</v>
      </c>
      <c r="B64" s="20"/>
      <c r="C64" s="19">
        <f ca="1">85*H12*H7+IF(H6&gt;H12*H7,175*(H6-H12*H7),0)</f>
        <v>6800</v>
      </c>
      <c r="D64" s="549">
        <f>'63'!F17</f>
        <v>6800</v>
      </c>
      <c r="E64" s="23"/>
      <c r="F64" s="20" t="str">
        <f>Lang!$A$150</f>
        <v>Quality control</v>
      </c>
      <c r="H64" s="19">
        <f ca="1">SUM(B2:D5)</f>
        <v>3656.4436915803881</v>
      </c>
      <c r="I64" s="504">
        <f>'63'!L16</f>
        <v>2908</v>
      </c>
      <c r="J64" s="23"/>
      <c r="K64" s="2" t="str">
        <f>Lang!$A$243</f>
        <v>Materials inventory</v>
      </c>
      <c r="L64" s="2"/>
      <c r="M64" s="19">
        <f ca="1">(IF(H31&lt;0,0,H31)+H34+I34+H35)/1000*MIN(OFFSET(History!N46:P46,$B52,))*OFFSET(History!Q46,$B52,)*0.9</f>
        <v>26397.976995319113</v>
      </c>
      <c r="N64" s="504">
        <f>'63'!R17</f>
        <v>106077</v>
      </c>
      <c r="O64" s="657"/>
      <c r="P64" s="3" t="str">
        <f>Lang!$A$253</f>
        <v>Asset sales</v>
      </c>
      <c r="Q64" s="3"/>
      <c r="R64" s="19">
        <f>IF('52'!G21=0,0,'53'!R11/'52'!G21*H9)</f>
        <v>0</v>
      </c>
      <c r="S64" s="504">
        <f>'63'!X17</f>
        <v>0</v>
      </c>
      <c r="U64" s="25"/>
      <c r="V64" s="617"/>
      <c r="W64" s="617"/>
      <c r="X64" s="617"/>
      <c r="AH64" s="1086"/>
      <c r="AI64" s="1087"/>
      <c r="AJ64" s="9"/>
      <c r="AK64" s="10"/>
      <c r="AL64" s="10"/>
      <c r="AM64" s="11"/>
      <c r="AN64" s="9"/>
      <c r="AO64" s="10"/>
      <c r="AP64" s="10"/>
      <c r="AQ64" s="11"/>
    </row>
    <row r="65" spans="1:43" ht="12.9" customHeight="1" x14ac:dyDescent="0.25">
      <c r="A65" s="379" t="str">
        <f>Lang!$A$107</f>
        <v xml:space="preserve">Purchasing and warehousing </v>
      </c>
      <c r="B65" s="2"/>
      <c r="C65" s="19">
        <f ca="1">7500+(SUMIF(J37:L37,"&gt;0")+SUM(J2:L2))*3.5/2+(SUMIF(J38:L38,"&gt;0")+SUM(J3:L3))*4*H39/2+(SUMIF(J39:L39,"&gt;0")+SUM(J4:L4))*3.5/2+IF((E7+E9)&lt;0,(E7+E9)*-3,0)</f>
        <v>8562.1799418700703</v>
      </c>
      <c r="D65" s="504">
        <f>'63'!F18</f>
        <v>8319</v>
      </c>
      <c r="E65" s="23"/>
      <c r="F65" s="20" t="str">
        <f>Lang!$A$231</f>
        <v>Hired transport</v>
      </c>
      <c r="G65" s="20"/>
      <c r="H65" s="19">
        <f ca="1">(IF($D$1=1,E2,CEILING(E2,1))*CEILING('52'!M36/400,1)+IF($D$1=1,E3,CEILING(E3,1))*CEILING('52'!N36/400,1)+IF($D$1=1,E4,CEILING(E4,1))*CEILING('52'!O36/400,1))*650+IF($D$1=1,E3,CEILING(E3,1))*8000</f>
        <v>42000</v>
      </c>
      <c r="I65" s="504">
        <f>'63'!L17</f>
        <v>40700</v>
      </c>
      <c r="J65" s="23"/>
      <c r="K65" s="2" t="str">
        <f>Lang!$A$155</f>
        <v>Trade receivables</v>
      </c>
      <c r="L65" s="20"/>
      <c r="M65" s="19">
        <f ca="1">'53'!R18+H56-R56</f>
        <v>860786.89698487497</v>
      </c>
      <c r="N65" s="504">
        <f>'63'!R18</f>
        <v>795131</v>
      </c>
      <c r="O65" s="658"/>
      <c r="P65" s="8" t="str">
        <f>Lang!$A$254</f>
        <v>Assets purchased</v>
      </c>
      <c r="Q65" s="8"/>
      <c r="R65" s="19">
        <f>H8*300000+D13*500</f>
        <v>325000</v>
      </c>
      <c r="S65" s="504">
        <f>'63'!X18</f>
        <v>325000</v>
      </c>
      <c r="U65" s="25"/>
      <c r="V65" s="617"/>
      <c r="W65" s="617"/>
      <c r="X65" s="617"/>
      <c r="AH65" s="1082" t="str">
        <f>Lang!$A$110</f>
        <v>Credit control</v>
      </c>
      <c r="AI65" s="1083"/>
      <c r="AJ65" s="5"/>
      <c r="AK65" s="6"/>
      <c r="AL65" s="6"/>
      <c r="AM65" s="7"/>
      <c r="AN65" s="5"/>
      <c r="AO65" s="6"/>
      <c r="AP65" s="6"/>
      <c r="AQ65" s="7"/>
    </row>
    <row r="66" spans="1:43" ht="12.9" customHeight="1" x14ac:dyDescent="0.25">
      <c r="A66" s="21" t="str">
        <f>Lang!$A$108</f>
        <v>Business intelligence</v>
      </c>
      <c r="B66" s="20"/>
      <c r="C66" s="19">
        <f>7500*H49+5000*H50</f>
        <v>12500</v>
      </c>
      <c r="D66" s="504">
        <f>'63'!F19</f>
        <v>12500</v>
      </c>
      <c r="E66" s="23"/>
      <c r="F66" s="554" t="str">
        <f>Lang!$A$232</f>
        <v>Less closing inventory values</v>
      </c>
      <c r="H66" s="19">
        <f ca="1">M62+M63+M64</f>
        <v>278776.49472038384</v>
      </c>
      <c r="I66" s="504">
        <f>'63'!L18</f>
        <v>307487</v>
      </c>
      <c r="J66" s="23"/>
      <c r="K66" s="20" t="str">
        <f>Lang!$A$244</f>
        <v>Cash</v>
      </c>
      <c r="L66" s="20"/>
      <c r="M66" s="19">
        <f ca="1">IF(R84&gt;0,R84,0)</f>
        <v>460003.92727715545</v>
      </c>
      <c r="N66" s="1089">
        <f>'63'!R19</f>
        <v>1513443</v>
      </c>
      <c r="O66" s="660">
        <f ca="1">(M66+M67-M75)/M80</f>
        <v>0.40535960435943158</v>
      </c>
      <c r="P66" s="3" t="str">
        <f>Lang!$A$109</f>
        <v>Net cash flow from investing</v>
      </c>
      <c r="Q66" s="3"/>
      <c r="R66" s="19">
        <f>R63+R64-R65</f>
        <v>-323562.5</v>
      </c>
      <c r="S66" s="504">
        <f>'63'!X19</f>
        <v>-322125</v>
      </c>
      <c r="U66" s="25"/>
      <c r="AH66" s="1084"/>
      <c r="AI66" s="1085"/>
      <c r="AJ66" s="5"/>
      <c r="AK66" s="6"/>
      <c r="AL66" s="6"/>
      <c r="AM66" s="7"/>
      <c r="AN66" s="5"/>
      <c r="AO66" s="6">
        <f t="shared" ref="AO66:AQ68" ca="1" si="13">J17</f>
        <v>971.3226332213427</v>
      </c>
      <c r="AP66" s="6">
        <f t="shared" ca="1" si="13"/>
        <v>683.53221404261751</v>
      </c>
      <c r="AQ66" s="7">
        <f t="shared" ca="1" si="13"/>
        <v>402.58689702641044</v>
      </c>
    </row>
    <row r="67" spans="1:43" ht="12.9" customHeight="1" x14ac:dyDescent="0.25">
      <c r="A67" s="21" t="str">
        <f>Lang!$A$110</f>
        <v>Credit control</v>
      </c>
      <c r="B67" s="20"/>
      <c r="C67" s="19">
        <f ca="1">SUM(J17:L19)</f>
        <v>3392.1203982871721</v>
      </c>
      <c r="D67" s="504">
        <f>'63'!F20</f>
        <v>2816</v>
      </c>
      <c r="E67" s="23"/>
      <c r="F67" s="20" t="str">
        <f>Lang!$A$111</f>
        <v>Cost of sales</v>
      </c>
      <c r="H67" s="19">
        <f ca="1">SUM(H58:H65)-H66</f>
        <v>958625.12848781724</v>
      </c>
      <c r="I67" s="504">
        <f>'63'!L19</f>
        <v>751705</v>
      </c>
      <c r="J67" s="23"/>
      <c r="K67" s="3" t="str">
        <f>Lang!$A$245</f>
        <v>Cash equivalents</v>
      </c>
      <c r="M67" s="19">
        <f>'53'!X32+H43*1000</f>
        <v>1150000</v>
      </c>
      <c r="N67" s="1089"/>
      <c r="O67" s="660">
        <f>H40/100</f>
        <v>5.0000000000000001E-3</v>
      </c>
      <c r="Q67" s="3"/>
      <c r="R67" s="3"/>
      <c r="S67" s="504"/>
      <c r="U67" s="25"/>
      <c r="AH67" s="1084"/>
      <c r="AI67" s="1085"/>
      <c r="AJ67" s="5"/>
      <c r="AK67" s="6"/>
      <c r="AL67" s="6"/>
      <c r="AM67" s="7"/>
      <c r="AN67" s="5"/>
      <c r="AO67" s="6">
        <f t="shared" ca="1" si="13"/>
        <v>150.02301529184885</v>
      </c>
      <c r="AP67" s="6">
        <f t="shared" ca="1" si="13"/>
        <v>149.68577497644108</v>
      </c>
      <c r="AQ67" s="7">
        <f t="shared" ca="1" si="13"/>
        <v>76.187197205273748</v>
      </c>
    </row>
    <row r="68" spans="1:43" ht="12.9" customHeight="1" thickBot="1" x14ac:dyDescent="0.3">
      <c r="A68" s="21" t="str">
        <f>Lang!$A$225</f>
        <v>Insurance premiums</v>
      </c>
      <c r="B68" s="20"/>
      <c r="C68" s="19">
        <f ca="1">('53'!R12+'53'!L18)*(IF(H48=4,0.001,IF(H48=3,0.002,IF(H48=2,0.0035,IF(H48=1,0.006,0)))))</f>
        <v>0</v>
      </c>
      <c r="D68" s="504">
        <f>'63'!F21</f>
        <v>9001</v>
      </c>
      <c r="E68" s="23"/>
      <c r="F68" s="73" t="str">
        <f>Lang!$A$112</f>
        <v>Gross profit</v>
      </c>
      <c r="G68" s="73"/>
      <c r="H68" s="331">
        <f ca="1">H56-H67</f>
        <v>671251.4036128812</v>
      </c>
      <c r="I68" s="652">
        <f>'63'!L20</f>
        <v>564645</v>
      </c>
      <c r="J68" s="23"/>
      <c r="K68" s="3" t="str">
        <f>Lang!$A$113</f>
        <v>Current assets</v>
      </c>
      <c r="L68" s="20"/>
      <c r="M68" s="19">
        <f ca="1">SUM(M62:M67)</f>
        <v>2749567.318982414</v>
      </c>
      <c r="N68" s="504">
        <f>'63'!R20</f>
        <v>2616061</v>
      </c>
      <c r="O68" s="658"/>
      <c r="P68" s="149" t="str">
        <f>Lang!$A$114</f>
        <v>Financing activities</v>
      </c>
      <c r="Q68" s="3"/>
      <c r="R68" s="3"/>
      <c r="S68" s="504"/>
      <c r="U68" s="25"/>
      <c r="AH68" s="1086"/>
      <c r="AI68" s="1087"/>
      <c r="AJ68" s="9"/>
      <c r="AK68" s="10"/>
      <c r="AL68" s="10"/>
      <c r="AM68" s="11"/>
      <c r="AN68" s="9"/>
      <c r="AO68" s="10">
        <f t="shared" ca="1" si="13"/>
        <v>463.40190650406231</v>
      </c>
      <c r="AP68" s="10">
        <f t="shared" ca="1" si="13"/>
        <v>317.67609146403464</v>
      </c>
      <c r="AQ68" s="11">
        <f t="shared" ca="1" si="13"/>
        <v>177.7046685551407</v>
      </c>
    </row>
    <row r="69" spans="1:43" ht="12.9" customHeight="1" x14ac:dyDescent="0.25">
      <c r="A69" s="21" t="str">
        <f>Lang!$A$115</f>
        <v>Management budget</v>
      </c>
      <c r="B69" s="20"/>
      <c r="C69" s="19">
        <f>H47*1000</f>
        <v>80000</v>
      </c>
      <c r="D69" s="504">
        <f>'63'!F22</f>
        <v>80000</v>
      </c>
      <c r="E69" s="23"/>
      <c r="F69" s="20" t="str">
        <f>Lang!$A$233</f>
        <v>Administrative expenses</v>
      </c>
      <c r="H69" s="19">
        <f ca="1">C71</f>
        <v>480540.41619652021</v>
      </c>
      <c r="I69" s="504">
        <f>'63'!L21</f>
        <v>501726</v>
      </c>
      <c r="J69" s="23"/>
      <c r="O69" s="658"/>
      <c r="P69" s="2" t="str">
        <f>Lang!$A$255</f>
        <v>Shares issued</v>
      </c>
      <c r="R69" s="19">
        <f>IF(H41&gt;0,H38*H41*10,0)</f>
        <v>0</v>
      </c>
      <c r="S69" s="504">
        <f>'63'!X22</f>
        <v>0</v>
      </c>
      <c r="AH69" s="1082" t="str">
        <f>Lang!$A$116</f>
        <v>Insurance</v>
      </c>
      <c r="AI69" s="1083"/>
      <c r="AJ69" s="5">
        <f ca="1">C68</f>
        <v>0</v>
      </c>
      <c r="AK69" s="6"/>
      <c r="AL69" s="6"/>
      <c r="AM69" s="7"/>
      <c r="AN69" s="5"/>
      <c r="AO69" s="6"/>
      <c r="AP69" s="6"/>
      <c r="AQ69" s="7"/>
    </row>
    <row r="70" spans="1:43" ht="12.9" customHeight="1" x14ac:dyDescent="0.25">
      <c r="A70" s="379" t="str">
        <f>Lang!$A$128</f>
        <v>Other costs</v>
      </c>
      <c r="B70" s="20"/>
      <c r="C70" s="19">
        <f ca="1">H9*60000+(C13-D13)*20+A13*40</f>
        <v>11067.180776066572</v>
      </c>
      <c r="D70" s="504">
        <f>'63'!F23</f>
        <v>10868</v>
      </c>
      <c r="E70" s="23"/>
      <c r="F70" s="20" t="str">
        <f>Lang!$A$234</f>
        <v>Insurance receipts</v>
      </c>
      <c r="H70" s="19">
        <f ca="1">IF(C80-C81&gt;0,C80-C81,0)</f>
        <v>0</v>
      </c>
      <c r="I70" s="504">
        <f>'63'!L22</f>
        <v>0</v>
      </c>
      <c r="J70" s="23"/>
      <c r="K70" s="3" t="str">
        <f>Lang!$A$117</f>
        <v>Total assets</v>
      </c>
      <c r="L70" s="2"/>
      <c r="M70" s="19">
        <f ca="1">M59+M68</f>
        <v>4411165.568982414</v>
      </c>
      <c r="N70" s="504">
        <f>'63'!R21</f>
        <v>4277661</v>
      </c>
      <c r="P70" s="2" t="str">
        <f>Lang!$A$256</f>
        <v>Shares repurchased</v>
      </c>
      <c r="R70" s="19">
        <f>IF(H41&lt;0,-H38*H41*10,0)</f>
        <v>0</v>
      </c>
      <c r="S70" s="504">
        <f>'63'!X23</f>
        <v>0</v>
      </c>
      <c r="AH70" s="1084"/>
      <c r="AI70" s="1085"/>
      <c r="AJ70" s="5"/>
      <c r="AK70" s="6"/>
      <c r="AL70" s="6"/>
      <c r="AM70" s="7"/>
      <c r="AN70" s="5"/>
      <c r="AO70" s="6"/>
      <c r="AP70" s="6"/>
      <c r="AQ70" s="7"/>
    </row>
    <row r="71" spans="1:43" ht="12.9" customHeight="1" x14ac:dyDescent="0.25">
      <c r="A71" s="21" t="str">
        <f>Lang!$A$118</f>
        <v>Total administrative expenses</v>
      </c>
      <c r="B71" s="501"/>
      <c r="C71" s="19">
        <f ca="1">SUM(C55:C70)</f>
        <v>480540.41619652021</v>
      </c>
      <c r="D71" s="504">
        <f>'63'!F24</f>
        <v>501726</v>
      </c>
      <c r="E71" s="23"/>
      <c r="F71" s="20" t="str">
        <f>Lang!$A$151</f>
        <v>Depreciation</v>
      </c>
      <c r="H71" s="19">
        <f>M58/0.975*0.025</f>
        <v>34271.75</v>
      </c>
      <c r="I71" s="504">
        <f>'63'!L23</f>
        <v>34270</v>
      </c>
      <c r="J71" s="23"/>
      <c r="K71" s="20"/>
      <c r="L71" s="20"/>
      <c r="M71" s="661"/>
      <c r="N71" s="504"/>
      <c r="P71" s="2" t="str">
        <f>Lang!$A$133</f>
        <v>Dividends paid</v>
      </c>
      <c r="R71" s="19">
        <f>H80</f>
        <v>0</v>
      </c>
      <c r="S71" s="504">
        <f>'63'!X24</f>
        <v>0</v>
      </c>
      <c r="AH71" s="1084"/>
      <c r="AI71" s="1085"/>
      <c r="AJ71" s="5"/>
      <c r="AK71" s="6"/>
      <c r="AL71" s="6"/>
      <c r="AM71" s="7"/>
      <c r="AN71" s="5"/>
      <c r="AO71" s="6"/>
      <c r="AP71" s="6"/>
      <c r="AQ71" s="7"/>
    </row>
    <row r="72" spans="1:43" ht="12.9" customHeight="1" thickBot="1" x14ac:dyDescent="0.3">
      <c r="D72" s="504"/>
      <c r="E72" s="23"/>
      <c r="F72" s="332" t="str">
        <f>Lang!$A$119</f>
        <v>Operating profit/loss</v>
      </c>
      <c r="G72" s="73"/>
      <c r="H72" s="331">
        <f ca="1">H68+H70-H69-H71</f>
        <v>156439.23741636099</v>
      </c>
      <c r="I72" s="652">
        <f>'63'!L24</f>
        <v>28649</v>
      </c>
      <c r="J72" s="23"/>
      <c r="K72" s="501" t="str">
        <f>Lang!$A$120</f>
        <v>Liabilities</v>
      </c>
      <c r="L72" s="20"/>
      <c r="M72" s="661"/>
      <c r="N72" s="504"/>
      <c r="O72" s="658"/>
      <c r="P72" s="3" t="str">
        <f>Lang!$A$257</f>
        <v>Additional loans</v>
      </c>
      <c r="Q72" s="3"/>
      <c r="R72" s="19">
        <f>H44*1000</f>
        <v>0</v>
      </c>
      <c r="S72" s="504">
        <f>'63'!X25</f>
        <v>0</v>
      </c>
      <c r="U72" s="25"/>
      <c r="AH72" s="1086"/>
      <c r="AI72" s="1087"/>
      <c r="AJ72" s="9"/>
      <c r="AK72" s="10"/>
      <c r="AL72" s="10"/>
      <c r="AM72" s="11"/>
      <c r="AN72" s="9"/>
      <c r="AO72" s="10"/>
      <c r="AP72" s="10"/>
      <c r="AQ72" s="11"/>
    </row>
    <row r="73" spans="1:43" ht="12.9" customHeight="1" x14ac:dyDescent="0.25">
      <c r="A73" s="327" t="str">
        <f>Lang!$A$121</f>
        <v>Accumulated taxable profit</v>
      </c>
      <c r="B73" s="20"/>
      <c r="C73" s="504"/>
      <c r="D73" s="504"/>
      <c r="E73" s="32"/>
      <c r="F73" s="2" t="str">
        <f>Lang!$A$235</f>
        <v>Finance income</v>
      </c>
      <c r="G73" s="8"/>
      <c r="H73" s="19">
        <f>M67*O67/4</f>
        <v>1437.5</v>
      </c>
      <c r="I73" s="504">
        <f>'63'!L25</f>
        <v>2875</v>
      </c>
      <c r="J73" s="23"/>
      <c r="K73" s="20" t="str">
        <f>Lang!$A$246</f>
        <v>Tax due</v>
      </c>
      <c r="L73" s="20"/>
      <c r="M73" s="19">
        <f>IF(D52=4,IF((C74+C75)&gt;0,(C74+C75)*0.3,0),IF(D52=2,0,'53'!R24))</f>
        <v>0</v>
      </c>
      <c r="N73" s="504">
        <f>'63'!R24</f>
        <v>0</v>
      </c>
      <c r="P73" s="3" t="str">
        <f>Lang!$A$258</f>
        <v>Interest paid</v>
      </c>
      <c r="Q73" s="3"/>
      <c r="R73" s="19">
        <f ca="1">H74</f>
        <v>0</v>
      </c>
      <c r="S73" s="504">
        <f>'63'!X26</f>
        <v>0</v>
      </c>
      <c r="U73" s="25"/>
      <c r="AH73" s="1082" t="str">
        <f>Lang!$A$115</f>
        <v>Management budget</v>
      </c>
      <c r="AI73" s="1083"/>
      <c r="AJ73" s="5">
        <f>C69</f>
        <v>80000</v>
      </c>
      <c r="AK73" s="6"/>
      <c r="AL73" s="6"/>
      <c r="AM73" s="7"/>
      <c r="AN73" s="5"/>
      <c r="AO73" s="6"/>
      <c r="AP73" s="6"/>
      <c r="AQ73" s="7"/>
    </row>
    <row r="74" spans="1:43" ht="12.9" customHeight="1" x14ac:dyDescent="0.25">
      <c r="A74" s="21" t="str">
        <f>Lang!$A$123</f>
        <v>Profit/loss before tax</v>
      </c>
      <c r="B74" s="20"/>
      <c r="C74" s="19">
        <f ca="1">H75</f>
        <v>157876.73741636099</v>
      </c>
      <c r="D74" s="504">
        <f>'63'!F27</f>
        <v>31524</v>
      </c>
      <c r="E74" s="23"/>
      <c r="F74" s="2" t="str">
        <f>Lang!$A$236</f>
        <v>Finance expense</v>
      </c>
      <c r="G74" s="8"/>
      <c r="H74" s="19">
        <f ca="1">(M75+OFFSET(History!K$71,$B$52,0)*1000)/2*O75/4+(M76+OFFSET(History!L$71,$B$52,0)*1000)/2*O76/4+M78*O78/4</f>
        <v>0</v>
      </c>
      <c r="I74" s="504">
        <f>'63'!L26</f>
        <v>0</v>
      </c>
      <c r="J74" s="23"/>
      <c r="K74" s="2" t="str">
        <f>Lang!$A$247</f>
        <v>Trade payables</v>
      </c>
      <c r="L74" s="20"/>
      <c r="M74" s="19">
        <f ca="1">C55+C60+H65+C62+C64+C65+C66+(H59+H60)/2</f>
        <v>439373.83156605315</v>
      </c>
      <c r="N74" s="504">
        <f>'63'!R25</f>
        <v>432222</v>
      </c>
      <c r="P74" s="3" t="str">
        <f>Lang!$A$122</f>
        <v>Net cash flow from financing</v>
      </c>
      <c r="Q74" s="3"/>
      <c r="R74" s="19">
        <f ca="1">(R72+R69)-(R73+R71+R70)</f>
        <v>0</v>
      </c>
      <c r="S74" s="504">
        <f>'63'!X27</f>
        <v>0</v>
      </c>
      <c r="AH74" s="1084"/>
      <c r="AI74" s="1085"/>
      <c r="AJ74" s="5"/>
      <c r="AK74" s="6"/>
      <c r="AL74" s="6"/>
      <c r="AM74" s="7"/>
      <c r="AN74" s="5"/>
      <c r="AO74" s="6"/>
      <c r="AP74" s="6"/>
      <c r="AQ74" s="7"/>
    </row>
    <row r="75" spans="1:43" ht="12.9" customHeight="1" x14ac:dyDescent="0.25">
      <c r="A75" s="21" t="str">
        <f>Lang!$A$226</f>
        <v>Previous taxable profit/loss</v>
      </c>
      <c r="B75" s="20"/>
      <c r="C75" s="19">
        <f>IF(D52=1,IF('53'!F29&lt;0,'53'!F29,0),'53'!F29)</f>
        <v>-186085</v>
      </c>
      <c r="D75" s="504">
        <f>'63'!F28</f>
        <v>-186085</v>
      </c>
      <c r="E75" s="23"/>
      <c r="F75" s="73" t="str">
        <f>Lang!$A$123</f>
        <v>Profit/loss before tax</v>
      </c>
      <c r="G75" s="73"/>
      <c r="H75" s="331">
        <f ca="1">H72+H73-H74</f>
        <v>157876.73741636099</v>
      </c>
      <c r="I75" s="652">
        <f>'63'!L27</f>
        <v>31524</v>
      </c>
      <c r="J75" s="23"/>
      <c r="K75" s="20" t="str">
        <f>Lang!$A$158</f>
        <v>Bank overdraft</v>
      </c>
      <c r="L75" s="20"/>
      <c r="M75" s="19">
        <f ca="1">IF(R85&gt;0,IF(R85&gt;R81,R81,R85),0)</f>
        <v>0</v>
      </c>
      <c r="N75" s="1089">
        <f>'63'!R26</f>
        <v>0</v>
      </c>
      <c r="O75" s="662">
        <f>(H40+4)/100</f>
        <v>4.4999999999999998E-2</v>
      </c>
      <c r="P75" s="2"/>
      <c r="R75" s="3"/>
      <c r="S75" s="504"/>
      <c r="AH75" s="1084"/>
      <c r="AI75" s="1085"/>
      <c r="AJ75" s="5"/>
      <c r="AK75" s="6"/>
      <c r="AL75" s="6"/>
      <c r="AM75" s="7"/>
      <c r="AN75" s="5"/>
      <c r="AO75" s="6"/>
      <c r="AP75" s="6"/>
      <c r="AQ75" s="7"/>
    </row>
    <row r="76" spans="1:43" ht="12.9" customHeight="1" thickBot="1" x14ac:dyDescent="0.3">
      <c r="A76" s="21" t="str">
        <f>Lang!$A$227</f>
        <v>Taxable profit/loss</v>
      </c>
      <c r="B76" s="20"/>
      <c r="C76" s="19">
        <f ca="1">C74+C75</f>
        <v>-28208.262583639007</v>
      </c>
      <c r="D76" s="504">
        <f>'63'!F29</f>
        <v>-154561</v>
      </c>
      <c r="E76" s="23"/>
      <c r="F76" s="20" t="str">
        <f>Lang!$A$237</f>
        <v>Tax assessed</v>
      </c>
      <c r="H76" s="19">
        <f>IF(D52=4,M73,0)</f>
        <v>0</v>
      </c>
      <c r="I76" s="504">
        <f>'63'!L28</f>
        <v>0</v>
      </c>
      <c r="J76" s="23"/>
      <c r="K76" s="2" t="str">
        <f>Lang!$A$248</f>
        <v>Borrowing power</v>
      </c>
      <c r="M76" s="19">
        <f ca="1">IF(R85&gt;0,IF(R85&gt;R81,R85-R81,0),0)</f>
        <v>0</v>
      </c>
      <c r="N76" s="1089"/>
      <c r="O76" s="662">
        <f>(H40+10)/100</f>
        <v>0.105</v>
      </c>
      <c r="P76" s="3" t="str">
        <f>Lang!$A$124</f>
        <v>Net cash flow</v>
      </c>
      <c r="Q76" s="3"/>
      <c r="R76" s="19">
        <f ca="1">R60+R66+R74</f>
        <v>-219001.07272284455</v>
      </c>
      <c r="S76" s="504">
        <f>'63'!X29</f>
        <v>-315562</v>
      </c>
      <c r="AH76" s="1086"/>
      <c r="AI76" s="1087"/>
      <c r="AJ76" s="9"/>
      <c r="AK76" s="10"/>
      <c r="AL76" s="10"/>
      <c r="AM76" s="11"/>
      <c r="AN76" s="9"/>
      <c r="AO76" s="10"/>
      <c r="AP76" s="10"/>
      <c r="AQ76" s="11"/>
    </row>
    <row r="77" spans="1:43" ht="12.9" customHeight="1" x14ac:dyDescent="0.25">
      <c r="D77" s="504"/>
      <c r="E77" s="23"/>
      <c r="F77" s="20" t="str">
        <f>Lang!$A$125</f>
        <v>Profit/loss for the period</v>
      </c>
      <c r="H77" s="19">
        <f ca="1">H68+H70+H73-H74-H69-H71-H76</f>
        <v>157876.73741636099</v>
      </c>
      <c r="I77" s="504">
        <f>'63'!L29</f>
        <v>31524</v>
      </c>
      <c r="J77" s="23"/>
      <c r="K77" s="20" t="str">
        <f>Lang!$A$126</f>
        <v>Current liabilities</v>
      </c>
      <c r="L77" s="20"/>
      <c r="M77" s="19">
        <f ca="1">SUM(M73:M76)</f>
        <v>439373.83156605315</v>
      </c>
      <c r="N77" s="504">
        <f>'63'!R27</f>
        <v>432222</v>
      </c>
      <c r="P77" s="2" t="str">
        <f>Lang!$A$127</f>
        <v>Previous cash balance</v>
      </c>
      <c r="R77" s="19">
        <f>'53'!X31</f>
        <v>1829005</v>
      </c>
      <c r="S77" s="504">
        <f>'63'!X30</f>
        <v>1829005</v>
      </c>
      <c r="AH77" s="1082" t="str">
        <f>Lang!$A$128</f>
        <v>Other costs</v>
      </c>
      <c r="AI77" s="1083"/>
      <c r="AJ77" s="5">
        <f ca="1">C70</f>
        <v>11067.180776066572</v>
      </c>
      <c r="AK77" s="6"/>
      <c r="AL77" s="6"/>
      <c r="AM77" s="7"/>
      <c r="AN77" s="5"/>
      <c r="AO77" s="6"/>
      <c r="AP77" s="6"/>
      <c r="AQ77" s="7"/>
    </row>
    <row r="78" spans="1:43" x14ac:dyDescent="0.25">
      <c r="A78" s="8"/>
      <c r="B78" s="8"/>
      <c r="D78" s="504"/>
      <c r="E78" s="23"/>
      <c r="F78" s="3" t="str">
        <f>Lang!$A$129</f>
        <v>Earnings per share</v>
      </c>
      <c r="H78" s="19">
        <f ca="1">H77/M83*100</f>
        <v>3.9469184354090245</v>
      </c>
      <c r="I78" s="504">
        <f>'63'!L30</f>
        <v>0.78810000000000002</v>
      </c>
      <c r="J78" s="23"/>
      <c r="K78" s="20" t="str">
        <f>Lang!$A$87</f>
        <v>Term loans</v>
      </c>
      <c r="L78" s="20"/>
      <c r="M78" s="19">
        <f>H44*1000+'53'!R28</f>
        <v>0</v>
      </c>
      <c r="N78" s="504">
        <f>'63'!R28</f>
        <v>0</v>
      </c>
      <c r="O78" s="662">
        <v>0.1</v>
      </c>
      <c r="P78" s="3" t="str">
        <f>Lang!$A$130</f>
        <v>Cash balance</v>
      </c>
      <c r="Q78" s="3"/>
      <c r="R78" s="19">
        <f ca="1">R76+R77</f>
        <v>1610003.9272771555</v>
      </c>
      <c r="S78" s="504">
        <f>'63'!X31</f>
        <v>1513443</v>
      </c>
      <c r="AH78" s="1084"/>
      <c r="AI78" s="1085"/>
      <c r="AJ78" s="5"/>
      <c r="AK78" s="6"/>
      <c r="AL78" s="6"/>
      <c r="AM78" s="7"/>
      <c r="AN78" s="5"/>
      <c r="AO78" s="6"/>
      <c r="AP78" s="6"/>
      <c r="AQ78" s="7"/>
    </row>
    <row r="79" spans="1:43" x14ac:dyDescent="0.25">
      <c r="A79" s="8"/>
      <c r="B79" s="8"/>
      <c r="D79" s="504"/>
      <c r="E79" s="23"/>
      <c r="F79" s="20"/>
      <c r="H79" s="504"/>
      <c r="I79" s="504"/>
      <c r="J79" s="23"/>
      <c r="L79" s="2"/>
      <c r="M79" s="3"/>
      <c r="N79" s="504"/>
      <c r="O79" s="655"/>
      <c r="P79" s="2" t="str">
        <f>Lang!$A$131</f>
        <v>Including a term deposit</v>
      </c>
      <c r="R79" s="19">
        <f>M67</f>
        <v>1150000</v>
      </c>
      <c r="S79" s="504">
        <f>'63'!X32</f>
        <v>1150000</v>
      </c>
      <c r="AH79" s="1084"/>
      <c r="AI79" s="1085"/>
      <c r="AJ79" s="5"/>
      <c r="AK79" s="6"/>
      <c r="AL79" s="6"/>
      <c r="AM79" s="7"/>
      <c r="AN79" s="5"/>
      <c r="AO79" s="6"/>
      <c r="AP79" s="6"/>
      <c r="AQ79" s="7"/>
    </row>
    <row r="80" spans="1:43" ht="13.8" thickBot="1" x14ac:dyDescent="0.3">
      <c r="A80" s="8" t="str">
        <f>Lang!$A$132</f>
        <v>Insurance claimed</v>
      </c>
      <c r="B80" s="8"/>
      <c r="C80" s="19">
        <f ca="1">IF($D$1=2,OFFSET(History!N33,B52,),IF(H48=0,0,OFFSET(Config!D20,B52,)))</f>
        <v>0</v>
      </c>
      <c r="D80" s="504">
        <f>'63'!F33</f>
        <v>0</v>
      </c>
      <c r="E80" s="23"/>
      <c r="F80" s="20" t="str">
        <f>Lang!$A$133</f>
        <v>Dividends paid</v>
      </c>
      <c r="H80" s="19">
        <f>H42*'53'!R33</f>
        <v>0</v>
      </c>
      <c r="I80" s="504">
        <f>'63'!L32</f>
        <v>0</v>
      </c>
      <c r="J80" s="23"/>
      <c r="K80" s="20" t="str">
        <f>Lang!$A$134</f>
        <v>Net assets</v>
      </c>
      <c r="L80" s="20"/>
      <c r="M80" s="19">
        <f ca="1">M70-SUM(M77:M78)</f>
        <v>3971791.737416361</v>
      </c>
      <c r="N80" s="504">
        <f>'63'!R30</f>
        <v>3845439</v>
      </c>
      <c r="O80" s="653"/>
      <c r="P80" s="2"/>
      <c r="R80" s="3"/>
      <c r="S80" s="504"/>
      <c r="AH80" s="1086"/>
      <c r="AI80" s="1087"/>
      <c r="AJ80" s="9"/>
      <c r="AK80" s="10"/>
      <c r="AL80" s="10"/>
      <c r="AM80" s="11"/>
      <c r="AN80" s="9"/>
      <c r="AO80" s="10"/>
      <c r="AP80" s="10"/>
      <c r="AQ80" s="11"/>
    </row>
    <row r="81" spans="1:43" x14ac:dyDescent="0.25">
      <c r="A81" s="3" t="str">
        <f>Lang!$A$135</f>
        <v>Primary non-insured risk</v>
      </c>
      <c r="C81" s="19">
        <f ca="1">('53'!R12+'53'!L18)*(IF(H48=4,0.004,IF(H48=3,0.003,IF(H48=2,0.002,IF(H48=1,0.001,0)))))</f>
        <v>0</v>
      </c>
      <c r="D81" s="504">
        <f>'63'!F34</f>
        <v>1500</v>
      </c>
      <c r="E81" s="23"/>
      <c r="F81" s="20" t="str">
        <f>Lang!$A$136</f>
        <v>Transferred to retained earnings</v>
      </c>
      <c r="H81" s="19">
        <f ca="1">H77-H80</f>
        <v>157876.73741636099</v>
      </c>
      <c r="I81" s="504">
        <f>'63'!L33</f>
        <v>31524</v>
      </c>
      <c r="J81" s="23"/>
      <c r="M81" s="3"/>
      <c r="N81" s="504"/>
      <c r="P81" s="3" t="str">
        <f>Lang!$A$259</f>
        <v>Overdraft limit for next quarter</v>
      </c>
      <c r="Q81" s="3"/>
      <c r="R81" s="19">
        <f>'53'!X34</f>
        <v>619000</v>
      </c>
      <c r="S81" s="504"/>
      <c r="AH81" s="1090" t="str">
        <f>Lang!$A$137</f>
        <v>Materials purchased</v>
      </c>
      <c r="AI81" s="1091"/>
      <c r="AJ81" s="5"/>
      <c r="AK81" s="6"/>
      <c r="AL81" s="6"/>
      <c r="AM81" s="7"/>
      <c r="AN81" s="5"/>
      <c r="AO81" s="6"/>
      <c r="AP81" s="6"/>
      <c r="AQ81" s="7"/>
    </row>
    <row r="82" spans="1:43" x14ac:dyDescent="0.25">
      <c r="D82" s="2"/>
      <c r="E82" s="3"/>
      <c r="F82" s="3" t="str">
        <f>Lang!$A$138</f>
        <v>Previous retained earnings</v>
      </c>
      <c r="H82" s="19">
        <f>'53'!R35</f>
        <v>-186085</v>
      </c>
      <c r="I82" s="504">
        <f>'63'!L34</f>
        <v>-186085</v>
      </c>
      <c r="J82" s="23"/>
      <c r="K82" s="501" t="str">
        <f>Lang!$A$139</f>
        <v>Equity</v>
      </c>
      <c r="L82" s="20"/>
      <c r="M82" s="3"/>
      <c r="N82" s="504"/>
      <c r="P82" s="3" t="str">
        <f>Lang!$A$260</f>
        <v>Borrowing power next quarter</v>
      </c>
      <c r="Q82" s="3"/>
      <c r="R82" s="19">
        <f>'53'!X35</f>
        <v>1468000</v>
      </c>
      <c r="S82" s="504"/>
      <c r="AH82" s="1092"/>
      <c r="AI82" s="1093"/>
      <c r="AJ82" s="5"/>
      <c r="AK82" s="6"/>
      <c r="AL82" s="6"/>
      <c r="AM82" s="7"/>
      <c r="AN82" s="5"/>
      <c r="AO82" s="6">
        <f ca="1">(1-B$22)*B2*(1+B$5/SUM(B$2:B$4))*$H$29/1000*$H$39+B$22*B2*(1+B$5/SUM(B$2:B$4))*$G$33/1000*$H$39*1.5</f>
        <v>59688.27989489543</v>
      </c>
      <c r="AP82" s="6">
        <f ca="1">(1-C$22)*C2*(1+C$5/SUM(C$2:C$4))*2*$H$29/1000*$H$39+C$22*C2*(1+C$5/SUM(C$2:C$4))*2*$G$33/1000*$H$39*1.5</f>
        <v>95569.860532017337</v>
      </c>
      <c r="AQ82" s="7">
        <f ca="1">(1-D$22)*D2*(1+D$5/SUM(D$2:D$4))*3*$H$29/1000*$H$39+D$22*D2*(1+D$5/SUM(D$2:D$4))*3*$G$33/1000*$H$39*1.5</f>
        <v>88797.799653531983</v>
      </c>
    </row>
    <row r="83" spans="1:43" x14ac:dyDescent="0.25">
      <c r="D83" s="2"/>
      <c r="E83" s="3"/>
      <c r="F83" s="3" t="str">
        <f>Lang!$A$141</f>
        <v xml:space="preserve">Retained earnings </v>
      </c>
      <c r="H83" s="19">
        <f ca="1">H81+H82</f>
        <v>-28208.262583639007</v>
      </c>
      <c r="I83" s="504">
        <f>'63'!L35</f>
        <v>-154561</v>
      </c>
      <c r="J83" s="23"/>
      <c r="K83" s="20" t="str">
        <f>Lang!$A$160</f>
        <v>Share capital</v>
      </c>
      <c r="L83" s="20"/>
      <c r="M83" s="19">
        <f>'53'!R33+H41*1000</f>
        <v>4000000</v>
      </c>
      <c r="N83" s="504">
        <f>'63'!R33</f>
        <v>4000000</v>
      </c>
      <c r="Q83" s="3"/>
      <c r="R83" s="3"/>
      <c r="S83" s="504"/>
      <c r="AH83" s="1092"/>
      <c r="AI83" s="1093"/>
      <c r="AJ83" s="5"/>
      <c r="AK83" s="6"/>
      <c r="AL83" s="6"/>
      <c r="AM83" s="7"/>
      <c r="AN83" s="5"/>
      <c r="AO83" s="6">
        <f ca="1">(1-B$22)*B3*(1+B$5/SUM(B$2:B$4))*$H$29/1000*$H$39+B$22*B3*(1+B$5/SUM(B$2:B$4))*$G$33/1000*$H$39*1.5</f>
        <v>10706.417918366895</v>
      </c>
      <c r="AP83" s="6">
        <f ca="1">(1-C$22)*C3*(1+C$5/SUM(C$2:C$4))*2*$H$29/1000*$H$39+C$22*C3*(1+C$5/SUM(C$2:C$4))*2*$G$33/1000*$H$39*1.5</f>
        <v>27075.893166153579</v>
      </c>
      <c r="AQ83" s="7">
        <f ca="1">(1-D$22)*D3*(1+D$5/SUM(D$2:D$4))*3*$H$29/1000*$H$39+D$22*D3*(1+D$5/SUM(D$2:D$4))*3*$G$33/1000*$H$39*1.5</f>
        <v>22833.719910908228</v>
      </c>
    </row>
    <row r="84" spans="1:43" ht="13.8" thickBot="1" x14ac:dyDescent="0.3">
      <c r="D84" s="2"/>
      <c r="E84" s="3"/>
      <c r="H84" s="2"/>
      <c r="I84" s="3"/>
      <c r="J84" s="2"/>
      <c r="K84" s="8" t="str">
        <f>Lang!$A$161</f>
        <v>Share premium account</v>
      </c>
      <c r="L84" s="2"/>
      <c r="M84" s="19">
        <f ca="1">IF('53'!R34+(H38-100)*H41*10&gt;0,'53'!R34+(H38-100)*H41*10,0)</f>
        <v>0</v>
      </c>
      <c r="N84" s="504">
        <f>'63'!R34</f>
        <v>0</v>
      </c>
      <c r="P84" s="8" t="str">
        <f>Lang!$A$140</f>
        <v>Balance</v>
      </c>
      <c r="R84" s="19">
        <f ca="1">(R56+R57-R58-R59)+(R63+R64-R65)+(R72+R69)-(R71+R70)+'53'!X31-R79</f>
        <v>460003.92727715545</v>
      </c>
      <c r="S84" s="150"/>
      <c r="AH84" s="1094"/>
      <c r="AI84" s="1095"/>
      <c r="AJ84" s="9"/>
      <c r="AK84" s="10"/>
      <c r="AL84" s="10"/>
      <c r="AM84" s="11"/>
      <c r="AN84" s="9"/>
      <c r="AO84" s="10">
        <f ca="1">(1-B$22)*B4*(1+B$5/SUM(B$2:B$4))*$H$29/1000*$H$39+B$22*B4*(1+B$5/SUM(B$2:B$4))*$G$33/1000*$H$39*1.5</f>
        <v>34260.537338774069</v>
      </c>
      <c r="AP84" s="10">
        <f ca="1">(1-C$22)*C4*(1+C$5/SUM(C$2:C$4))*2*$H$29/1000*$H$39+C$22*C4*(1+C$5/SUM(C$2:C$4))*2*$G$33/1000*$H$39*1.5</f>
        <v>47717.910728468683</v>
      </c>
      <c r="AQ84" s="11">
        <f ca="1">(1-D$22)*D4*(1+D$5/SUM(D$2:D$4))*3*$H$29/1000*$H$39+D$22*D4*(1+D$5/SUM(D$2:D$4))*3*$G$33/1000*$H$39*1.5</f>
        <v>40804.703174123031</v>
      </c>
    </row>
    <row r="85" spans="1:43" ht="12.9" customHeight="1" x14ac:dyDescent="0.25">
      <c r="D85" s="2"/>
      <c r="E85" s="3"/>
      <c r="H85" s="2"/>
      <c r="I85" s="3"/>
      <c r="K85" s="20" t="str">
        <f>Lang!$A$141</f>
        <v xml:space="preserve">Retained earnings </v>
      </c>
      <c r="L85" s="20"/>
      <c r="M85" s="19">
        <f ca="1">H83</f>
        <v>-28208.262583639007</v>
      </c>
      <c r="N85" s="504">
        <f>'63'!R35</f>
        <v>-154561</v>
      </c>
      <c r="P85" s="8" t="str">
        <f>Lang!$A$142</f>
        <v>Credit</v>
      </c>
      <c r="R85" s="19">
        <f ca="1">IF(R84&lt;0,-R84,)</f>
        <v>0</v>
      </c>
      <c r="S85" s="504"/>
      <c r="AH85" s="1082" t="str">
        <f>Lang!$A$298</f>
        <v>Assembly wages</v>
      </c>
      <c r="AI85" s="1083"/>
      <c r="AJ85" s="5"/>
      <c r="AK85" s="6"/>
      <c r="AL85" s="6"/>
      <c r="AM85" s="7"/>
      <c r="AN85" s="5"/>
      <c r="AO85" s="6"/>
      <c r="AP85" s="6"/>
      <c r="AQ85" s="7"/>
    </row>
    <row r="86" spans="1:43" ht="12.9" customHeight="1" x14ac:dyDescent="0.25">
      <c r="K86" s="20" t="str">
        <f>Lang!$A$143</f>
        <v>Total equity</v>
      </c>
      <c r="L86" s="20"/>
      <c r="M86" s="19">
        <f ca="1">M83+M84+M85</f>
        <v>3971791.737416361</v>
      </c>
      <c r="N86" s="504">
        <f>'63'!R36</f>
        <v>3845439</v>
      </c>
      <c r="AH86" s="1084"/>
      <c r="AI86" s="1085"/>
      <c r="AJ86" s="5"/>
      <c r="AK86" s="6"/>
      <c r="AL86" s="6"/>
      <c r="AM86" s="7"/>
      <c r="AN86" s="5"/>
      <c r="AO86" s="6">
        <f t="shared" ref="AO86:AQ88" ca="1" si="14">$H$63/$H$15*B2*(1+B$5/SUM(B$2:B$4))*B$20/60</f>
        <v>30337.749233045124</v>
      </c>
      <c r="AP86" s="6">
        <f t="shared" ca="1" si="14"/>
        <v>34847.478123145484</v>
      </c>
      <c r="AQ86" s="7">
        <f t="shared" ca="1" si="14"/>
        <v>40492.208547057009</v>
      </c>
    </row>
    <row r="87" spans="1:43" ht="12.9" customHeight="1" x14ac:dyDescent="0.25">
      <c r="P87" s="150"/>
      <c r="AH87" s="1084"/>
      <c r="AI87" s="1085"/>
      <c r="AJ87" s="5"/>
      <c r="AK87" s="6"/>
      <c r="AL87" s="6"/>
      <c r="AM87" s="7"/>
      <c r="AN87" s="5"/>
      <c r="AO87" s="6">
        <f t="shared" ca="1" si="14"/>
        <v>5441.7487413533854</v>
      </c>
      <c r="AP87" s="6">
        <f t="shared" ca="1" si="14"/>
        <v>9872.6375608350463</v>
      </c>
      <c r="AQ87" s="7">
        <f t="shared" ca="1" si="14"/>
        <v>10412.28219781466</v>
      </c>
    </row>
    <row r="88" spans="1:43" ht="12.9" customHeight="1" thickBot="1" x14ac:dyDescent="0.3">
      <c r="B88" s="25"/>
      <c r="G88" s="2"/>
      <c r="Q88" s="3"/>
      <c r="R88" s="3"/>
      <c r="S88" s="3"/>
      <c r="U88" s="2"/>
      <c r="AH88" s="1086"/>
      <c r="AI88" s="1087"/>
      <c r="AJ88" s="9"/>
      <c r="AK88" s="10"/>
      <c r="AL88" s="10"/>
      <c r="AM88" s="11"/>
      <c r="AN88" s="9"/>
      <c r="AO88" s="10">
        <f t="shared" ca="1" si="14"/>
        <v>17413.59597233083</v>
      </c>
      <c r="AP88" s="10">
        <f t="shared" ca="1" si="14"/>
        <v>17399.301839887507</v>
      </c>
      <c r="AQ88" s="11">
        <f t="shared" ca="1" si="14"/>
        <v>18607.133927576197</v>
      </c>
    </row>
    <row r="89" spans="1:43" ht="12.9" customHeight="1" x14ac:dyDescent="0.25">
      <c r="A89" s="95"/>
      <c r="E89" s="3"/>
      <c r="Q89" s="3"/>
      <c r="R89" s="25"/>
      <c r="S89" s="3"/>
      <c r="T89" s="2"/>
      <c r="U89" s="2"/>
      <c r="AH89" s="1082" t="str">
        <f>Lang!$A$299</f>
        <v>Machinists wages</v>
      </c>
      <c r="AI89" s="1083"/>
      <c r="AJ89" s="5">
        <f ca="1">IF($H$2=0,H62,0)</f>
        <v>0</v>
      </c>
      <c r="AK89" s="6"/>
      <c r="AL89" s="6"/>
      <c r="AM89" s="7"/>
      <c r="AN89" s="5"/>
      <c r="AO89" s="6"/>
      <c r="AP89" s="6"/>
      <c r="AQ89" s="7"/>
    </row>
    <row r="90" spans="1:43" ht="12.9" customHeight="1" x14ac:dyDescent="0.25">
      <c r="E90" s="3"/>
      <c r="Q90" s="3"/>
      <c r="R90" s="3"/>
      <c r="S90" s="3"/>
      <c r="T90" s="2"/>
      <c r="U90" s="2"/>
      <c r="AH90" s="1084"/>
      <c r="AI90" s="1085"/>
      <c r="AJ90" s="5"/>
      <c r="AK90" s="6"/>
      <c r="AL90" s="6"/>
      <c r="AM90" s="7"/>
      <c r="AN90" s="5"/>
      <c r="AO90" s="6">
        <f ca="1">IF($H$2=0,0,$H$62/$H$2*B2*(1+B$5/SUM(B$2:B$4))*60/60/$H$10)</f>
        <v>54593.905110508837</v>
      </c>
      <c r="AP90" s="6">
        <f ca="1">IF($H$2=0,0,$H$62/$H$2*C2*(1+C$5/SUM(C$2:C$4))*75/60/$H$10)</f>
        <v>54633.12800369921</v>
      </c>
      <c r="AQ90" s="7">
        <f ca="1">IF($H$2=0,0,$H$62/$H$2*D2*(1+D$5/SUM(D$2:D$4))*120/60/$H$10)</f>
        <v>51567.579088945073</v>
      </c>
    </row>
    <row r="91" spans="1:43" ht="12.9" customHeight="1" thickBot="1" x14ac:dyDescent="0.3">
      <c r="M91" s="3"/>
      <c r="O91" s="2"/>
      <c r="Q91" s="3"/>
      <c r="S91" s="3"/>
      <c r="AH91" s="1084"/>
      <c r="AI91" s="1085"/>
      <c r="AJ91" s="5"/>
      <c r="AK91" s="6"/>
      <c r="AL91" s="6"/>
      <c r="AM91" s="7"/>
      <c r="AN91" s="5"/>
      <c r="AO91" s="6">
        <f ca="1">IF($H$2=0,0,$H$62/$H$2*B3*(1+B$5/SUM(B$2:B$4))*60/60/$H$10)</f>
        <v>9792.6287193737826</v>
      </c>
      <c r="AP91" s="6">
        <f ca="1">IF($H$2=0,0,$H$62/$H$2*C3*(1+C$5/SUM(C$2:C$4))*75/60/$H$10)</f>
        <v>15478.109195998934</v>
      </c>
      <c r="AQ91" s="7">
        <f ca="1">IF($H$2=0,0,$H$62/$H$2*D3*(1+D$5/SUM(D$2:D$4))*120/60/$H$10)</f>
        <v>13260.234622871592</v>
      </c>
    </row>
    <row r="92" spans="1:43" ht="12.9" customHeight="1" thickBot="1" x14ac:dyDescent="0.3">
      <c r="C92" s="1080" t="str">
        <f>Lang!$A$144</f>
        <v>Prices analysis</v>
      </c>
      <c r="D92" s="1081"/>
      <c r="E92" s="1081"/>
      <c r="F92" s="1081"/>
      <c r="G92" s="1081"/>
      <c r="H92" s="1081"/>
      <c r="I92" s="1081"/>
      <c r="J92" s="1081"/>
      <c r="K92" s="1081"/>
      <c r="L92" s="102">
        <v>0.01</v>
      </c>
      <c r="M92" s="3"/>
      <c r="Q92" s="3"/>
      <c r="R92" s="3"/>
      <c r="S92" s="2"/>
      <c r="AH92" s="1086"/>
      <c r="AI92" s="1087"/>
      <c r="AJ92" s="9"/>
      <c r="AK92" s="10"/>
      <c r="AL92" s="10"/>
      <c r="AM92" s="11"/>
      <c r="AN92" s="9"/>
      <c r="AO92" s="10">
        <f ca="1">IF($H$2=0,0,$H$62/$H$2*B4*(1+B$5/SUM(B$2:B$4))*60/60/$H$10)</f>
        <v>31336.411901996104</v>
      </c>
      <c r="AP92" s="10">
        <f ca="1">IF($H$2=0,0,$H$62/$H$2*C4*(1+C$5/SUM(C$2:C$4))*75/60/$H$10)</f>
        <v>27278.251850374359</v>
      </c>
      <c r="AQ92" s="11">
        <f ca="1">IF($H$2=0,0,$H$62/$H$2*D4*(1+D$5/SUM(D$2:D$4))*120/60/$H$10)</f>
        <v>23696.53039087238</v>
      </c>
    </row>
    <row r="93" spans="1:43" ht="12.9" customHeight="1" x14ac:dyDescent="0.25">
      <c r="C93" s="635" t="str">
        <f>Lang!$A$145</f>
        <v>Profit</v>
      </c>
      <c r="D93" s="636" t="str">
        <f>Lang!$A$167</f>
        <v>Europe 1</v>
      </c>
      <c r="E93" s="636" t="str">
        <f>Lang!$A$169</f>
        <v>Europe 2</v>
      </c>
      <c r="F93" s="636" t="str">
        <f>Lang!$A$171</f>
        <v>Europe 3</v>
      </c>
      <c r="G93" s="636" t="str">
        <f>Lang!$A$146</f>
        <v>Nafta 1</v>
      </c>
      <c r="H93" s="636" t="str">
        <f>Lang!$A$147</f>
        <v>Nafta 2</v>
      </c>
      <c r="I93" s="636" t="str">
        <f>Lang!$A$148</f>
        <v>Nafta 3</v>
      </c>
      <c r="J93" s="636" t="str">
        <f>Lang!$A$168</f>
        <v>Internet 1</v>
      </c>
      <c r="K93" s="636" t="str">
        <f>Lang!$A$170</f>
        <v>Internet 2</v>
      </c>
      <c r="L93" s="637" t="str">
        <f>Lang!$A$172</f>
        <v>Internet 3</v>
      </c>
      <c r="M93" s="3"/>
      <c r="S93" s="2"/>
      <c r="AH93" s="1082" t="str">
        <f>Lang!$A$149</f>
        <v>Machine running costs</v>
      </c>
      <c r="AI93" s="1083"/>
      <c r="AJ93" s="5">
        <f>3500*H7+H11*12500</f>
        <v>39000</v>
      </c>
      <c r="AK93" s="6"/>
      <c r="AL93" s="6"/>
      <c r="AM93" s="7"/>
      <c r="AN93" s="5"/>
      <c r="AO93" s="6"/>
      <c r="AP93" s="6"/>
      <c r="AQ93" s="7"/>
    </row>
    <row r="94" spans="1:43" ht="12.9" customHeight="1" x14ac:dyDescent="0.25">
      <c r="C94" s="5">
        <v>125872.33315892768</v>
      </c>
      <c r="D94" s="56">
        <v>308</v>
      </c>
      <c r="E94" s="56">
        <v>461</v>
      </c>
      <c r="F94" s="56">
        <v>658</v>
      </c>
      <c r="G94" s="82"/>
      <c r="H94" s="56"/>
      <c r="I94" s="56"/>
      <c r="J94" s="56"/>
      <c r="K94" s="56"/>
      <c r="L94" s="57"/>
      <c r="M94" s="3"/>
      <c r="S94" s="2"/>
      <c r="AH94" s="1084"/>
      <c r="AI94" s="1085"/>
      <c r="AJ94" s="5"/>
      <c r="AK94" s="6"/>
      <c r="AL94" s="6"/>
      <c r="AM94" s="7"/>
      <c r="AN94" s="5"/>
      <c r="AO94" s="6">
        <f ca="1">B2*(1+B$5/SUM(B$2:B$4))*60/60/$H$10*8+B2*(1+B$5/SUM(B$2:B$4))</f>
        <v>8815.0198459387848</v>
      </c>
      <c r="AP94" s="6">
        <f ca="1">C2*(1+C$5/SUM(C$2:C$4))*75/60/$H$10*8+C2*(1+C$5/SUM(C$2:C$4))</f>
        <v>8637.9973378697305</v>
      </c>
      <c r="AQ94" s="7">
        <f ca="1">D2*(1+D$5/SUM(D$2:D$4))*120/60/$H$10*8+D2*(1+D$5/SUM(D$2:D$4))</f>
        <v>7893.7050960793977</v>
      </c>
    </row>
    <row r="95" spans="1:43" ht="12.9" customHeight="1" x14ac:dyDescent="0.25">
      <c r="A95" s="25"/>
      <c r="C95" s="644">
        <v>127684.44354989089</v>
      </c>
      <c r="D95" s="82">
        <v>312</v>
      </c>
      <c r="E95" s="56">
        <v>466</v>
      </c>
      <c r="F95" s="56">
        <v>665</v>
      </c>
      <c r="G95" s="82"/>
      <c r="H95" s="56"/>
      <c r="I95" s="56"/>
      <c r="J95" s="56"/>
      <c r="K95" s="56"/>
      <c r="L95" s="57"/>
      <c r="M95" s="3"/>
      <c r="S95" s="2"/>
      <c r="AH95" s="1084"/>
      <c r="AI95" s="1085"/>
      <c r="AJ95" s="5"/>
      <c r="AK95" s="6"/>
      <c r="AL95" s="6"/>
      <c r="AM95" s="7"/>
      <c r="AN95" s="5"/>
      <c r="AO95" s="6">
        <f ca="1">B3*(1+B$5/SUM(B$2:B$4))*60/60/$H$10*8+B3*(1+B$5/SUM(B$2:B$4))</f>
        <v>1581.1694790921588</v>
      </c>
      <c r="AP95" s="6">
        <f ca="1">C3*(1+C$5/SUM(C$2:C$4))*75/60/$H$10*8+C3*(1+C$5/SUM(C$2:C$4))</f>
        <v>2447.2306623417753</v>
      </c>
      <c r="AQ95" s="7">
        <f ca="1">D3*(1+D$5/SUM(D$2:D$4))*120/60/$H$10*8+D3*(1+D$5/SUM(D$2:D$4))</f>
        <v>2029.809881848988</v>
      </c>
    </row>
    <row r="96" spans="1:43" ht="12.9" customHeight="1" thickBot="1" x14ac:dyDescent="0.3">
      <c r="C96" s="644">
        <v>129177.43510258867</v>
      </c>
      <c r="D96" s="82">
        <v>315</v>
      </c>
      <c r="E96" s="56">
        <v>470</v>
      </c>
      <c r="F96" s="56">
        <v>672</v>
      </c>
      <c r="G96" s="82"/>
      <c r="H96" s="56"/>
      <c r="I96" s="56"/>
      <c r="J96" s="56"/>
      <c r="K96" s="56"/>
      <c r="L96" s="57"/>
      <c r="M96" s="3"/>
      <c r="AH96" s="1086"/>
      <c r="AI96" s="1087"/>
      <c r="AJ96" s="9"/>
      <c r="AK96" s="10"/>
      <c r="AL96" s="10"/>
      <c r="AM96" s="11"/>
      <c r="AN96" s="9"/>
      <c r="AO96" s="10">
        <f ca="1">B4*(1+B$5/SUM(B$2:B$4))*60/60/$H$10*8+B4*(1+B$5/SUM(B$2:B$4))</f>
        <v>5059.7423330949086</v>
      </c>
      <c r="AP96" s="10">
        <f ca="1">C4*(1+C$5/SUM(C$2:C$4))*75/60/$H$10*8+C4*(1+C$5/SUM(C$2:C$4))</f>
        <v>4312.9411672954056</v>
      </c>
      <c r="AQ96" s="11">
        <f ca="1">D4*(1+D$5/SUM(D$2:D$4))*120/60/$H$10*8+D4*(1+D$5/SUM(D$2:D$4))</f>
        <v>3627.3454370079135</v>
      </c>
    </row>
    <row r="97" spans="1:43" ht="12.9" customHeight="1" x14ac:dyDescent="0.25">
      <c r="C97" s="644">
        <v>130572.41045678331</v>
      </c>
      <c r="D97" s="82">
        <v>318</v>
      </c>
      <c r="E97" s="56">
        <v>475</v>
      </c>
      <c r="F97" s="56">
        <v>679</v>
      </c>
      <c r="G97" s="82"/>
      <c r="H97" s="56"/>
      <c r="I97" s="56"/>
      <c r="J97" s="56"/>
      <c r="K97" s="56"/>
      <c r="L97" s="57"/>
      <c r="M97" s="3"/>
      <c r="AH97" s="1082" t="str">
        <f>Lang!$A$150</f>
        <v>Quality control</v>
      </c>
      <c r="AI97" s="1083"/>
      <c r="AJ97" s="5">
        <f ca="1">H64</f>
        <v>3656.4436915803881</v>
      </c>
      <c r="AK97" s="6"/>
      <c r="AL97" s="6"/>
      <c r="AM97" s="7"/>
      <c r="AN97" s="5"/>
      <c r="AO97" s="6"/>
      <c r="AP97" s="6"/>
      <c r="AQ97" s="7"/>
    </row>
    <row r="98" spans="1:43" ht="12.9" customHeight="1" x14ac:dyDescent="0.25">
      <c r="C98" s="644">
        <v>131863.79371791886</v>
      </c>
      <c r="D98" s="82">
        <v>321</v>
      </c>
      <c r="E98" s="82">
        <v>480</v>
      </c>
      <c r="F98" s="82">
        <v>686</v>
      </c>
      <c r="G98" s="82"/>
      <c r="H98" s="56"/>
      <c r="I98" s="56"/>
      <c r="J98" s="56"/>
      <c r="K98" s="56"/>
      <c r="L98" s="57"/>
      <c r="M98" s="3"/>
      <c r="AH98" s="1084"/>
      <c r="AI98" s="1085"/>
      <c r="AJ98" s="5"/>
      <c r="AK98" s="6"/>
      <c r="AL98" s="6"/>
      <c r="AM98" s="7"/>
      <c r="AN98" s="5"/>
      <c r="AO98" s="6"/>
      <c r="AP98" s="6"/>
      <c r="AQ98" s="7"/>
    </row>
    <row r="99" spans="1:43" ht="12.9" customHeight="1" x14ac:dyDescent="0.25">
      <c r="A99" s="25"/>
      <c r="C99" s="644">
        <v>157258.17587543238</v>
      </c>
      <c r="D99" s="82">
        <v>325</v>
      </c>
      <c r="E99" s="56">
        <v>485</v>
      </c>
      <c r="F99" s="56">
        <v>693</v>
      </c>
      <c r="G99" s="56"/>
      <c r="H99" s="82"/>
      <c r="I99" s="56"/>
      <c r="J99" s="56"/>
      <c r="K99" s="56"/>
      <c r="L99" s="57"/>
      <c r="M99" s="3"/>
      <c r="AH99" s="1084"/>
      <c r="AI99" s="1085"/>
      <c r="AJ99" s="5"/>
      <c r="AK99" s="6"/>
      <c r="AL99" s="6"/>
      <c r="AM99" s="7"/>
      <c r="AN99" s="5"/>
      <c r="AO99" s="6"/>
      <c r="AP99" s="6"/>
      <c r="AQ99" s="7"/>
    </row>
    <row r="100" spans="1:43" ht="12.9" customHeight="1" thickBot="1" x14ac:dyDescent="0.3">
      <c r="C100" s="646">
        <v>157876.73741636099</v>
      </c>
      <c r="D100" s="83">
        <v>328</v>
      </c>
      <c r="E100" s="83">
        <v>490</v>
      </c>
      <c r="F100" s="83">
        <v>700</v>
      </c>
      <c r="G100" s="83"/>
      <c r="H100" s="83"/>
      <c r="I100" s="83"/>
      <c r="J100" s="83"/>
      <c r="K100" s="83"/>
      <c r="L100" s="84"/>
      <c r="M100" s="3"/>
      <c r="P100" s="2"/>
      <c r="R100" s="685"/>
      <c r="AH100" s="1086"/>
      <c r="AI100" s="1087"/>
      <c r="AJ100" s="9"/>
      <c r="AK100" s="10"/>
      <c r="AL100" s="10"/>
      <c r="AM100" s="11"/>
      <c r="AN100" s="9"/>
      <c r="AO100" s="10"/>
      <c r="AP100" s="10"/>
      <c r="AQ100" s="11"/>
    </row>
    <row r="101" spans="1:43" ht="12.9" customHeight="1" x14ac:dyDescent="0.25">
      <c r="C101" s="644">
        <v>158491.70830644999</v>
      </c>
      <c r="D101" s="82">
        <v>331</v>
      </c>
      <c r="E101" s="82">
        <v>495</v>
      </c>
      <c r="F101" s="82">
        <v>707</v>
      </c>
      <c r="G101" s="82"/>
      <c r="H101" s="82"/>
      <c r="I101" s="82"/>
      <c r="J101" s="82"/>
      <c r="K101" s="82"/>
      <c r="L101" s="85"/>
      <c r="M101" s="3"/>
      <c r="P101" s="2"/>
      <c r="AH101" s="1082" t="str">
        <f>Lang!$A$151</f>
        <v>Depreciation</v>
      </c>
      <c r="AI101" s="1083"/>
      <c r="AJ101" s="5">
        <f>H71</f>
        <v>34271.75</v>
      </c>
      <c r="AK101" s="6"/>
      <c r="AL101" s="6"/>
      <c r="AM101" s="7"/>
      <c r="AN101" s="5"/>
      <c r="AO101" s="6"/>
      <c r="AP101" s="6"/>
      <c r="AQ101" s="7"/>
    </row>
    <row r="102" spans="1:43" ht="12.9" customHeight="1" x14ac:dyDescent="0.25">
      <c r="C102" s="644">
        <v>158524.05502310634</v>
      </c>
      <c r="D102" s="82">
        <v>335</v>
      </c>
      <c r="E102" s="56">
        <v>500</v>
      </c>
      <c r="F102" s="56">
        <v>714</v>
      </c>
      <c r="G102" s="56"/>
      <c r="H102" s="82"/>
      <c r="I102" s="56"/>
      <c r="J102" s="56"/>
      <c r="K102" s="56"/>
      <c r="L102" s="57"/>
      <c r="M102" s="3"/>
      <c r="AH102" s="1084"/>
      <c r="AI102" s="1085"/>
      <c r="AJ102" s="5"/>
      <c r="AK102" s="6"/>
      <c r="AL102" s="6"/>
      <c r="AM102" s="7"/>
      <c r="AN102" s="5"/>
      <c r="AO102" s="6"/>
      <c r="AP102" s="6"/>
      <c r="AQ102" s="7"/>
    </row>
    <row r="103" spans="1:43" ht="12.9" customHeight="1" x14ac:dyDescent="0.25">
      <c r="B103" s="8"/>
      <c r="C103" s="644">
        <v>158795.56983198575</v>
      </c>
      <c r="D103" s="82">
        <v>338</v>
      </c>
      <c r="E103" s="82">
        <v>505</v>
      </c>
      <c r="F103" s="82">
        <v>721</v>
      </c>
      <c r="G103" s="82"/>
      <c r="H103" s="82"/>
      <c r="I103" s="82"/>
      <c r="J103" s="82"/>
      <c r="K103" s="82"/>
      <c r="L103" s="85"/>
      <c r="M103" s="3"/>
      <c r="AH103" s="1084"/>
      <c r="AI103" s="1085"/>
      <c r="AJ103" s="5"/>
      <c r="AK103" s="6"/>
      <c r="AL103" s="6"/>
      <c r="AM103" s="7"/>
      <c r="AN103" s="5"/>
      <c r="AO103" s="6"/>
      <c r="AP103" s="6"/>
      <c r="AQ103" s="7"/>
    </row>
    <row r="104" spans="1:43" ht="12.9" customHeight="1" thickBot="1" x14ac:dyDescent="0.3">
      <c r="C104" s="644">
        <v>158899.3996759234</v>
      </c>
      <c r="D104" s="82">
        <v>341</v>
      </c>
      <c r="E104" s="82">
        <v>510</v>
      </c>
      <c r="F104" s="82">
        <v>728</v>
      </c>
      <c r="G104" s="82"/>
      <c r="H104" s="82"/>
      <c r="I104" s="82"/>
      <c r="J104" s="82"/>
      <c r="K104" s="82"/>
      <c r="L104" s="85"/>
      <c r="M104" s="3"/>
      <c r="AH104" s="1086"/>
      <c r="AI104" s="1087"/>
      <c r="AJ104" s="9"/>
      <c r="AK104" s="10"/>
      <c r="AL104" s="10"/>
      <c r="AM104" s="11"/>
      <c r="AN104" s="9"/>
      <c r="AO104" s="10"/>
      <c r="AP104" s="10"/>
      <c r="AQ104" s="11"/>
    </row>
    <row r="105" spans="1:43" ht="12.9" customHeight="1" x14ac:dyDescent="0.25">
      <c r="C105" s="644">
        <v>158825.42879413575</v>
      </c>
      <c r="D105" s="82">
        <v>344</v>
      </c>
      <c r="E105" s="56">
        <v>514</v>
      </c>
      <c r="F105" s="56">
        <v>735</v>
      </c>
      <c r="G105" s="56"/>
      <c r="H105" s="56"/>
      <c r="I105" s="56"/>
      <c r="J105" s="56"/>
      <c r="K105" s="56"/>
      <c r="L105" s="57"/>
      <c r="M105" s="3"/>
      <c r="Q105" s="25"/>
      <c r="R105" s="3"/>
      <c r="S105" s="2"/>
    </row>
    <row r="106" spans="1:43" ht="12.9" customHeight="1" thickBot="1" x14ac:dyDescent="0.3">
      <c r="A106" s="150"/>
      <c r="C106" s="648">
        <v>183529.31777266646</v>
      </c>
      <c r="D106" s="152">
        <v>348</v>
      </c>
      <c r="E106" s="59">
        <v>519</v>
      </c>
      <c r="F106" s="59">
        <v>742</v>
      </c>
      <c r="G106" s="59"/>
      <c r="H106" s="59"/>
      <c r="I106" s="59"/>
      <c r="J106" s="59"/>
      <c r="K106" s="59"/>
      <c r="L106" s="60"/>
      <c r="M106" s="3"/>
      <c r="Q106" s="23"/>
      <c r="R106" s="3"/>
      <c r="S106" s="2"/>
    </row>
    <row r="107" spans="1:43" ht="12.9" customHeight="1" thickBot="1" x14ac:dyDescent="0.3">
      <c r="C107" s="2"/>
      <c r="D107" s="8"/>
      <c r="E107" s="3"/>
      <c r="I107" s="3"/>
      <c r="M107" s="3"/>
      <c r="Q107" s="3"/>
      <c r="R107" s="3"/>
      <c r="S107" s="3"/>
    </row>
    <row r="108" spans="1:43" ht="12.9" customHeight="1" x14ac:dyDescent="0.25">
      <c r="C108" s="1080" t="str">
        <f>Lang!$A$152</f>
        <v>Advertising analysis</v>
      </c>
      <c r="D108" s="1081"/>
      <c r="E108" s="1081"/>
      <c r="F108" s="1081"/>
      <c r="G108" s="1081"/>
      <c r="H108" s="1081"/>
      <c r="I108" s="1081"/>
      <c r="J108" s="1081"/>
      <c r="K108" s="1081"/>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213099.03264644207</v>
      </c>
      <c r="D110" s="56"/>
      <c r="E110" s="56"/>
      <c r="F110" s="56"/>
      <c r="G110" s="82"/>
      <c r="H110" s="56"/>
      <c r="I110" s="56"/>
      <c r="J110" s="56">
        <v>2</v>
      </c>
      <c r="K110" s="56">
        <v>2</v>
      </c>
      <c r="L110" s="57">
        <v>2</v>
      </c>
      <c r="M110" s="3"/>
      <c r="Q110" s="3"/>
      <c r="R110" s="3"/>
      <c r="S110" s="3"/>
    </row>
    <row r="111" spans="1:43" ht="12.9" customHeight="1" x14ac:dyDescent="0.25">
      <c r="C111" s="644">
        <v>212186.62345350202</v>
      </c>
      <c r="D111" s="82"/>
      <c r="E111" s="56"/>
      <c r="F111" s="56"/>
      <c r="G111" s="82"/>
      <c r="H111" s="56"/>
      <c r="I111" s="56"/>
      <c r="J111" s="56">
        <v>3</v>
      </c>
      <c r="K111" s="56">
        <v>2</v>
      </c>
      <c r="L111" s="57">
        <v>2</v>
      </c>
      <c r="M111" s="3"/>
      <c r="Q111" s="3"/>
      <c r="R111" s="3"/>
      <c r="S111" s="3"/>
    </row>
    <row r="112" spans="1:43" ht="12.9" customHeight="1" x14ac:dyDescent="0.25">
      <c r="C112" s="644">
        <v>209453.13895448437</v>
      </c>
      <c r="D112" s="82"/>
      <c r="E112" s="56"/>
      <c r="F112" s="56"/>
      <c r="G112" s="82"/>
      <c r="H112" s="56"/>
      <c r="I112" s="56"/>
      <c r="J112" s="56">
        <v>4</v>
      </c>
      <c r="K112" s="56">
        <v>3</v>
      </c>
      <c r="L112" s="57">
        <v>3</v>
      </c>
      <c r="M112" s="3"/>
      <c r="Q112" s="3"/>
      <c r="R112" s="3"/>
      <c r="S112" s="3"/>
    </row>
    <row r="113" spans="1:19" ht="12.9" customHeight="1" x14ac:dyDescent="0.25">
      <c r="C113" s="644">
        <v>207632.06379201106</v>
      </c>
      <c r="D113" s="82"/>
      <c r="E113" s="56"/>
      <c r="F113" s="56"/>
      <c r="G113" s="82"/>
      <c r="H113" s="56"/>
      <c r="I113" s="56"/>
      <c r="J113" s="56">
        <v>4</v>
      </c>
      <c r="K113" s="56">
        <v>4</v>
      </c>
      <c r="L113" s="57">
        <v>4</v>
      </c>
      <c r="M113" s="3"/>
      <c r="Q113" s="3"/>
      <c r="R113" s="3"/>
      <c r="S113" s="3"/>
    </row>
    <row r="114" spans="1:19" ht="12.9" customHeight="1" x14ac:dyDescent="0.25">
      <c r="C114" s="644">
        <v>206719.65509418503</v>
      </c>
      <c r="D114" s="82"/>
      <c r="E114" s="82"/>
      <c r="F114" s="82"/>
      <c r="G114" s="82"/>
      <c r="H114" s="56"/>
      <c r="I114" s="56"/>
      <c r="J114" s="56">
        <v>5</v>
      </c>
      <c r="K114" s="56">
        <v>4</v>
      </c>
      <c r="L114" s="57">
        <v>4</v>
      </c>
      <c r="M114" s="3"/>
      <c r="Q114" s="3"/>
      <c r="R114" s="3"/>
      <c r="S114" s="3"/>
    </row>
    <row r="115" spans="1:19" ht="12.9" customHeight="1" x14ac:dyDescent="0.25">
      <c r="C115" s="644">
        <v>206719.65509418503</v>
      </c>
      <c r="D115" s="82"/>
      <c r="E115" s="56"/>
      <c r="F115" s="56"/>
      <c r="G115" s="56"/>
      <c r="H115" s="82"/>
      <c r="I115" s="56"/>
      <c r="J115" s="56">
        <v>5</v>
      </c>
      <c r="K115" s="56">
        <v>4</v>
      </c>
      <c r="L115" s="57">
        <v>4</v>
      </c>
      <c r="M115" s="3"/>
      <c r="Q115" s="3"/>
      <c r="R115" s="3"/>
      <c r="S115" s="3"/>
    </row>
    <row r="116" spans="1:19" ht="12.9" customHeight="1" x14ac:dyDescent="0.25">
      <c r="C116" s="646">
        <v>203986.17187167442</v>
      </c>
      <c r="D116" s="83"/>
      <c r="E116" s="83"/>
      <c r="F116" s="83"/>
      <c r="G116" s="83"/>
      <c r="H116" s="83"/>
      <c r="I116" s="83"/>
      <c r="J116" s="83">
        <v>6</v>
      </c>
      <c r="K116" s="83">
        <v>5</v>
      </c>
      <c r="L116" s="84">
        <v>5</v>
      </c>
      <c r="M116" s="3"/>
      <c r="Q116" s="3"/>
      <c r="R116" s="3"/>
      <c r="S116" s="3"/>
    </row>
    <row r="117" spans="1:19" ht="12.9" customHeight="1" x14ac:dyDescent="0.25">
      <c r="A117" s="2"/>
      <c r="B117" s="2"/>
      <c r="C117" s="644">
        <v>201252.68928602507</v>
      </c>
      <c r="D117" s="82"/>
      <c r="E117" s="82"/>
      <c r="F117" s="82"/>
      <c r="G117" s="82"/>
      <c r="H117" s="82"/>
      <c r="I117" s="82"/>
      <c r="J117" s="82">
        <v>7</v>
      </c>
      <c r="K117" s="82">
        <v>6</v>
      </c>
      <c r="L117" s="85">
        <v>6</v>
      </c>
      <c r="M117" s="3"/>
      <c r="Q117" s="3"/>
      <c r="R117" s="3"/>
      <c r="S117" s="3"/>
    </row>
    <row r="118" spans="1:19" ht="12.9" customHeight="1" x14ac:dyDescent="0.25">
      <c r="C118" s="644">
        <v>201252.68928602507</v>
      </c>
      <c r="D118" s="82"/>
      <c r="E118" s="56"/>
      <c r="F118" s="56"/>
      <c r="G118" s="56"/>
      <c r="H118" s="82"/>
      <c r="I118" s="56"/>
      <c r="J118" s="56">
        <v>7</v>
      </c>
      <c r="K118" s="56">
        <v>6</v>
      </c>
      <c r="L118" s="57">
        <v>6</v>
      </c>
      <c r="M118" s="3"/>
      <c r="Q118" s="3"/>
      <c r="R118" s="3"/>
      <c r="S118" s="3"/>
    </row>
    <row r="119" spans="1:19" ht="12.9" customHeight="1" x14ac:dyDescent="0.25">
      <c r="C119" s="644">
        <v>200340.28117604519</v>
      </c>
      <c r="D119" s="82"/>
      <c r="E119" s="82"/>
      <c r="F119" s="82"/>
      <c r="G119" s="82"/>
      <c r="H119" s="82"/>
      <c r="I119" s="82"/>
      <c r="J119" s="82">
        <v>8</v>
      </c>
      <c r="K119" s="82">
        <v>6</v>
      </c>
      <c r="L119" s="85">
        <v>6</v>
      </c>
      <c r="M119" s="3"/>
      <c r="Q119" s="3"/>
      <c r="R119" s="3"/>
      <c r="S119" s="3"/>
    </row>
    <row r="120" spans="1:19" ht="12.9" customHeight="1" x14ac:dyDescent="0.25">
      <c r="C120" s="644">
        <v>198519.20733631065</v>
      </c>
      <c r="D120" s="82"/>
      <c r="E120" s="82"/>
      <c r="F120" s="82"/>
      <c r="G120" s="82"/>
      <c r="H120" s="82"/>
      <c r="I120" s="82"/>
      <c r="J120" s="82">
        <v>8</v>
      </c>
      <c r="K120" s="82">
        <v>7</v>
      </c>
      <c r="L120" s="85">
        <v>7</v>
      </c>
      <c r="M120" s="3"/>
      <c r="Q120" s="3"/>
      <c r="R120" s="3"/>
      <c r="S120" s="3"/>
    </row>
    <row r="121" spans="1:19" ht="12.9" customHeight="1" x14ac:dyDescent="0.25">
      <c r="C121" s="644">
        <v>195785.72602160741</v>
      </c>
      <c r="D121" s="82"/>
      <c r="E121" s="56"/>
      <c r="F121" s="56"/>
      <c r="G121" s="56"/>
      <c r="H121" s="56"/>
      <c r="I121" s="56"/>
      <c r="J121" s="56">
        <v>9</v>
      </c>
      <c r="K121" s="56">
        <v>8</v>
      </c>
      <c r="L121" s="57">
        <v>8</v>
      </c>
      <c r="M121" s="3"/>
      <c r="Q121" s="3"/>
      <c r="R121" s="3"/>
      <c r="S121" s="3"/>
    </row>
    <row r="122" spans="1:19" ht="12.9" customHeight="1" thickBot="1" x14ac:dyDescent="0.3">
      <c r="C122" s="648">
        <v>194873.31840368727</v>
      </c>
      <c r="D122" s="152"/>
      <c r="E122" s="59"/>
      <c r="F122" s="59"/>
      <c r="G122" s="59"/>
      <c r="H122" s="59"/>
      <c r="I122" s="59"/>
      <c r="J122" s="59">
        <v>10</v>
      </c>
      <c r="K122" s="59">
        <v>8</v>
      </c>
      <c r="L122" s="60">
        <v>8</v>
      </c>
      <c r="M122" s="3"/>
      <c r="Q122" s="3"/>
      <c r="R122" s="3"/>
      <c r="S122" s="3"/>
    </row>
    <row r="123" spans="1:19" ht="12.9" customHeight="1" thickBot="1" x14ac:dyDescent="0.3">
      <c r="A123" s="2"/>
      <c r="B123" s="2"/>
      <c r="C123" s="2"/>
      <c r="D123" s="8"/>
      <c r="E123" s="3"/>
      <c r="I123" s="3"/>
      <c r="M123" s="3"/>
      <c r="Q123" s="3"/>
      <c r="R123" s="3"/>
      <c r="S123" s="3"/>
    </row>
    <row r="124" spans="1:19" ht="12.9" customHeight="1" x14ac:dyDescent="0.25">
      <c r="C124" s="1080" t="str">
        <f>Lang!$A$45</f>
        <v>Premium materials</v>
      </c>
      <c r="D124" s="1081"/>
      <c r="E124" s="1081"/>
      <c r="F124" s="102">
        <v>0.05</v>
      </c>
      <c r="I124" s="3"/>
      <c r="J124" s="2"/>
      <c r="M124" s="3"/>
      <c r="Q124" s="3"/>
      <c r="R124" s="3"/>
      <c r="S124" s="3"/>
    </row>
    <row r="125" spans="1:19" ht="12.9" customHeight="1" x14ac:dyDescent="0.25">
      <c r="C125" s="635" t="str">
        <f>Lang!$A$145</f>
        <v>Profit</v>
      </c>
      <c r="D125" s="636">
        <v>1</v>
      </c>
      <c r="E125" s="636">
        <v>2</v>
      </c>
      <c r="F125" s="637">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3:19" ht="12.9" customHeight="1" x14ac:dyDescent="0.25">
      <c r="C129" s="644"/>
      <c r="D129" s="129"/>
      <c r="E129" s="63"/>
      <c r="F129" s="64"/>
      <c r="I129" s="3"/>
      <c r="J129" s="2"/>
      <c r="M129" s="3"/>
      <c r="Q129" s="3"/>
      <c r="R129" s="3"/>
      <c r="S129" s="3"/>
    </row>
    <row r="130" spans="3:19" ht="12.9" customHeight="1" x14ac:dyDescent="0.25">
      <c r="C130" s="644">
        <v>212078.78478837828</v>
      </c>
      <c r="D130" s="129"/>
      <c r="E130" s="129"/>
      <c r="F130" s="131">
        <v>0</v>
      </c>
      <c r="I130" s="3"/>
      <c r="J130" s="2"/>
      <c r="M130" s="3"/>
      <c r="Q130" s="3"/>
      <c r="R130" s="3"/>
      <c r="S130" s="3"/>
    </row>
    <row r="131" spans="3:19" ht="12.9" customHeight="1" x14ac:dyDescent="0.25">
      <c r="C131" s="644">
        <v>208046.65469323058</v>
      </c>
      <c r="D131" s="129"/>
      <c r="E131" s="63"/>
      <c r="F131" s="64">
        <v>0.05</v>
      </c>
      <c r="I131" s="3"/>
      <c r="J131" s="2"/>
      <c r="M131" s="3"/>
      <c r="Q131" s="3"/>
      <c r="R131" s="3"/>
      <c r="S131" s="3"/>
    </row>
    <row r="132" spans="3:19" ht="12.9" customHeight="1" x14ac:dyDescent="0.25">
      <c r="C132" s="646">
        <v>203986.17187167442</v>
      </c>
      <c r="D132" s="130"/>
      <c r="E132" s="130"/>
      <c r="F132" s="132">
        <v>0.1</v>
      </c>
      <c r="I132" s="3"/>
      <c r="J132" s="2"/>
      <c r="M132" s="3"/>
      <c r="Q132" s="3"/>
      <c r="R132" s="3"/>
      <c r="S132" s="3"/>
    </row>
    <row r="133" spans="3:19" ht="12.9" customHeight="1" x14ac:dyDescent="0.25">
      <c r="C133" s="644">
        <v>199897.33632622595</v>
      </c>
      <c r="D133" s="129"/>
      <c r="E133" s="129"/>
      <c r="F133" s="131">
        <v>0.15000000000000002</v>
      </c>
      <c r="I133" s="3"/>
      <c r="J133" s="2"/>
      <c r="M133" s="3"/>
      <c r="Q133" s="3"/>
      <c r="R133" s="3"/>
      <c r="S133" s="3"/>
    </row>
    <row r="134" spans="3:19" ht="12.9" customHeight="1" x14ac:dyDescent="0.25">
      <c r="C134" s="644">
        <v>195780.14805939258</v>
      </c>
      <c r="D134" s="129"/>
      <c r="E134" s="63"/>
      <c r="F134" s="64">
        <v>0.2</v>
      </c>
      <c r="I134" s="3"/>
      <c r="J134" s="2"/>
      <c r="M134" s="3"/>
      <c r="Q134" s="3"/>
      <c r="R134" s="3"/>
      <c r="S134" s="3"/>
    </row>
    <row r="135" spans="3:19" ht="12.9" customHeight="1" x14ac:dyDescent="0.25">
      <c r="C135" s="644">
        <v>191634.60707367037</v>
      </c>
      <c r="D135" s="129"/>
      <c r="E135" s="129"/>
      <c r="F135" s="131">
        <v>0.25</v>
      </c>
      <c r="I135" s="3"/>
      <c r="J135" s="2"/>
      <c r="M135" s="3"/>
      <c r="Q135" s="3"/>
      <c r="R135" s="3"/>
      <c r="S135" s="3"/>
    </row>
    <row r="136" spans="3:19" ht="12.9" customHeight="1" x14ac:dyDescent="0.25">
      <c r="C136" s="644">
        <v>187460.71337154368</v>
      </c>
      <c r="D136" s="129"/>
      <c r="E136" s="129"/>
      <c r="F136" s="131">
        <v>0.30000000000000004</v>
      </c>
      <c r="I136" s="3"/>
      <c r="J136" s="2"/>
      <c r="M136" s="3"/>
      <c r="Q136" s="3"/>
      <c r="R136" s="3"/>
      <c r="S136" s="3"/>
    </row>
    <row r="137" spans="3:19" ht="12.9" customHeight="1" x14ac:dyDescent="0.25">
      <c r="C137" s="644">
        <v>183258.46695548773</v>
      </c>
      <c r="D137" s="129"/>
      <c r="E137" s="63"/>
      <c r="F137" s="64">
        <v>0.35</v>
      </c>
      <c r="I137" s="3"/>
      <c r="J137" s="2"/>
      <c r="M137" s="3"/>
      <c r="Q137" s="3"/>
      <c r="R137" s="3"/>
      <c r="S137" s="3"/>
    </row>
    <row r="138" spans="3:19" ht="12.9" customHeight="1" thickBot="1" x14ac:dyDescent="0.3">
      <c r="C138" s="648">
        <v>179027.8678279664</v>
      </c>
      <c r="D138" s="604"/>
      <c r="E138" s="65"/>
      <c r="F138" s="66">
        <v>0.4</v>
      </c>
      <c r="I138" s="3"/>
      <c r="J138" s="2"/>
      <c r="M138" s="3"/>
      <c r="Q138" s="3"/>
      <c r="R138" s="3"/>
      <c r="S138" s="3"/>
    </row>
  </sheetData>
  <mergeCells count="135">
    <mergeCell ref="A1:C1"/>
    <mergeCell ref="F1:H1"/>
    <mergeCell ref="J1:L1"/>
    <mergeCell ref="N1:P1"/>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20:G20"/>
    <mergeCell ref="R26:T26"/>
    <mergeCell ref="V26:W26"/>
    <mergeCell ref="Y26:Y29"/>
    <mergeCell ref="A27:D27"/>
    <mergeCell ref="F27:G27"/>
    <mergeCell ref="F28:H28"/>
    <mergeCell ref="A32:C32"/>
    <mergeCell ref="F32:G32"/>
    <mergeCell ref="N26:P2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50:G50"/>
    <mergeCell ref="F41:G41"/>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H33:AI36"/>
    <mergeCell ref="F36:H36"/>
    <mergeCell ref="J36:L36"/>
    <mergeCell ref="R41:T41"/>
    <mergeCell ref="V36:W36"/>
    <mergeCell ref="A42:C42"/>
    <mergeCell ref="C124:E124"/>
    <mergeCell ref="AH89:AI92"/>
    <mergeCell ref="A47:D47"/>
    <mergeCell ref="C92:K92"/>
    <mergeCell ref="AH93:AI96"/>
    <mergeCell ref="AH97:AI100"/>
    <mergeCell ref="AH101:AI104"/>
    <mergeCell ref="C108:K108"/>
    <mergeCell ref="AH73:AI76"/>
    <mergeCell ref="N75:N76"/>
    <mergeCell ref="AH77:AI80"/>
    <mergeCell ref="AH81:AI84"/>
    <mergeCell ref="AH85:AI88"/>
    <mergeCell ref="AH53:AI56"/>
    <mergeCell ref="AH57:AI60"/>
    <mergeCell ref="AH61:AI64"/>
    <mergeCell ref="AH65:AI68"/>
    <mergeCell ref="N66:N67"/>
    <mergeCell ref="AH69:AI72"/>
    <mergeCell ref="F47:G47"/>
    <mergeCell ref="F48:G48"/>
    <mergeCell ref="F49:G49"/>
    <mergeCell ref="AH49:AI52"/>
  </mergeCells>
  <conditionalFormatting sqref="I2">
    <cfRule type="cellIs" dxfId="584" priority="39" operator="lessThan">
      <formula>$I$6</formula>
    </cfRule>
    <cfRule type="cellIs" dxfId="583" priority="105" operator="greaterThan">
      <formula>$I$3</formula>
    </cfRule>
  </conditionalFormatting>
  <conditionalFormatting sqref="I15">
    <cfRule type="cellIs" dxfId="582" priority="9" operator="lessThan">
      <formula>1</formula>
    </cfRule>
    <cfRule type="cellIs" dxfId="581" priority="104" operator="greaterThan">
      <formula>$I$16</formula>
    </cfRule>
  </conditionalFormatting>
  <conditionalFormatting sqref="J7:L9">
    <cfRule type="cellIs" dxfId="580" priority="101" operator="greaterThan">
      <formula>0</formula>
    </cfRule>
  </conditionalFormatting>
  <conditionalFormatting sqref="C110:C122">
    <cfRule type="colorScale" priority="100">
      <colorScale>
        <cfvo type="min"/>
        <cfvo type="percentile" val="50"/>
        <cfvo type="max"/>
        <color rgb="FFF8696B"/>
        <color rgb="FFFFEB84"/>
        <color rgb="FF63BE7B"/>
      </colorScale>
    </cfRule>
  </conditionalFormatting>
  <conditionalFormatting sqref="C94:C106">
    <cfRule type="colorScale" priority="99">
      <colorScale>
        <cfvo type="min"/>
        <cfvo type="percentile" val="50"/>
        <cfvo type="max"/>
        <color rgb="FFF8696B"/>
        <color rgb="FFFFEB84"/>
        <color rgb="FF63BE7B"/>
      </colorScale>
    </cfRule>
  </conditionalFormatting>
  <conditionalFormatting sqref="D1">
    <cfRule type="cellIs" dxfId="579" priority="98" operator="greaterThan">
      <formula>0</formula>
    </cfRule>
  </conditionalFormatting>
  <conditionalFormatting sqref="Q50">
    <cfRule type="cellIs" dxfId="578" priority="96" operator="lessThan">
      <formula>0</formula>
    </cfRule>
    <cfRule type="cellIs" dxfId="577" priority="97" operator="greaterThan">
      <formula>0</formula>
    </cfRule>
  </conditionalFormatting>
  <conditionalFormatting sqref="B48:D50">
    <cfRule type="colorScale" priority="95">
      <colorScale>
        <cfvo type="min"/>
        <cfvo type="percentile" val="50"/>
        <cfvo type="max"/>
        <color rgb="FF63BE7B"/>
        <color rgb="FFFFEB84"/>
        <color rgb="FFF8696B"/>
      </colorScale>
    </cfRule>
  </conditionalFormatting>
  <conditionalFormatting sqref="H45">
    <cfRule type="cellIs" dxfId="576" priority="93" operator="lessThan">
      <formula>$I$45</formula>
    </cfRule>
  </conditionalFormatting>
  <conditionalFormatting sqref="AK2:AM4">
    <cfRule type="colorScale" priority="90">
      <colorScale>
        <cfvo type="min"/>
        <cfvo type="percentile" val="50"/>
        <cfvo type="max"/>
        <color rgb="FFF8696B"/>
        <color rgb="FFFFEB84"/>
        <color rgb="FF63BE7B"/>
      </colorScale>
    </cfRule>
  </conditionalFormatting>
  <conditionalFormatting sqref="I49">
    <cfRule type="cellIs" dxfId="575" priority="89" operator="lessThan">
      <formula>$I$50</formula>
    </cfRule>
  </conditionalFormatting>
  <conditionalFormatting sqref="AI112">
    <cfRule type="colorScale" priority="114">
      <colorScale>
        <cfvo type="min"/>
        <cfvo type="percentile" val="50"/>
        <cfvo type="max"/>
        <color rgb="FFF8696B"/>
        <color rgb="FFFFEB84"/>
        <color rgb="FF63BE7B"/>
      </colorScale>
    </cfRule>
  </conditionalFormatting>
  <conditionalFormatting sqref="T46">
    <cfRule type="cellIs" dxfId="574" priority="77" operator="greaterThan">
      <formula>0</formula>
    </cfRule>
  </conditionalFormatting>
  <conditionalFormatting sqref="C28:C30">
    <cfRule type="cellIs" dxfId="573" priority="74" operator="lessThan">
      <formula>5</formula>
    </cfRule>
  </conditionalFormatting>
  <conditionalFormatting sqref="D35">
    <cfRule type="cellIs" dxfId="572" priority="116" operator="between">
      <formula>$D$40-$D$40*0.05</formula>
      <formula>$D$40+$D$40*0.05</formula>
    </cfRule>
  </conditionalFormatting>
  <conditionalFormatting sqref="B33:B34">
    <cfRule type="cellIs" dxfId="571" priority="117" operator="between">
      <formula>$B$38-$B$38*0.05</formula>
      <formula>$B$38+$B$38*0.05</formula>
    </cfRule>
  </conditionalFormatting>
  <conditionalFormatting sqref="B35">
    <cfRule type="cellIs" dxfId="570" priority="118" operator="between">
      <formula>$B$40-$B$40*0.05</formula>
      <formula>$B$40+$B$40*0.05</formula>
    </cfRule>
  </conditionalFormatting>
  <conditionalFormatting sqref="C33:C34">
    <cfRule type="cellIs" dxfId="569" priority="119" operator="between">
      <formula>$C$38-$C$38*0.05</formula>
      <formula>$C$38+$C$38*0.05</formula>
    </cfRule>
  </conditionalFormatting>
  <conditionalFormatting sqref="C35">
    <cfRule type="cellIs" dxfId="568" priority="120" operator="between">
      <formula>$C$40-$C$40*0.05</formula>
      <formula>$C$40+$C$40*0.05</formula>
    </cfRule>
  </conditionalFormatting>
  <conditionalFormatting sqref="D33:D34">
    <cfRule type="cellIs" dxfId="567" priority="121" operator="between">
      <formula>$D$38-$D$38*0.05</formula>
      <formula>$D$38+$D$38*0.05</formula>
    </cfRule>
  </conditionalFormatting>
  <conditionalFormatting sqref="B13">
    <cfRule type="cellIs" dxfId="566" priority="73" operator="lessThan">
      <formula>0</formula>
    </cfRule>
  </conditionalFormatting>
  <conditionalFormatting sqref="M67">
    <cfRule type="cellIs" dxfId="565" priority="72" operator="lessThan">
      <formula>0</formula>
    </cfRule>
  </conditionalFormatting>
  <conditionalFormatting sqref="O67">
    <cfRule type="cellIs" dxfId="564" priority="71" operator="greaterThan">
      <formula>$P$72</formula>
    </cfRule>
  </conditionalFormatting>
  <conditionalFormatting sqref="I10">
    <cfRule type="cellIs" dxfId="563" priority="66" operator="equal">
      <formula>0</formula>
    </cfRule>
  </conditionalFormatting>
  <conditionalFormatting sqref="H31">
    <cfRule type="cellIs" dxfId="562" priority="64" operator="lessThan">
      <formula>0</formula>
    </cfRule>
  </conditionalFormatting>
  <conditionalFormatting sqref="B10:D10">
    <cfRule type="cellIs" dxfId="561" priority="62" operator="lessThan">
      <formula>B$11</formula>
    </cfRule>
  </conditionalFormatting>
  <conditionalFormatting sqref="J37:L39">
    <cfRule type="cellIs" dxfId="560" priority="56" operator="lessThan">
      <formula>0</formula>
    </cfRule>
  </conditionalFormatting>
  <conditionalFormatting sqref="I26">
    <cfRule type="cellIs" dxfId="559" priority="55" operator="lessThan">
      <formula>$I$27</formula>
    </cfRule>
  </conditionalFormatting>
  <conditionalFormatting sqref="H19">
    <cfRule type="cellIs" dxfId="558" priority="54" operator="greaterThan">
      <formula>0</formula>
    </cfRule>
  </conditionalFormatting>
  <conditionalFormatting sqref="A13">
    <cfRule type="cellIs" dxfId="557" priority="52" operator="lessThan">
      <formula>0</formula>
    </cfRule>
  </conditionalFormatting>
  <conditionalFormatting sqref="M66">
    <cfRule type="cellIs" dxfId="556" priority="51" operator="lessThan">
      <formula>0</formula>
    </cfRule>
  </conditionalFormatting>
  <conditionalFormatting sqref="D55:D71 D74:D76 D80:D81">
    <cfRule type="cellIs" dxfId="555" priority="50" operator="between">
      <formula>C55-C55*0.01</formula>
      <formula>C55+C55*0.01</formula>
    </cfRule>
  </conditionalFormatting>
  <conditionalFormatting sqref="I56 I58:I78 I80:I83">
    <cfRule type="cellIs" dxfId="554" priority="48" operator="between">
      <formula>H56-H56*0.01</formula>
      <formula>H56+H56*0.01</formula>
    </cfRule>
  </conditionalFormatting>
  <conditionalFormatting sqref="N56:N59 N80 N83:N86 N70 N62:N66 N68 N73:N75 N77:N78">
    <cfRule type="cellIs" dxfId="553" priority="47" operator="between">
      <formula>M56-M56*0.01</formula>
      <formula>M56+M56*0.01</formula>
    </cfRule>
  </conditionalFormatting>
  <conditionalFormatting sqref="S56:S60 S76:S79 S69:S74 S63:S66">
    <cfRule type="cellIs" dxfId="552" priority="46" operator="between">
      <formula>R56-R56*0.01</formula>
      <formula>R56+R56*0.01</formula>
    </cfRule>
  </conditionalFormatting>
  <conditionalFormatting sqref="E13 E9">
    <cfRule type="cellIs" dxfId="551" priority="44" operator="greaterThan">
      <formula>0</formula>
    </cfRule>
    <cfRule type="cellIs" dxfId="550" priority="45" operator="lessThan">
      <formula>0</formula>
    </cfRule>
  </conditionalFormatting>
  <conditionalFormatting sqref="C126:C138">
    <cfRule type="colorScale" priority="43">
      <colorScale>
        <cfvo type="min"/>
        <cfvo type="percentile" val="50"/>
        <cfvo type="max"/>
        <color rgb="FFF8696B"/>
        <color rgb="FFFFEB84"/>
        <color rgb="FF63BE7B"/>
      </colorScale>
    </cfRule>
  </conditionalFormatting>
  <conditionalFormatting sqref="H32">
    <cfRule type="cellIs" dxfId="549" priority="37" operator="lessThan">
      <formula>0</formula>
    </cfRule>
  </conditionalFormatting>
  <conditionalFormatting sqref="T108:T115">
    <cfRule type="colorScale" priority="36">
      <colorScale>
        <cfvo type="min"/>
        <cfvo type="percentile" val="50"/>
        <cfvo type="max"/>
        <color rgb="FFF8696B"/>
        <color rgb="FFFFEB84"/>
        <color rgb="FF63BE7B"/>
      </colorScale>
    </cfRule>
  </conditionalFormatting>
  <conditionalFormatting sqref="B16:D17">
    <cfRule type="cellIs" dxfId="548" priority="24" operator="equal">
      <formula>"Major"</formula>
    </cfRule>
  </conditionalFormatting>
  <conditionalFormatting sqref="E7">
    <cfRule type="cellIs" dxfId="547" priority="14" operator="greaterThan">
      <formula>0</formula>
    </cfRule>
    <cfRule type="cellIs" dxfId="546" priority="15" operator="lessThan">
      <formula>0</formula>
    </cfRule>
  </conditionalFormatting>
  <conditionalFormatting sqref="O66">
    <cfRule type="cellIs" dxfId="545" priority="13" operator="greaterThan">
      <formula>$P$72</formula>
    </cfRule>
  </conditionalFormatting>
  <conditionalFormatting sqref="H42">
    <cfRule type="expression" dxfId="544" priority="12">
      <formula>AND(H42&gt;0,H82&lt;H80)</formula>
    </cfRule>
  </conditionalFormatting>
  <conditionalFormatting sqref="B43:D45">
    <cfRule type="cellIs" dxfId="543" priority="11" operator="lessThan">
      <formula>1</formula>
    </cfRule>
  </conditionalFormatting>
  <conditionalFormatting sqref="I12">
    <cfRule type="cellIs" dxfId="542" priority="10" operator="lessThan">
      <formula>10</formula>
    </cfRule>
  </conditionalFormatting>
  <conditionalFormatting sqref="B18">
    <cfRule type="cellIs" dxfId="541" priority="7" operator="lessThan">
      <formula>E20</formula>
    </cfRule>
  </conditionalFormatting>
  <conditionalFormatting sqref="C18">
    <cfRule type="cellIs" dxfId="540" priority="6" operator="lessThan">
      <formula>E21</formula>
    </cfRule>
  </conditionalFormatting>
  <conditionalFormatting sqref="D18">
    <cfRule type="cellIs" dxfId="539" priority="5" operator="lessThan">
      <formula>E22</formula>
    </cfRule>
  </conditionalFormatting>
  <conditionalFormatting sqref="B8:D8">
    <cfRule type="cellIs" dxfId="538" priority="4" operator="lessThan">
      <formula>#REF!</formula>
    </cfRule>
  </conditionalFormatting>
  <conditionalFormatting sqref="H23">
    <cfRule type="cellIs" dxfId="537" priority="2" operator="lessThan">
      <formula>30</formula>
    </cfRule>
  </conditionalFormatting>
  <conditionalFormatting sqref="H47">
    <cfRule type="cellIs" dxfId="536" priority="1" operator="lessThan">
      <formula>180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4465" r:id="rId4" name="Button 1">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4466" r:id="rId5" name="Button 2">
              <controlPr defaultSize="0" print="0" autoFill="0" autoPict="0" macro="[0]!Decision_fact_copy_all">
                <anchor moveWithCells="1" sizeWithCells="1">
                  <from>
                    <xdr:col>13</xdr:col>
                    <xdr:colOff>7620</xdr:colOff>
                    <xdr:row>94</xdr:row>
                    <xdr:rowOff>0</xdr:rowOff>
                  </from>
                  <to>
                    <xdr:col>15</xdr:col>
                    <xdr:colOff>7620</xdr:colOff>
                    <xdr:row>96</xdr:row>
                    <xdr:rowOff>0</xdr:rowOff>
                  </to>
                </anchor>
              </controlPr>
            </control>
          </mc:Choice>
        </mc:AlternateContent>
        <mc:AlternateContent xmlns:mc="http://schemas.openxmlformats.org/markup-compatibility/2006">
          <mc:Choice Requires="x14">
            <control shapeId="574467" r:id="rId6" name="Button 3">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4468" r:id="rId7" name="Button 4">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4469" r:id="rId8" name="Button 5">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4470" r:id="rId9" name="Button 6">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4471" r:id="rId10" name="Button 7">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4472" r:id="rId11" name="Button 8">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4473" r:id="rId12" name="Button 9">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4474" r:id="rId13" name="Button 10">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4475" r:id="rId14" name="Button 11">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4484" r:id="rId15" name="Button 20">
              <controlPr defaultSize="0" print="0" autoFill="0" autoPict="0" macro="[0]!History_insert">
                <anchor moveWithCells="1" sizeWithCells="1">
                  <from>
                    <xdr:col>16</xdr:col>
                    <xdr:colOff>7620</xdr:colOff>
                    <xdr:row>88</xdr:row>
                    <xdr:rowOff>0</xdr:rowOff>
                  </from>
                  <to>
                    <xdr:col>18</xdr:col>
                    <xdr:colOff>7620</xdr:colOff>
                    <xdr:row>90</xdr:row>
                    <xdr:rowOff>0</xdr:rowOff>
                  </to>
                </anchor>
              </controlPr>
            </control>
          </mc:Choice>
        </mc:AlternateContent>
        <mc:AlternateContent xmlns:mc="http://schemas.openxmlformats.org/markup-compatibility/2006">
          <mc:Choice Requires="x14">
            <control shapeId="574487" r:id="rId16" name="Button 23">
              <controlPr defaultSize="0" print="0" autoFill="0" autoPict="0" macro="[0]!Decisions_insert">
                <anchor moveWithCells="1" sizeWithCells="1">
                  <from>
                    <xdr:col>12</xdr:col>
                    <xdr:colOff>685800</xdr:colOff>
                    <xdr:row>88</xdr:row>
                    <xdr:rowOff>0</xdr:rowOff>
                  </from>
                  <to>
                    <xdr:col>14</xdr:col>
                    <xdr:colOff>685800</xdr:colOff>
                    <xdr:row>90</xdr:row>
                    <xdr:rowOff>0</xdr:rowOff>
                  </to>
                </anchor>
              </controlPr>
            </control>
          </mc:Choice>
        </mc:AlternateContent>
        <mc:AlternateContent xmlns:mc="http://schemas.openxmlformats.org/markup-compatibility/2006">
          <mc:Choice Requires="x14">
            <control shapeId="574564" r:id="rId17" name="Button 100">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4565" r:id="rId18" name="Button 101">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4566" r:id="rId19" name="Button 102">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4567" r:id="rId20" name="Button 103">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4580" r:id="rId21" name="Button 116">
              <controlPr defaultSize="0" print="0" autoFill="0" autoPict="0" macro="[0]!Clear_all_decisions">
                <anchor moveWithCells="1" sizeWithCells="1">
                  <from>
                    <xdr:col>13</xdr:col>
                    <xdr:colOff>0</xdr:colOff>
                    <xdr:row>91</xdr:row>
                    <xdr:rowOff>0</xdr:rowOff>
                  </from>
                  <to>
                    <xdr:col>15</xdr:col>
                    <xdr:colOff>0</xdr:colOff>
                    <xdr:row>93</xdr:row>
                    <xdr:rowOff>0</xdr:rowOff>
                  </to>
                </anchor>
              </controlPr>
            </control>
          </mc:Choice>
        </mc:AlternateContent>
        <mc:AlternateContent xmlns:mc="http://schemas.openxmlformats.org/markup-compatibility/2006">
          <mc:Choice Requires="x14">
            <control shapeId="574598" r:id="rId22" name="Button 134">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mc:AlternateContent xmlns:mc="http://schemas.openxmlformats.org/markup-compatibility/2006">
          <mc:Choice Requires="x14">
            <control shapeId="574599" r:id="rId23" name="Button 135">
              <controlPr defaultSize="0" print="0" autoFill="0" autoPict="0" macro="[0]!History_show">
                <anchor moveWithCells="1" sizeWithCells="1">
                  <from>
                    <xdr:col>16</xdr:col>
                    <xdr:colOff>7620</xdr:colOff>
                    <xdr:row>90</xdr:row>
                    <xdr:rowOff>152400</xdr:rowOff>
                  </from>
                  <to>
                    <xdr:col>18</xdr:col>
                    <xdr:colOff>7620</xdr:colOff>
                    <xdr:row>92</xdr:row>
                    <xdr:rowOff>152400</xdr:rowOff>
                  </to>
                </anchor>
              </controlPr>
            </control>
          </mc:Choice>
        </mc:AlternateContent>
        <mc:AlternateContent xmlns:mc="http://schemas.openxmlformats.org/markup-compatibility/2006">
          <mc:Choice Requires="x14">
            <control shapeId="574600" r:id="rId24" name="Button 136">
              <controlPr defaultSize="0" print="0" autoFill="0" autoPict="0" macro="[0]!History_hide">
                <anchor moveWithCells="1" sizeWithCells="1">
                  <from>
                    <xdr:col>16</xdr:col>
                    <xdr:colOff>7620</xdr:colOff>
                    <xdr:row>93</xdr:row>
                    <xdr:rowOff>152400</xdr:rowOff>
                  </from>
                  <to>
                    <xdr:col>18</xdr:col>
                    <xdr:colOff>7620</xdr:colOff>
                    <xdr:row>95</xdr:row>
                    <xdr:rowOff>152400</xdr:rowOff>
                  </to>
                </anchor>
              </controlPr>
            </control>
          </mc:Choice>
        </mc:AlternateContent>
        <mc:AlternateContent xmlns:mc="http://schemas.openxmlformats.org/markup-compatibility/2006">
          <mc:Choice Requires="x14">
            <control shapeId="574620" r:id="rId25" name="Button 156">
              <controlPr defaultSize="0" print="0" autoFill="0" autoPict="0" macro="[0]!Decisions_manual_correction">
                <anchor moveWithCells="1" sizeWithCells="1">
                  <from>
                    <xdr:col>12</xdr:col>
                    <xdr:colOff>678180</xdr:colOff>
                    <xdr:row>97</xdr:row>
                    <xdr:rowOff>0</xdr:rowOff>
                  </from>
                  <to>
                    <xdr:col>14</xdr:col>
                    <xdr:colOff>678180</xdr:colOff>
                    <xdr:row>99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3" operator="greaterThan" id="{63EA782C-8B5F-47FA-A1BD-7B5B4CA0A363}">
            <xm:f>'51'!$P$25*1.15</xm:f>
            <x14:dxf>
              <font>
                <color rgb="FF9C0006"/>
              </font>
              <fill>
                <patternFill>
                  <bgColor rgb="FFFFC7CE"/>
                </patternFill>
              </fill>
            </x14:dxf>
          </x14:cfRule>
          <xm:sqref>H26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9">
    <tabColor theme="9" tint="0.59999389629810485"/>
  </sheetPr>
  <dimension ref="A1:AQ142"/>
  <sheetViews>
    <sheetView topLeftCell="T1" zoomScale="80" zoomScaleNormal="80" workbookViewId="0">
      <selection activeCell="L15" sqref="L15"/>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100" t="str">
        <f>Lang!$A$1</f>
        <v>Production plan</v>
      </c>
      <c r="B1" s="1101"/>
      <c r="C1" s="1101"/>
      <c r="D1" s="69">
        <v>0</v>
      </c>
      <c r="F1" s="1100" t="str">
        <f>Lang!$A$2</f>
        <v>Production details</v>
      </c>
      <c r="G1" s="1101"/>
      <c r="H1" s="1102"/>
      <c r="J1" s="1131" t="str">
        <f>Lang!$A$3</f>
        <v>Stocks previous quarter</v>
      </c>
      <c r="K1" s="1139"/>
      <c r="L1" s="1140"/>
      <c r="N1" s="1141" t="str">
        <f>Lang!$A$4</f>
        <v>Total demand</v>
      </c>
      <c r="O1" s="1142"/>
      <c r="P1" s="1143"/>
      <c r="Q1" s="3"/>
      <c r="R1" s="1100" t="str">
        <f>Lang!$A$5</f>
        <v>A&amp;D - commission</v>
      </c>
      <c r="S1" s="1101"/>
      <c r="T1" s="1102"/>
      <c r="U1" s="2"/>
      <c r="V1" s="1131" t="str">
        <f>IF(X1=4,"Taxes","")</f>
        <v/>
      </c>
      <c r="W1" s="1132"/>
      <c r="X1" s="631">
        <f>'11'!S9</f>
        <v>2</v>
      </c>
      <c r="Y1" s="1114">
        <f>SUM(V2:X4)</f>
        <v>0</v>
      </c>
      <c r="AH1" s="1082" t="str">
        <f>Lang!$A$6</f>
        <v>Revenues, marginal costs</v>
      </c>
      <c r="AI1" s="1083"/>
      <c r="AJ1" s="136">
        <f ca="1">SUM(AK2:AM4)</f>
        <v>1854834</v>
      </c>
      <c r="AK1" s="26"/>
      <c r="AL1" s="26"/>
      <c r="AM1" s="27"/>
      <c r="AN1" s="138">
        <f ca="1">SUM(AO2:AQ4)</f>
        <v>0.58517467260936773</v>
      </c>
      <c r="AO1" s="26"/>
      <c r="AP1" s="26"/>
      <c r="AQ1" s="27"/>
    </row>
    <row r="2" spans="1:43" ht="12.9" customHeight="1" x14ac:dyDescent="0.25">
      <c r="A2" s="888" t="str">
        <f>Lang!$A$7</f>
        <v>Europe</v>
      </c>
      <c r="B2" s="391">
        <f ca="1">MAX(IF($D$1=2,'72'!U12,IF($D$1=1,J22,IF($M22&gt;0,FLOOR(J22/$M22*CEILING($J22/500+$K22/250+$L22/125,1),1),0))),0)</f>
        <v>1089</v>
      </c>
      <c r="C2" s="391">
        <f ca="1">MAX(IF($D$1=2,'72'!W12,IF($D$1=1,K22,IF($M22&gt;0,FLOOR(K22/$M22*CEILING($J22/500+$K22/250+$L22/125,1),1),0))),0)</f>
        <v>790</v>
      </c>
      <c r="D2" s="392">
        <f ca="1">MAX(IF($D$1=2,'72'!Y12,IF($D$1=1,L22,IF($M22&gt;0,FLOOR(L22/$M22*CEILING($J22/500+$K22/250+$L22/125,1),1),0))),0)</f>
        <v>457</v>
      </c>
      <c r="E2" s="447">
        <f ca="1">B2/500+C2/250+D2/125</f>
        <v>8.9939999999999998</v>
      </c>
      <c r="F2" s="1124" t="str">
        <f>Lang!$A$8</f>
        <v>Hours for details</v>
      </c>
      <c r="G2" s="1125"/>
      <c r="H2" s="394">
        <f ca="1">IF(ISNUMBER(H10),IF(H10&gt;0,MAX(((SUM(B2:B5)*60+SUM(C2:C5)*75+SUM(D2:D5)*120)-(IF(SUM(B2:B5)&lt;B7,SUM(B2:B5),B7)*60+IF(SUM(C2:C5)&lt;C7,SUM(C2:C5),C7)*75+IF(SUM(D2:D5)&lt;D7,SUM(D2:D5),D7)*120))/60/H10,0),0),0)</f>
        <v>4386.7140327213165</v>
      </c>
      <c r="I2" s="455">
        <f ca="1">(H2+H6)/H5</f>
        <v>1.0550747696955516</v>
      </c>
      <c r="J2" s="397">
        <f>'62'!U31</f>
        <v>149</v>
      </c>
      <c r="K2" s="398">
        <f>'62'!W31</f>
        <v>0</v>
      </c>
      <c r="L2" s="399">
        <f>'62'!Y31</f>
        <v>0</v>
      </c>
      <c r="M2" s="482">
        <f ca="1">SUM(J2:L2)/SUM(J12:L12)</f>
        <v>6.5150852645386975E-2</v>
      </c>
      <c r="N2" s="900">
        <f ca="1">R17+N7+N12+N22+N27+N32+N37+N17+R2+R7+R12+R22+R27+R32+R37+R42</f>
        <v>-3.5928461932282774E-3</v>
      </c>
      <c r="O2" s="901">
        <f t="shared" ref="O2:P4" ca="1" si="0">S17+O7+O12+O22+O27+O32+O37+O17+S2+S7+S12+S22+S27+S32+S37+S42</f>
        <v>9.0210779686530906E-3</v>
      </c>
      <c r="P2" s="902">
        <f t="shared" ca="1" si="0"/>
        <v>-5.3691035619309713E-2</v>
      </c>
      <c r="Q2" s="113"/>
      <c r="R2" s="900">
        <f ca="1">($D28*100+OFFSET(History!$C$45,$B$52,0)*Config!$H9+OFFSET(History!$C$44,$B$52,0)*Config!$H9^2+OFFSET(History!$C$43,$B$52,0)*Config!$H9^3+1)^Config!$G9-(OFFSET(History!$C$45,$B$52,0)+OFFSET(History!$C$44,$B$52,0)*Config!$H9+OFFSET(History!$C$43,$B$52,0)*Config!$H9^2+OFFSET(History!$C$42,$B$52,0)*Config!$H9^3+1)^Config!$G9</f>
        <v>0</v>
      </c>
      <c r="S2" s="901">
        <f ca="1">($D28*100+OFFSET(History!$C$45,$B$52,0)*Config!$H9+OFFSET(History!$C$44,$B$52,0)*Config!$H9^2+OFFSET(History!$C$43,$B$52,0)*Config!$H9^3+1)^Config!$G9-(OFFSET(History!$C$45,$B$52,0)+OFFSET(History!$C$44,$B$52,0)*Config!$H9+OFFSET(History!$C$43,$B$52,0)*Config!$H9^2+OFFSET(History!$C$42,$B$52,0)*Config!$H9^3+1)^Config!$G9</f>
        <v>0</v>
      </c>
      <c r="T2" s="902">
        <f ca="1">($D28*100+OFFSET(History!$C$45,$B$52,0)*Config!$H9+OFFSET(History!$C$44,$B$52,0)*Config!$H9^2+OFFSET(History!$C$43,$B$52,0)*Config!$H9^3+1)^Config!$G9-(OFFSET(History!$C$45,$B$52,0)+OFFSET(History!$C$44,$B$52,0)*Config!$H9+OFFSET(History!$C$43,$B$52,0)*Config!$H9^2+OFFSET(History!$C$42,$B$52,0)*Config!$H9^3+1)^Config!$G9</f>
        <v>0</v>
      </c>
      <c r="U2" s="2"/>
      <c r="V2" s="638">
        <f>'12'!$U$17</f>
        <v>0</v>
      </c>
      <c r="W2" s="639">
        <f>'12'!$W$17</f>
        <v>0</v>
      </c>
      <c r="X2" s="640">
        <f>'12'!$Y$17</f>
        <v>0</v>
      </c>
      <c r="Y2" s="1114"/>
      <c r="AH2" s="1084"/>
      <c r="AI2" s="1085"/>
      <c r="AJ2" s="5"/>
      <c r="AK2" s="34">
        <f t="shared" ref="AK2:AM4" ca="1" si="1">J17*J42</f>
        <v>386384</v>
      </c>
      <c r="AL2" s="34">
        <f t="shared" ca="1" si="1"/>
        <v>366030</v>
      </c>
      <c r="AM2" s="35">
        <f t="shared" ca="1" si="1"/>
        <v>302400</v>
      </c>
      <c r="AN2" s="5"/>
      <c r="AO2" s="63">
        <f t="shared" ref="AO2:AQ4" ca="1" si="2">B48/SUM($AO$6:$AQ$8)*AO6</f>
        <v>0.10224870062866857</v>
      </c>
      <c r="AP2" s="63">
        <f t="shared" ca="1" si="2"/>
        <v>0.12072114128993608</v>
      </c>
      <c r="AQ2" s="64">
        <f t="shared" ca="1" si="2"/>
        <v>0.13414116386160416</v>
      </c>
    </row>
    <row r="3" spans="1:43" ht="12.9" customHeight="1" x14ac:dyDescent="0.25">
      <c r="A3" s="888" t="str">
        <f>Lang!$A$9</f>
        <v>Nafta</v>
      </c>
      <c r="B3" s="391">
        <f ca="1">MAX(IF($D$1=2,'72'!U13,IF($D$1=1,J23,IF($M23&gt;0,FLOOR(J23/$M23*CEILING($J23/500+$K23/250+$L23/125,1),1),0))),0)</f>
        <v>65</v>
      </c>
      <c r="C3" s="391">
        <f ca="1">MAX(IF($D$1=2,'72'!W13,IF($D$1=1,K23,IF($M23&gt;0,FLOOR(K23/$M23*CEILING($J23/500+$K23/250+$L23/125,1),1),0))),0)</f>
        <v>104</v>
      </c>
      <c r="D3" s="392">
        <f ca="1">MAX(IF($D$1=2,'72'!Y13,IF($D$1=1,L23,IF($M23&gt;0,FLOOR(L23/$M23*CEILING($J23/500+$K23/250+$L23/125,1),1),0))),0)</f>
        <v>56</v>
      </c>
      <c r="E3" s="447">
        <f ca="1">B3/500+C3/250+D3/125</f>
        <v>0.99399999999999999</v>
      </c>
      <c r="F3" s="1124" t="str">
        <f>Lang!$A$10</f>
        <v>7 days</v>
      </c>
      <c r="G3" s="1125"/>
      <c r="H3" s="454">
        <f>IF(H11=1,H7*(420+84+72),H7*H11*(420+42+72))</f>
        <v>5340</v>
      </c>
      <c r="I3" s="456">
        <f>H3/H5</f>
        <v>1.2714285714285714</v>
      </c>
      <c r="J3" s="397">
        <f>'62'!U32</f>
        <v>51</v>
      </c>
      <c r="K3" s="398">
        <f>'62'!W32</f>
        <v>28</v>
      </c>
      <c r="L3" s="399">
        <f>'62'!Y32</f>
        <v>10</v>
      </c>
      <c r="M3" s="482">
        <f ca="1">SUM(J3:L3)/SUM(J13:L13)</f>
        <v>0.29470198675496689</v>
      </c>
      <c r="N3" s="1077">
        <f ca="1">R18+N8+N13+N23+N28+N33+N38+N18+R3+R8+R13+R23+R28+R33+R38+R43</f>
        <v>0.29355078517173205</v>
      </c>
      <c r="O3" s="901">
        <f t="shared" ca="1" si="0"/>
        <v>0.2562971290713259</v>
      </c>
      <c r="P3" s="902">
        <f t="shared" ca="1" si="0"/>
        <v>0.22160957286744851</v>
      </c>
      <c r="Q3" s="113"/>
      <c r="R3" s="900">
        <f ca="1">($D29*100+OFFSET(History!$F$45,$B$52,0)*Config!$H10+OFFSET(History!$F$44,$B$52,0)*Config!$H10^2+OFFSET(History!$F$43,$B$52,0)*Config!$H10^3+1)^Config!$G10-(OFFSET(History!$F$45,$B$52,0)+OFFSET(History!$F$44,$B$52,0)*Config!$H10+OFFSET(History!$F$43,$B$52,0)*Config!$H10^2+OFFSET(History!$F$42,$B$52,0)*Config!$H10^3+1)^Config!$G10</f>
        <v>4.6561143818408146E-2</v>
      </c>
      <c r="S3" s="901">
        <f ca="1">($D29*100+OFFSET(History!$F$45,$B$52,0)*Config!$H10+OFFSET(History!$F$44,$B$52,0)*Config!$H10^2+OFFSET(History!$F$43,$B$52,0)*Config!$H10^3+1)^Config!$G10-(OFFSET(History!$F$45,$B$52,0)+OFFSET(History!$F$44,$B$52,0)*Config!$H10+OFFSET(History!$F$43,$B$52,0)*Config!$H10^2+OFFSET(History!$F$42,$B$52,0)*Config!$H10^3+1)^Config!$G10</f>
        <v>4.6561143818408146E-2</v>
      </c>
      <c r="T3" s="902">
        <f ca="1">($D29*100+OFFSET(History!$F$45,$B$52,0)*Config!$H10+OFFSET(History!$F$44,$B$52,0)*Config!$H10^2+OFFSET(History!$F$43,$B$52,0)*Config!$H10^3+1)^Config!$G10-(OFFSET(History!$F$45,$B$52,0)+OFFSET(History!$F$44,$B$52,0)*Config!$H10+OFFSET(History!$F$43,$B$52,0)*Config!$H10^2+OFFSET(History!$F$42,$B$52,0)*Config!$H10^3+1)^Config!$G10</f>
        <v>4.6561143818408146E-2</v>
      </c>
      <c r="U3" s="2"/>
      <c r="V3" s="638">
        <f>'12'!$U$18</f>
        <v>0</v>
      </c>
      <c r="W3" s="639">
        <f>'12'!$W$18</f>
        <v>0</v>
      </c>
      <c r="X3" s="640">
        <f>'12'!$Y$18</f>
        <v>0</v>
      </c>
      <c r="Y3" s="1114"/>
      <c r="AH3" s="1084"/>
      <c r="AI3" s="1085"/>
      <c r="AJ3" s="5"/>
      <c r="AK3" s="34">
        <f t="shared" ca="1" si="1"/>
        <v>38420</v>
      </c>
      <c r="AL3" s="34">
        <f t="shared" ca="1" si="1"/>
        <v>61740</v>
      </c>
      <c r="AM3" s="35">
        <f t="shared" ca="1" si="1"/>
        <v>45990.000000000007</v>
      </c>
      <c r="AN3" s="5"/>
      <c r="AO3" s="63">
        <f t="shared" ca="1" si="2"/>
        <v>8.4106976562145792E-3</v>
      </c>
      <c r="AP3" s="63">
        <f t="shared" ca="1" si="2"/>
        <v>2.0225044173153055E-2</v>
      </c>
      <c r="AQ3" s="64">
        <f t="shared" ca="1" si="2"/>
        <v>1.9713369623608007E-2</v>
      </c>
    </row>
    <row r="4" spans="1:43" ht="12.9" customHeight="1" thickBot="1" x14ac:dyDescent="0.3">
      <c r="A4" s="888" t="str">
        <f>Lang!$A$11</f>
        <v>Internet</v>
      </c>
      <c r="B4" s="391">
        <f ca="1">MAX(IF($D$1=2,'72'!U14,IF($D$1=1,J24,IF($M24&gt;0,FLOOR(J24/$M24*CEILING($J24/500+$K24/250+$L24/125,1),1),0))),0)</f>
        <v>632</v>
      </c>
      <c r="C4" s="391">
        <f ca="1">MAX(IF($D$1=2,'72'!W14,IF($D$1=1,K24,IF($M24&gt;0,FLOOR(K24/$M24*CEILING($J24/500+$K24/250+$L24/125,1),1),0))),0)</f>
        <v>427</v>
      </c>
      <c r="D4" s="392">
        <f ca="1">MAX(IF($D$1=2,'72'!Y14,IF($D$1=1,L24,IF($M24&gt;0,FLOOR(L24/$M24*CEILING($J24/500+$K24/250+$L24/125,1),1),0))),0)</f>
        <v>253</v>
      </c>
      <c r="E4" s="447">
        <f ca="1">B4/500+C4/250+D4/125</f>
        <v>4.9960000000000004</v>
      </c>
      <c r="F4" s="1133" t="str">
        <f>Lang!$A$12</f>
        <v>6 days</v>
      </c>
      <c r="G4" s="1134"/>
      <c r="H4" s="399">
        <f>IF(H11=1,H7*(420+84),H7*H11*(420+42))</f>
        <v>4620</v>
      </c>
      <c r="I4" s="456">
        <f>H4/H5</f>
        <v>1.1000000000000001</v>
      </c>
      <c r="J4" s="400">
        <f>'62'!U33</f>
        <v>0</v>
      </c>
      <c r="K4" s="401">
        <f>'62'!W33</f>
        <v>0</v>
      </c>
      <c r="L4" s="402">
        <f>'62'!Y33</f>
        <v>0</v>
      </c>
      <c r="M4" s="482">
        <f ca="1">SUM(J4:L4)/SUM(J14:L14)</f>
        <v>0</v>
      </c>
      <c r="N4" s="903">
        <f ca="1">R19+N9+N14+N24+N29+N34+N39+N19+R4+R9+R14+R24+R29+R34+R39+R44</f>
        <v>0.77576763361240053</v>
      </c>
      <c r="O4" s="904">
        <f t="shared" ca="1" si="0"/>
        <v>0.74290884420902903</v>
      </c>
      <c r="P4" s="905">
        <f t="shared" ca="1" si="0"/>
        <v>0.71137074978034709</v>
      </c>
      <c r="Q4" s="113"/>
      <c r="R4" s="903">
        <f ca="1">($D30*100+OFFSET(History!$I$45,$B$52,0)*Config!$H11+OFFSET(History!$I$44,$B$52,0)*Config!$H11^2+OFFSET(History!$I$43,$B$52,0)*Config!$H11^3+1)^Config!$G11-(OFFSET(History!$I$45,$B$52,0)+OFFSET(History!$I$44,$B$52,0)*Config!$H11+OFFSET(History!$I$43,$B$52,0)*Config!$H11^2+OFFSET(History!$I$42,$B$52,0)*Config!$H11^3+1)^Config!$G11</f>
        <v>9.9074793251663351E-5</v>
      </c>
      <c r="S4" s="904">
        <f ca="1">($D30*100+OFFSET(History!$I$45,$B$52,0)*Config!$H11+OFFSET(History!$I$44,$B$52,0)*Config!$H11^2+OFFSET(History!$I$43,$B$52,0)*Config!$H11^3+1)^Config!$G11-(OFFSET(History!$I$45,$B$52,0)+OFFSET(History!$I$44,$B$52,0)*Config!$H11+OFFSET(History!$I$43,$B$52,0)*Config!$H11^2+OFFSET(History!$I$42,$B$52,0)*Config!$H11^3+1)^Config!$G11</f>
        <v>9.9074793251663351E-5</v>
      </c>
      <c r="T4" s="905">
        <f ca="1">($D30*100+OFFSET(History!$I$45,$B$52,0)*Config!$H11+OFFSET(History!$I$44,$B$52,0)*Config!$H11^2+OFFSET(History!$I$43,$B$52,0)*Config!$H11^3+1)^Config!$G11-(OFFSET(History!$I$45,$B$52,0)+OFFSET(History!$I$44,$B$52,0)*Config!$H11+OFFSET(History!$I$43,$B$52,0)*Config!$H11^2+OFFSET(History!$I$42,$B$52,0)*Config!$H11^3+1)^Config!$G11</f>
        <v>9.9074793251663351E-5</v>
      </c>
      <c r="U4" s="2"/>
      <c r="V4" s="641">
        <f>'12'!$U$19</f>
        <v>0</v>
      </c>
      <c r="W4" s="642">
        <f>'12'!$W$19</f>
        <v>0</v>
      </c>
      <c r="X4" s="643">
        <f>'12'!$Y$19</f>
        <v>0</v>
      </c>
      <c r="Y4" s="1114"/>
      <c r="AH4" s="1086"/>
      <c r="AI4" s="1087"/>
      <c r="AJ4" s="9"/>
      <c r="AK4" s="36">
        <f t="shared" ca="1" si="1"/>
        <v>221919.99999999997</v>
      </c>
      <c r="AL4" s="36">
        <f t="shared" ca="1" si="1"/>
        <v>233050</v>
      </c>
      <c r="AM4" s="37">
        <f t="shared" ca="1" si="1"/>
        <v>198900.00000000006</v>
      </c>
      <c r="AN4" s="9"/>
      <c r="AO4" s="65">
        <f t="shared" ca="1" si="2"/>
        <v>5.4019708700941818E-2</v>
      </c>
      <c r="AP4" s="65">
        <f t="shared" ca="1" si="2"/>
        <v>5.9594480109219569E-2</v>
      </c>
      <c r="AQ4" s="66">
        <f t="shared" ca="1" si="2"/>
        <v>6.6100366566021848E-2</v>
      </c>
    </row>
    <row r="5" spans="1:43" ht="12.9" customHeight="1" thickBot="1" x14ac:dyDescent="0.3">
      <c r="A5" s="888" t="str">
        <f>Lang!$A$13</f>
        <v>Rejected</v>
      </c>
      <c r="B5" s="386">
        <f ca="1">IF($D$1=2,'72'!U8+'72'!U9,(B2+B3+B4)*AVERAGEIF(OFFSET(History!J2:J6,$B52,),"&gt;0"))</f>
        <v>48.841029359605912</v>
      </c>
      <c r="C5" s="386">
        <f ca="1">IF($D$1=2,'72'!W8+'72'!W9,(C2+C3+C4)*AVERAGEIF(OFFSET(History!K2:K6,$B52,),"&gt;0"))</f>
        <v>38.267496858202747</v>
      </c>
      <c r="D5" s="387">
        <f ca="1">IF($D$1=2,'72'!Y8+'72'!Y9,(D2+D3+D4)*AVERAGEIF(OFFSET(History!L2:L6,$B52,),"&gt;0"))</f>
        <v>23.079491954022988</v>
      </c>
      <c r="E5" s="18"/>
      <c r="F5" s="1133" t="str">
        <f>Lang!$A$14</f>
        <v>5 days</v>
      </c>
      <c r="G5" s="1134"/>
      <c r="H5" s="399">
        <f>H7*H11*420</f>
        <v>4200</v>
      </c>
      <c r="I5" s="456">
        <v>1</v>
      </c>
      <c r="J5" s="108">
        <f ca="1">SUM(J2:J4)/SUM(J12:J14)</f>
        <v>0.10666666666666667</v>
      </c>
      <c r="K5" s="108">
        <f ca="1">SUM(K2:K4)/SUM(K12:K14)</f>
        <v>2.2617124394184167E-2</v>
      </c>
      <c r="L5" s="108">
        <f ca="1">SUM(L2:L4)/SUM(L12:L14)</f>
        <v>1.4513788098693759E-2</v>
      </c>
      <c r="Q5" s="3"/>
      <c r="R5" s="3"/>
      <c r="S5" s="3"/>
      <c r="U5" s="2"/>
      <c r="V5" s="2"/>
      <c r="W5" s="8"/>
      <c r="AH5" s="1082" t="str">
        <f>Lang!$A$15</f>
        <v>Costs per products</v>
      </c>
      <c r="AI5" s="1083"/>
      <c r="AJ5" s="136">
        <f ca="1">SUM(AJ9:AM12)</f>
        <v>616200.53898207308</v>
      </c>
      <c r="AK5" s="26"/>
      <c r="AL5" s="26"/>
      <c r="AM5" s="27"/>
      <c r="AN5" s="136">
        <f ca="1">SUM(AN9:AQ12)</f>
        <v>1122729.1792162142</v>
      </c>
      <c r="AO5" s="26"/>
      <c r="AP5" s="26"/>
      <c r="AQ5" s="27"/>
    </row>
    <row r="6" spans="1:43" ht="12.9" customHeight="1" x14ac:dyDescent="0.25">
      <c r="A6" s="888" t="str">
        <f>Lang!$A$16</f>
        <v>Guarantee</v>
      </c>
      <c r="B6" s="393">
        <f ca="1">IF($D$1=2,'72'!U36,AVERAGE(OFFSET(History!N2:N6,$B52,)))</f>
        <v>32.200000000000003</v>
      </c>
      <c r="C6" s="393">
        <f ca="1">IF($D$1=2,'72'!W36,AVERAGE(OFFSET(History!O2:O6,$B52,)))</f>
        <v>11.2</v>
      </c>
      <c r="D6" s="394">
        <f ca="1">IF($D$1=2,'72'!Y36,AVERAGE(OFFSET(History!P2:P6,$B52,)))</f>
        <v>6.6</v>
      </c>
      <c r="F6" s="1124" t="str">
        <f>Lang!$A$17</f>
        <v>Hours breakdown</v>
      </c>
      <c r="G6" s="1125"/>
      <c r="H6" s="454">
        <f ca="1">IF(D1=2,'72'!G24,AVERAGE(OFFSET(History!E2:E6,$B52,)))</f>
        <v>44.6</v>
      </c>
      <c r="I6" s="456">
        <f>(H7*H11*4)*360/4/H5</f>
        <v>0.8571428571428571</v>
      </c>
      <c r="J6" s="1131" t="str">
        <f>Lang!$A$18</f>
        <v>Backlog of orders</v>
      </c>
      <c r="K6" s="1139"/>
      <c r="L6" s="1140"/>
      <c r="N6" s="1116" t="str">
        <f>Lang!$A$18</f>
        <v>Backlog of orders</v>
      </c>
      <c r="O6" s="1117"/>
      <c r="P6" s="1118"/>
      <c r="Q6" s="113"/>
      <c r="R6" s="1100" t="str">
        <f>Lang!$A$19</f>
        <v>A&amp;D - support</v>
      </c>
      <c r="S6" s="1101"/>
      <c r="T6" s="1102"/>
      <c r="U6" s="2"/>
      <c r="V6" s="1131" t="str">
        <f>IF(X6=4,"Taxes","")</f>
        <v/>
      </c>
      <c r="W6" s="1132"/>
      <c r="X6" s="634">
        <f>IF(X1=4,1,X1+1)</f>
        <v>3</v>
      </c>
      <c r="Y6" s="1114">
        <f>SUM(V7:X9)</f>
        <v>1175</v>
      </c>
      <c r="AH6" s="1084"/>
      <c r="AI6" s="1085"/>
      <c r="AJ6" s="5"/>
      <c r="AK6" s="6"/>
      <c r="AL6" s="6"/>
      <c r="AM6" s="7"/>
      <c r="AN6" s="5"/>
      <c r="AO6" s="6">
        <f t="shared" ref="AO6:AQ8" ca="1" si="3">AO10+$AN$9/SUM($AO$10:$AQ$12)*AO10+$AN10/SUM($AO10:$AQ10)*AO10</f>
        <v>205368.81337692711</v>
      </c>
      <c r="AP6" s="6">
        <f t="shared" ca="1" si="3"/>
        <v>232496.45794438233</v>
      </c>
      <c r="AQ6" s="7">
        <f t="shared" ca="1" si="3"/>
        <v>222763.6229111033</v>
      </c>
    </row>
    <row r="7" spans="1:43" ht="12.9" customHeight="1" x14ac:dyDescent="0.25">
      <c r="A7" s="888" t="str">
        <f>Lang!$A$20</f>
        <v>Components</v>
      </c>
      <c r="B7" s="393">
        <f>'62'!U45</f>
        <v>500</v>
      </c>
      <c r="C7" s="393">
        <f>'62'!W45</f>
        <v>500</v>
      </c>
      <c r="D7" s="394">
        <f>'62'!Y45</f>
        <v>0</v>
      </c>
      <c r="E7" s="473">
        <f ca="1">C13-(C13*0.25+(H7+H8)*25+(H20+H21)*10+FLOOR(IF(H31&gt;0,H31/1000*5,0),1)+(FLOOR(B7*0.25/6,1)+FLOOR(C7*0.5/6,1)+FLOOR(D7/6,1)))</f>
        <v>115.5</v>
      </c>
      <c r="F7" s="1124" t="str">
        <f>Lang!$A$21</f>
        <v>Machines</v>
      </c>
      <c r="G7" s="1125"/>
      <c r="H7" s="454">
        <f>'62'!G21-H9</f>
        <v>5</v>
      </c>
      <c r="J7" s="397">
        <f>'62'!U27</f>
        <v>0</v>
      </c>
      <c r="K7" s="398">
        <f>'62'!W27</f>
        <v>30</v>
      </c>
      <c r="L7" s="399">
        <f>'62'!Y27</f>
        <v>40</v>
      </c>
      <c r="N7" s="900">
        <f>IF('62'!U22&lt;'62'!U17,('62'!U17-'62'!U22)/'62'!U17*Config!$H$27,0)</f>
        <v>0</v>
      </c>
      <c r="O7" s="901">
        <f>IF('62'!W22&lt;'62'!W17,('62'!W17-'62'!W22)/'62'!W17*Config!$H$27,0)</f>
        <v>-1.9450368190149673E-2</v>
      </c>
      <c r="P7" s="902">
        <f>IF('62'!Y22&lt;'62'!Y17,('62'!Y17-'62'!Y22)/'62'!Y17*Config!$H$27,0)</f>
        <v>-6.293852817208305E-2</v>
      </c>
      <c r="Q7" s="113"/>
      <c r="R7" s="900"/>
      <c r="S7" s="901"/>
      <c r="T7" s="902"/>
      <c r="U7" s="2"/>
      <c r="V7" s="638">
        <f>'22'!$U$17</f>
        <v>592</v>
      </c>
      <c r="W7" s="639">
        <f>'22'!$W$17</f>
        <v>363</v>
      </c>
      <c r="X7" s="640">
        <f>'22'!$Y$17</f>
        <v>220</v>
      </c>
      <c r="Y7" s="1114"/>
      <c r="AH7" s="1084"/>
      <c r="AI7" s="1085"/>
      <c r="AJ7" s="5"/>
      <c r="AK7" s="6"/>
      <c r="AL7" s="6"/>
      <c r="AM7" s="7"/>
      <c r="AN7" s="5"/>
      <c r="AO7" s="6">
        <f t="shared" ca="1" si="3"/>
        <v>14650.986923346793</v>
      </c>
      <c r="AP7" s="6">
        <f t="shared" ca="1" si="3"/>
        <v>34528.088644617725</v>
      </c>
      <c r="AQ7" s="7">
        <f t="shared" ca="1" si="3"/>
        <v>30527.55296072354</v>
      </c>
    </row>
    <row r="8" spans="1:43" ht="12.9" customHeight="1" thickBot="1" x14ac:dyDescent="0.3">
      <c r="A8" s="888" t="str">
        <f>Lang!$A$22</f>
        <v>Subcontracting</v>
      </c>
      <c r="B8" s="428">
        <v>800</v>
      </c>
      <c r="C8" s="428">
        <v>800</v>
      </c>
      <c r="D8" s="429">
        <v>0</v>
      </c>
      <c r="F8" s="1124" t="str">
        <f>Lang!$A$295</f>
        <v>Machines to buy</v>
      </c>
      <c r="G8" s="1125"/>
      <c r="H8" s="458">
        <v>0</v>
      </c>
      <c r="I8" s="650"/>
      <c r="J8" s="397">
        <f>'62'!U28</f>
        <v>0</v>
      </c>
      <c r="K8" s="398">
        <f>'62'!W28</f>
        <v>0</v>
      </c>
      <c r="L8" s="399">
        <f>'62'!Y28</f>
        <v>0</v>
      </c>
      <c r="N8" s="900">
        <f>IF('62'!U23&lt;'62'!U18,('62'!U18-'62'!U23)/'62'!U18*Config!$H$27,0)</f>
        <v>0</v>
      </c>
      <c r="O8" s="901">
        <f>IF('62'!W23&lt;'62'!W18,('62'!W18-'62'!W23)/'62'!W18*Config!$H$27,0)</f>
        <v>0</v>
      </c>
      <c r="P8" s="902">
        <f>IF('62'!Y23&lt;'62'!Y18,('62'!Y18-'62'!Y23)/'62'!Y18*Config!$H$27,0)</f>
        <v>0</v>
      </c>
      <c r="Q8" s="113"/>
      <c r="R8" s="900"/>
      <c r="S8" s="901"/>
      <c r="T8" s="902"/>
      <c r="U8" s="2"/>
      <c r="V8" s="638">
        <f>'22'!$U$18</f>
        <v>0</v>
      </c>
      <c r="W8" s="639">
        <f>'22'!$W$18</f>
        <v>0</v>
      </c>
      <c r="X8" s="640">
        <f>'22'!$Y$18</f>
        <v>0</v>
      </c>
      <c r="Y8" s="1114"/>
      <c r="AH8" s="1086"/>
      <c r="AI8" s="1087"/>
      <c r="AJ8" s="9"/>
      <c r="AK8" s="10"/>
      <c r="AL8" s="10"/>
      <c r="AM8" s="11"/>
      <c r="AN8" s="9"/>
      <c r="AO8" s="10">
        <f t="shared" ca="1" si="3"/>
        <v>122399.93567740991</v>
      </c>
      <c r="AP8" s="10">
        <f t="shared" ca="1" si="3"/>
        <v>131781.98652225544</v>
      </c>
      <c r="AQ8" s="11">
        <f t="shared" ca="1" si="3"/>
        <v>128211.73425544803</v>
      </c>
    </row>
    <row r="9" spans="1:43" ht="12.9" customHeight="1" thickBot="1" x14ac:dyDescent="0.3">
      <c r="A9" s="888" t="str">
        <f>Lang!$A$23</f>
        <v>Components next quarter</v>
      </c>
      <c r="B9" s="393">
        <f ca="1">IF(SUM(B2:B5)&lt;B7,B7-SUM(B2:B5)+B8,B8)</f>
        <v>800</v>
      </c>
      <c r="C9" s="393">
        <f ca="1">IF(SUM(C2:C5)&lt;C7,C7-SUM(C2:C5)+C8,C8)</f>
        <v>800</v>
      </c>
      <c r="D9" s="394">
        <f ca="1">IF(SUM(D2:D5)&lt;D7,D7-SUM(D2:D5)+D8,D8)</f>
        <v>0</v>
      </c>
      <c r="E9" s="473">
        <f ca="1">C13-(C13*0.25+(H7+H8)*25+(H20+H21)*10+FLOOR(IF(H31&gt;0,H31/1000*5,0),1)+(FLOOR(B9*0.25/6,1)+FLOOR(C9*0.5/6,1)+FLOOR(D9/6,1)))</f>
        <v>77.5</v>
      </c>
      <c r="F9" s="1124" t="str">
        <f>Lang!$A$24</f>
        <v>Machines to sell</v>
      </c>
      <c r="G9" s="1125"/>
      <c r="H9" s="480">
        <v>0</v>
      </c>
      <c r="I9" s="380"/>
      <c r="J9" s="400">
        <f>'62'!U29</f>
        <v>0</v>
      </c>
      <c r="K9" s="401">
        <f>'62'!W29</f>
        <v>0</v>
      </c>
      <c r="L9" s="402">
        <f>'62'!Y29</f>
        <v>0</v>
      </c>
      <c r="N9" s="903">
        <f>IF('62'!U24&lt;'62'!U19,('62'!U19-'62'!U24)/'62'!U19*Config!$H$27,0)</f>
        <v>-0.15139450889203332</v>
      </c>
      <c r="O9" s="904">
        <f>IF('62'!W24&lt;'62'!W19,('62'!W19-'62'!W24)/'62'!W19*Config!$H$27,0)</f>
        <v>-0.17928333420155837</v>
      </c>
      <c r="P9" s="905">
        <f>IF('62'!Y24&lt;'62'!Y19,('62'!Y19-'62'!Y24)/'62'!Y19*Config!$H$27,0)</f>
        <v>-0.13917480337596896</v>
      </c>
      <c r="Q9" s="113"/>
      <c r="R9" s="903">
        <f ca="1">($C30+OFFSET(History!$H$45,$B$52,0)*Config!$H2+OFFSET(History!$H$44,$B$52,0)*Config!$H2^2+OFFSET(History!$H$43,$B$52,0)*Config!$H2^3)^Config!$G2-(OFFSET(History!$H$45,$B$52,0)+OFFSET(History!$H$44,$B$52,0)*Config!$H2+OFFSET(History!$H$43,$B$52,0)*Config!$H2^2+OFFSET(History!$H$42,$B$52,0)*Config!$H2^3)^Config!$G2</f>
        <v>5.0850963016879414E-2</v>
      </c>
      <c r="S9" s="904">
        <f ca="1">($C30+OFFSET(History!$H$45,$B$52,0)*Config!$H2+OFFSET(History!$H$44,$B$52,0)*Config!$H2^2+OFFSET(History!$H$43,$B$52,0)*Config!$H2^3)^Config!$G2-(OFFSET(History!$H$45,$B$52,0)+OFFSET(History!$H$44,$B$52,0)*Config!$H2+OFFSET(History!$H$43,$B$52,0)*Config!$H2^2+OFFSET(History!$H$42,$B$52,0)*Config!$H2^3)^Config!$G2</f>
        <v>5.0850963016879414E-2</v>
      </c>
      <c r="T9" s="905">
        <f ca="1">($C30+OFFSET(History!$H$45,$B$52,0)*Config!$H2+OFFSET(History!$H$44,$B$52,0)*Config!$H2^2+OFFSET(History!$H$43,$B$52,0)*Config!$H2^3)^Config!$G2-(OFFSET(History!$H$45,$B$52,0)+OFFSET(History!$H$44,$B$52,0)*Config!$H2+OFFSET(History!$H$43,$B$52,0)*Config!$H2^2+OFFSET(History!$H$42,$B$52,0)*Config!$H2^3)^Config!$G2</f>
        <v>5.0850963016879414E-2</v>
      </c>
      <c r="U9" s="2"/>
      <c r="V9" s="641">
        <f>'22'!$U$19</f>
        <v>0</v>
      </c>
      <c r="W9" s="642">
        <f>'22'!$W$19</f>
        <v>0</v>
      </c>
      <c r="X9" s="643">
        <f>'22'!$Y$19</f>
        <v>0</v>
      </c>
      <c r="Y9" s="1114"/>
      <c r="AH9" s="1082" t="str">
        <f>Lang!$A$25</f>
        <v>Costs per items</v>
      </c>
      <c r="AI9" s="1083"/>
      <c r="AJ9" s="5">
        <f ca="1">AJ13+AJ17+AJ21+AJ25+AJ29+AJ33+AJ37+AJ41+AJ45+AJ49+AJ53+AJ57+AJ61+AJ65+AJ69+AJ73+AJ77+AJ81+AJ85+AJ89+AJ93+AJ97+AJ101</f>
        <v>340438.53898207302</v>
      </c>
      <c r="AK9" s="6">
        <f ca="1">AK13+AK17+AK21+AK25+AK29+AK33+AK37+AK41+AK45+AK49+AK53+AK57+AK61+AK65+AK69+AK73+AK77+AK81+AK85+AK89+AK93+AK97+AK101</f>
        <v>41932</v>
      </c>
      <c r="AL9" s="6">
        <f ca="1">AL13+AL17+AL21+AL25+AL29+AL33+AL37+AL41+AL45+AL49+AL53+AL57+AL61+AL65+AL69+AL73+AL77+AL81+AL85+AL89+AL93+AL97+AL101</f>
        <v>21680</v>
      </c>
      <c r="AM9" s="7">
        <f ca="1">AM13+AM17+AM21+AM25+AM29+AM33+AM37+AM41+AM45+AM49+AM53+AM57+AM61+AM65+AM69+AM73+AM77+AM81+AM85+AM89+AM93+AM97+AM101</f>
        <v>19650</v>
      </c>
      <c r="AN9" s="5">
        <f t="shared" ref="AJ9:AQ12" si="4">AN13+AN17+AN21+AN25+AN29+AN33+AN37+AN41+AN45+AN49+AN53+AN57+AN61+AN65+AN69+AN73+AN77+AN81+AN85+AN89+AN93+AN97+AN101</f>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128.31</v>
      </c>
      <c r="C10" s="398">
        <f ca="1">IF(H39&gt;0,INT(2*G33*H39/1000)+75,0)+(IF(H39&gt;0,INT(2*G33*1.5*H39/1000)+75,0)-IF(H39&gt;0,INT(2*G33*H39/1000)+75,0))*C22</f>
        <v>211.62</v>
      </c>
      <c r="D10" s="399">
        <f ca="1">IF(H39&gt;0,INT(3*G33*H39/1000)+120,0)+(IF(H39&gt;0,INT(3*G33*1.5*H39/1000)+120,0)-IF(H39&gt;0,INT(3*G33*H39/1000)+120,0))*D22</f>
        <v>342.75</v>
      </c>
      <c r="F10" s="1124" t="str">
        <f>Lang!$A$27</f>
        <v>Efficiency, %</v>
      </c>
      <c r="G10" s="1125"/>
      <c r="H10" s="922">
        <f>IF(D1=2,IF('72'!G$27=0,(I10*'62'!G19+1*'62'!G20)/'62'!G21,'72'!G$27/100),I10)</f>
        <v>0.90890000000000004</v>
      </c>
      <c r="I10" s="923">
        <f>(INDEX(Config!$AH$2:$ED$52,101-ROUND('62'!G27,0),ROUND(IF(I11&gt;100,100,I11),0)+1)/100)</f>
        <v>0.90890000000000004</v>
      </c>
      <c r="J10" s="8"/>
      <c r="K10" s="8"/>
      <c r="L10" s="8"/>
      <c r="Q10" s="3"/>
      <c r="R10" s="3"/>
      <c r="S10" s="3"/>
      <c r="U10" s="2"/>
      <c r="V10" s="2"/>
      <c r="W10" s="8"/>
      <c r="AH10" s="1084"/>
      <c r="AI10" s="1085"/>
      <c r="AJ10" s="5">
        <f t="shared" si="4"/>
        <v>57500</v>
      </c>
      <c r="AK10" s="6">
        <f t="shared" si="4"/>
        <v>6000</v>
      </c>
      <c r="AL10" s="6">
        <f t="shared" si="4"/>
        <v>5000</v>
      </c>
      <c r="AM10" s="7">
        <f t="shared" si="4"/>
        <v>5000</v>
      </c>
      <c r="AN10" s="5">
        <f t="shared" ca="1" si="4"/>
        <v>23400</v>
      </c>
      <c r="AO10" s="6">
        <f t="shared" ref="AO10:AQ12" ca="1" si="5">AO14+AO18+AO22+AO26+AO30+AO34+AO38+AO42+AO46+AO50+AO54+AO58+AO62+AO66+AO70+AO74+AO78+AO82+AO86+AO90+AO94+AO98+AO102</f>
        <v>198094.48693590189</v>
      </c>
      <c r="AP10" s="6">
        <f t="shared" ca="1" si="5"/>
        <v>224261.24879232157</v>
      </c>
      <c r="AQ10" s="7">
        <f t="shared" ca="1" si="5"/>
        <v>214873.15850418928</v>
      </c>
    </row>
    <row r="11" spans="1:43" ht="12.9" customHeight="1" x14ac:dyDescent="0.25">
      <c r="A11" s="13" t="str">
        <f>Lang!$A$28</f>
        <v>Price production</v>
      </c>
      <c r="B11" s="398">
        <f ca="1">((SUM(AO82:AO84)+SUM(AO90:AO92)+SUM(AO94:AO96))+($AJ53+$AJ93+$AJ97)/$AN5*SUM(AO6:AO8))/SUM(B2:B5)</f>
        <v>133.35023843169998</v>
      </c>
      <c r="C11" s="398">
        <f ca="1">((SUM(AP82:AP84)+SUM(AP90:AP92)+SUM(AP94:AP96))+($AJ53+$AJ93+$AJ97)/$AN5*SUM(AP6:AP8))/SUM(C2:C5)</f>
        <v>218.22715877928766</v>
      </c>
      <c r="D11" s="399">
        <f ca="1">((SUM(AQ82:AQ84)+SUM(AQ90:AQ92)+SUM(AQ94:AQ96))+($AJ53+$AJ93+$AJ97)/$AN5*SUM(AQ6:AQ8))/SUM(D2:D5)</f>
        <v>356.07452428749917</v>
      </c>
      <c r="E11" s="685"/>
      <c r="F11" s="1124" t="str">
        <f>Lang!$A$29</f>
        <v>Shift level</v>
      </c>
      <c r="G11" s="1125"/>
      <c r="H11" s="458">
        <v>2</v>
      </c>
      <c r="I11" s="481">
        <f>IF('62'!G$23=0,0,'61'!P20/'61'!W20/('62'!G$25/'62'!G$23*IF('61'!W20=1,1.37,1.27)))</f>
        <v>8.5810702233649359</v>
      </c>
      <c r="J11" s="1078" t="str">
        <f>Lang!$A$30</f>
        <v>Orders next quarter</v>
      </c>
      <c r="K11" s="1079"/>
      <c r="L11" s="1088"/>
      <c r="N11" s="1128" t="str">
        <f>Lang!$A$31</f>
        <v>Seasonality</v>
      </c>
      <c r="O11" s="1129"/>
      <c r="P11" s="1130"/>
      <c r="Q11" s="113"/>
      <c r="R11" s="1100" t="str">
        <f>Lang!$A$32</f>
        <v>A&amp;D - recruit</v>
      </c>
      <c r="S11" s="1101"/>
      <c r="T11" s="1102"/>
      <c r="U11" s="2"/>
      <c r="V11" s="1131" t="str">
        <f>IF(X11=4,"Taxes","")</f>
        <v>Taxes</v>
      </c>
      <c r="W11" s="1132"/>
      <c r="X11" s="634">
        <f>IF(X6=4,1,X6+1)</f>
        <v>4</v>
      </c>
      <c r="Y11" s="1114">
        <f>SUM(V12:X14)</f>
        <v>2576</v>
      </c>
      <c r="AH11" s="1084"/>
      <c r="AI11" s="1085"/>
      <c r="AJ11" s="5">
        <f t="shared" si="4"/>
        <v>33000</v>
      </c>
      <c r="AK11" s="6">
        <f t="shared" si="4"/>
        <v>6000</v>
      </c>
      <c r="AL11" s="6">
        <f t="shared" si="4"/>
        <v>6000</v>
      </c>
      <c r="AM11" s="7">
        <f t="shared" si="4"/>
        <v>6000</v>
      </c>
      <c r="AN11" s="5">
        <f t="shared" ca="1" si="4"/>
        <v>9300</v>
      </c>
      <c r="AO11" s="6">
        <f t="shared" ca="1" si="5"/>
        <v>12941.540909856403</v>
      </c>
      <c r="AP11" s="6">
        <f t="shared" ca="1" si="5"/>
        <v>30499.424651141067</v>
      </c>
      <c r="AQ11" s="7">
        <f t="shared" ca="1" si="5"/>
        <v>26965.662967690587</v>
      </c>
    </row>
    <row r="12" spans="1:43" ht="12.9" customHeight="1" thickBot="1" x14ac:dyDescent="0.3">
      <c r="A12" s="885" t="str">
        <f>Lang!$A$33</f>
        <v>CO2</v>
      </c>
      <c r="B12" s="886" t="str">
        <f>Lang!$A$34</f>
        <v>Available space</v>
      </c>
      <c r="C12" s="886" t="str">
        <f>Lang!$A$35</f>
        <v>Factory</v>
      </c>
      <c r="D12" s="493" t="str">
        <f>Lang!$A$36</f>
        <v>Space</v>
      </c>
      <c r="F12" s="1135" t="str">
        <f>Lang!$A$37</f>
        <v>Maintenance hours</v>
      </c>
      <c r="G12" s="1136"/>
      <c r="H12" s="396">
        <v>25</v>
      </c>
      <c r="I12" s="481">
        <f ca="1">H12/H11/(H2/H3*IF(H11=1,1.37,1.27))</f>
        <v>11.981418147174049</v>
      </c>
      <c r="J12" s="385">
        <f ca="1">'62'!U17*(1+N2+IF($T$46=1,R47,0))</f>
        <v>1178</v>
      </c>
      <c r="K12" s="386">
        <f ca="1">'62'!W17*(1+O2+IF($T$46=1,S47,0))</f>
        <v>717</v>
      </c>
      <c r="L12" s="387">
        <f ca="1">'62'!Y17*(1+P2+IF($T$46=1,T47,0))</f>
        <v>392</v>
      </c>
      <c r="N12" s="900">
        <f ca="1">IF(ISNUMBER(OFFSET(Config!G30,($B$52-1)*3,)),OFFSET(Config!G30,($B$52-1)*3,),IF(OFFSET(V7,($B$52-1)*5,)&gt;0,OFFSET(V7,($B$52-1)*5,)/OFFSET(V2,($B$52-1)*5,)-1,0))</f>
        <v>5.974980327995541E-2</v>
      </c>
      <c r="O12" s="901">
        <f ca="1">IF(ISNUMBER(OFFSET(Config!H30,($B$52-1)*3,)),OFFSET(Config!H30,($B$52-1)*3,),IF(OFFSET(W7,($B$52-1)*5,)&gt;0,OFFSET(W7,($B$52-1)*5,)/OFFSET(W2,($B$52-1)*5,)-1,0))</f>
        <v>5.974980327995541E-2</v>
      </c>
      <c r="P12" s="902">
        <f ca="1">IF(ISNUMBER(OFFSET(Config!I30,($B$52-1)*3,)),OFFSET(Config!I30,($B$52-1)*3,),IF(OFFSET(X7,($B$52-1)*5,)&gt;0,OFFSET(X7,($B$52-1)*5,)/OFFSET(X2,($B$52-1)*5,)-1,0))</f>
        <v>5.974980327995541E-2</v>
      </c>
      <c r="Q12" s="113"/>
      <c r="R12" s="900">
        <f ca="1">($E28+OFFSET(History!$A$45,$B$52,0)*Config!$H5+OFFSET(History!$A$44,$B$52,0)*Config!$H5^2+OFFSET(History!$A$43,$B$52,0)*Config!$H5^3)^Config!$G5-(OFFSET(History!$A$45,$B$52,0)+OFFSET(History!$A$44,$B$52,0)*Config!$H5+OFFSET(History!$A$43,$B$52,0)*Config!$H5^2+OFFSET(History!$A$42,$B$52,0)*Config!$H5^3)^Config!$G5</f>
        <v>0.14602810621735096</v>
      </c>
      <c r="S12" s="901">
        <f ca="1">($E28+OFFSET(History!$A$45,$B$52,0)*Config!$H5+OFFSET(History!$A$44,$B$52,0)*Config!$H5^2+OFFSET(History!$A$43,$B$52,0)*Config!$H5^3)^Config!$G5-(OFFSET(History!$A$45,$B$52,0)+OFFSET(History!$A$44,$B$52,0)*Config!$H5+OFFSET(History!$A$43,$B$52,0)*Config!$H5^2+OFFSET(History!$A$42,$B$52,0)*Config!$H5^3)^Config!$G5</f>
        <v>0.14602810621735096</v>
      </c>
      <c r="T12" s="902">
        <f ca="1">($E28+OFFSET(History!$A$45,$B$52,0)*Config!$H5+OFFSET(History!$A$44,$B$52,0)*Config!$H5^2+OFFSET(History!$A$43,$B$52,0)*Config!$H5^3)^Config!$G5-(OFFSET(History!$A$45,$B$52,0)+OFFSET(History!$A$44,$B$52,0)*Config!$H5+OFFSET(History!$A$43,$B$52,0)*Config!$H5^2+OFFSET(History!$A$42,$B$52,0)*Config!$H5^3)^Config!$G5</f>
        <v>0.14602810621735096</v>
      </c>
      <c r="U12" s="2"/>
      <c r="V12" s="638">
        <f>'32'!$U$17</f>
        <v>1367</v>
      </c>
      <c r="W12" s="639">
        <f>'32'!$W$17</f>
        <v>772</v>
      </c>
      <c r="X12" s="640">
        <f>'32'!$Y$17</f>
        <v>437</v>
      </c>
      <c r="Y12" s="1114"/>
      <c r="AH12" s="1086"/>
      <c r="AI12" s="1087"/>
      <c r="AJ12" s="9">
        <f t="shared" si="4"/>
        <v>50000</v>
      </c>
      <c r="AK12" s="10">
        <f t="shared" si="4"/>
        <v>6000</v>
      </c>
      <c r="AL12" s="10">
        <f t="shared" si="4"/>
        <v>6000</v>
      </c>
      <c r="AM12" s="11">
        <f t="shared" si="4"/>
        <v>6000</v>
      </c>
      <c r="AN12" s="9">
        <f t="shared" ca="1" si="4"/>
        <v>3250</v>
      </c>
      <c r="AO12" s="10">
        <f t="shared" ca="1" si="5"/>
        <v>121359.64700044993</v>
      </c>
      <c r="AP12" s="10">
        <f t="shared" ca="1" si="5"/>
        <v>130661.95890420419</v>
      </c>
      <c r="AQ12" s="11">
        <f t="shared" ca="1" si="5"/>
        <v>127122.05055045927</v>
      </c>
    </row>
    <row r="13" spans="1:43" ht="12.9" customHeight="1" thickBot="1" x14ac:dyDescent="0.3">
      <c r="A13" s="525">
        <f ca="1">0.00019*50*C13+0.00052*(6*H2+H15)</f>
        <v>26.806599097529972</v>
      </c>
      <c r="B13" s="505">
        <f>'62'!G7-'62'!G8-'62'!G10-D13</f>
        <v>50</v>
      </c>
      <c r="C13" s="401">
        <f>'62'!G10+D13</f>
        <v>750</v>
      </c>
      <c r="D13" s="396">
        <v>200</v>
      </c>
      <c r="E13" s="473">
        <f ca="1">C13-(C13*0.25+(H7+H8)*25+(H20+H21+H22)*10+FLOOR(IF(H31&gt;0,H31/1000*5,0),1))</f>
        <v>86.5</v>
      </c>
      <c r="J13" s="385">
        <f ca="1">'62'!U18*(1+N3+IF($T$46=1,R48,0))</f>
        <v>113</v>
      </c>
      <c r="K13" s="386">
        <f ca="1">'62'!W18*(1+O3+IF($T$46=1,S48,0))</f>
        <v>126</v>
      </c>
      <c r="L13" s="387">
        <f ca="1">'62'!Y18*(1+P3+IF($T$46=1,T48,0))</f>
        <v>63.000000000000007</v>
      </c>
      <c r="M13" s="32"/>
      <c r="N13" s="900">
        <f ca="1">IF(ISNUMBER(OFFSET(Config!G31,($B$52-1)*3,)),OFFSET(Config!G31,($B$52-1)*3,),IF(OFFSET(V8,($B$52-1)*5,)&gt;0,OFFSET(V8,($B$52-1)*5,)/OFFSET(V3,($B$52-1)*5,)-1,0))</f>
        <v>-7.5996653612221755E-5</v>
      </c>
      <c r="O13" s="901">
        <f ca="1">IF(ISNUMBER(OFFSET(Config!H31,($B$52-1)*3,)),OFFSET(Config!H31,($B$52-1)*3,),IF(OFFSET(W8,($B$52-1)*5,)&gt;0,OFFSET(W8,($B$52-1)*5,)/OFFSET(W3,($B$52-1)*5,)-1,0))</f>
        <v>-7.5996653612221755E-5</v>
      </c>
      <c r="P13" s="902">
        <f ca="1">IF(ISNUMBER(OFFSET(Config!I31,($B$52-1)*3,)),OFFSET(Config!I31,($B$52-1)*3,),IF(OFFSET(X8,($B$52-1)*5,)&gt;0,OFFSET(X8,($B$52-1)*5,)/OFFSET(X3,($B$52-1)*5,)-1,0))</f>
        <v>-7.5996653612221755E-5</v>
      </c>
      <c r="Q13" s="113"/>
      <c r="R13" s="900">
        <f ca="1">($E29+OFFSET(History!$D$45,$B$52,0)*Config!$H6+OFFSET(History!$D$44,$B$52,0)*Config!$H6^2+OFFSET(History!$D$43,$B$52,0)*Config!$H6^3)^Config!$G6-(OFFSET(History!$D$45,$B$52,0)+OFFSET(History!$D$44,$B$52,0)*Config!$H6+OFFSET(History!$D$43,$B$52,0)*Config!$H6^2+OFFSET(History!$D$42,$B$52,0)*Config!$H6^3)^Config!$G6</f>
        <v>0.12059943715883725</v>
      </c>
      <c r="S13" s="901">
        <f ca="1">($E29+OFFSET(History!$D$45,$B$52,0)*Config!$H6+OFFSET(History!$D$44,$B$52,0)*Config!$H6^2+OFFSET(History!$D$43,$B$52,0)*Config!$H6^3)^Config!$G6-(OFFSET(History!$D$45,$B$52,0)+OFFSET(History!$D$44,$B$52,0)*Config!$H6+OFFSET(History!$D$43,$B$52,0)*Config!$H6^2+OFFSET(History!$D$42,$B$52,0)*Config!$H6^3)^Config!$G6</f>
        <v>0.12059943715883725</v>
      </c>
      <c r="T13" s="902">
        <f ca="1">($E29+OFFSET(History!$D$45,$B$52,0)*Config!$H6+OFFSET(History!$D$44,$B$52,0)*Config!$H6^2+OFFSET(History!$D$43,$B$52,0)*Config!$H6^3)^Config!$G6-(OFFSET(History!$D$45,$B$52,0)+OFFSET(History!$D$44,$B$52,0)*Config!$H6+OFFSET(History!$D$43,$B$52,0)*Config!$H6^2+OFFSET(History!$D$42,$B$52,0)*Config!$H6^3)^Config!$G6</f>
        <v>0.12059943715883725</v>
      </c>
      <c r="U13" s="2"/>
      <c r="V13" s="638">
        <f>'32'!$U$18</f>
        <v>0</v>
      </c>
      <c r="W13" s="639">
        <f>'32'!$W$18</f>
        <v>0</v>
      </c>
      <c r="X13" s="640">
        <f>'32'!$Y$18</f>
        <v>0</v>
      </c>
      <c r="Y13" s="1114"/>
      <c r="AH13" s="1082" t="str">
        <f>Lang!$A$38</f>
        <v>Advertising</v>
      </c>
      <c r="AI13" s="1083"/>
      <c r="AJ13" s="5"/>
      <c r="AK13" s="6"/>
      <c r="AL13" s="6"/>
      <c r="AM13" s="7"/>
      <c r="AN13" s="5"/>
      <c r="AO13" s="6"/>
      <c r="AP13" s="6"/>
      <c r="AQ13" s="7"/>
    </row>
    <row r="14" spans="1:43" ht="12.9" customHeight="1" thickBot="1" x14ac:dyDescent="0.3">
      <c r="F14" s="1100" t="str">
        <f>Lang!$A$39</f>
        <v>Assembly details</v>
      </c>
      <c r="G14" s="1101"/>
      <c r="H14" s="1102"/>
      <c r="J14" s="388">
        <f ca="1">'62'!U19*(1+N4+IF($T$46=1,R49,0))</f>
        <v>583.99999999999989</v>
      </c>
      <c r="K14" s="389">
        <f ca="1">'62'!W19*(1+O4+IF($T$46=1,S49,0))</f>
        <v>395</v>
      </c>
      <c r="L14" s="390">
        <f ca="1">'62'!Y19*(1+P4+IF($T$46=1,T49,0))</f>
        <v>234.00000000000006</v>
      </c>
      <c r="M14" s="128"/>
      <c r="N14" s="903">
        <f ca="1">IF(ISNUMBER(OFFSET(Config!G32,($B$52-1)*3,)),OFFSET(Config!G32,($B$52-1)*3,),IF(OFFSET(V9,($B$52-1)*5,)&gt;0,OFFSET(V9,($B$52-1)*5,)/OFFSET(V4,($B$52-1)*5,)-1,0))</f>
        <v>4.0165874715934101E-2</v>
      </c>
      <c r="O14" s="904">
        <f ca="1">IF(ISNUMBER(OFFSET(Config!H32,($B$52-1)*3,)),OFFSET(Config!H32,($B$52-1)*3,),IF(OFFSET(W9,($B$52-1)*5,)&gt;0,OFFSET(W9,($B$52-1)*5,)/OFFSET(W4,($B$52-1)*5,)-1,0))</f>
        <v>4.0165874715934101E-2</v>
      </c>
      <c r="P14" s="905">
        <f ca="1">IF(ISNUMBER(OFFSET(Config!I32,($B$52-1)*3,)),OFFSET(Config!I32,($B$52-1)*3,),IF(OFFSET(X9,($B$52-1)*5,)&gt;0,OFFSET(X9,($B$52-1)*5,)/OFFSET(X4,($B$52-1)*5,)-1,0))</f>
        <v>4.0165874715934101E-2</v>
      </c>
      <c r="Q14" s="113"/>
      <c r="R14" s="903"/>
      <c r="S14" s="904"/>
      <c r="T14" s="905"/>
      <c r="U14" s="2"/>
      <c r="V14" s="641">
        <f>'32'!$U$19</f>
        <v>0</v>
      </c>
      <c r="W14" s="642">
        <f>'32'!$W$19</f>
        <v>0</v>
      </c>
      <c r="X14" s="643">
        <f>'32'!$Y$19</f>
        <v>0</v>
      </c>
      <c r="Y14" s="1114"/>
      <c r="AH14" s="1084"/>
      <c r="AI14" s="1085"/>
      <c r="AJ14" s="5">
        <f t="shared" ref="AJ14:AM16" si="6">A38*1000</f>
        <v>20000</v>
      </c>
      <c r="AK14" s="6">
        <f t="shared" si="6"/>
        <v>6000</v>
      </c>
      <c r="AL14" s="6">
        <f t="shared" si="6"/>
        <v>5000</v>
      </c>
      <c r="AM14" s="7">
        <f t="shared" si="6"/>
        <v>5000</v>
      </c>
      <c r="AN14" s="5"/>
      <c r="AO14" s="6"/>
      <c r="AP14" s="6"/>
      <c r="AQ14" s="7"/>
    </row>
    <row r="15" spans="1:43" ht="12.9" customHeight="1" thickBot="1" x14ac:dyDescent="0.3">
      <c r="A15" s="1100" t="str">
        <f>Lang!$A$40</f>
        <v>Quality</v>
      </c>
      <c r="B15" s="1101"/>
      <c r="C15" s="1101"/>
      <c r="D15" s="1102"/>
      <c r="F15" s="1124" t="str">
        <f>Lang!$A$41</f>
        <v>Hours for assembly</v>
      </c>
      <c r="G15" s="1125"/>
      <c r="H15" s="394">
        <f ca="1">(SUM(B2:B5)*B20+SUM(C2:C5)*C20+SUM(D2:D5)*D20)/60</f>
        <v>11528.944837383593</v>
      </c>
      <c r="I15" s="455">
        <f ca="1">(H15+I19)/H18</f>
        <v>1.432646806959591</v>
      </c>
      <c r="Q15" s="3"/>
      <c r="U15" s="2"/>
      <c r="V15" s="2"/>
      <c r="W15" s="8"/>
      <c r="AH15" s="1084"/>
      <c r="AI15" s="1085"/>
      <c r="AJ15" s="5">
        <f t="shared" si="6"/>
        <v>15000</v>
      </c>
      <c r="AK15" s="6">
        <f t="shared" si="6"/>
        <v>6000</v>
      </c>
      <c r="AL15" s="6">
        <f t="shared" si="6"/>
        <v>6000</v>
      </c>
      <c r="AM15" s="7">
        <f t="shared" si="6"/>
        <v>6000</v>
      </c>
      <c r="AN15" s="5"/>
      <c r="AO15" s="6"/>
      <c r="AP15" s="6"/>
      <c r="AQ15" s="7"/>
    </row>
    <row r="16" spans="1:43" ht="12.9" customHeight="1" thickBot="1" x14ac:dyDescent="0.3">
      <c r="A16" s="13" t="str">
        <f>Lang!$A$42</f>
        <v>Next quarter</v>
      </c>
      <c r="B16" s="494" t="str">
        <f ca="1">TRIM(OFFSET(History!AA7,$B$52-1,))</f>
        <v>Major</v>
      </c>
      <c r="C16" s="494" t="str">
        <f ca="1">TRIM(OFFSET(History!AA17,$B$52-1,))</f>
        <v>Major</v>
      </c>
      <c r="D16" s="495" t="str">
        <f ca="1">TRIM(OFFSET(History!AA27,$B$52-1,))</f>
        <v>Major</v>
      </c>
      <c r="E16" s="483"/>
      <c r="F16" s="1124" t="str">
        <f>Lang!$A$10</f>
        <v>7 days</v>
      </c>
      <c r="G16" s="1125"/>
      <c r="H16" s="454">
        <f>H20*(420+84+72)</f>
        <v>12096</v>
      </c>
      <c r="I16" s="456">
        <f>H16/H18</f>
        <v>1.3714285714285714</v>
      </c>
      <c r="J16" s="1078" t="str">
        <f>Lang!$A$43</f>
        <v>Sales next quarter</v>
      </c>
      <c r="K16" s="1079"/>
      <c r="L16" s="1088"/>
      <c r="N16" s="1128" t="str">
        <f>Lang!$A$44</f>
        <v>Assembly time</v>
      </c>
      <c r="O16" s="1129"/>
      <c r="P16" s="1130"/>
      <c r="Q16" s="113"/>
      <c r="R16" s="1128" t="str">
        <f>Lang!$A$45</f>
        <v>Premium materials</v>
      </c>
      <c r="S16" s="1129"/>
      <c r="T16" s="1130"/>
      <c r="U16" s="2"/>
      <c r="V16" s="1131" t="str">
        <f>IF(X16=4,"Taxes","")</f>
        <v/>
      </c>
      <c r="W16" s="1132"/>
      <c r="X16" s="634">
        <f>IF(X11=4,1,X11+1)</f>
        <v>1</v>
      </c>
      <c r="Y16" s="1114">
        <f>SUM(V17:X19)</f>
        <v>2543</v>
      </c>
      <c r="AH16" s="1086"/>
      <c r="AI16" s="1087"/>
      <c r="AJ16" s="9">
        <f t="shared" si="6"/>
        <v>20000</v>
      </c>
      <c r="AK16" s="10">
        <f t="shared" si="6"/>
        <v>6000</v>
      </c>
      <c r="AL16" s="10">
        <f t="shared" si="6"/>
        <v>6000</v>
      </c>
      <c r="AM16" s="11">
        <f t="shared" si="6"/>
        <v>6000</v>
      </c>
      <c r="AN16" s="9"/>
      <c r="AO16" s="10"/>
      <c r="AP16" s="10"/>
      <c r="AQ16" s="11"/>
    </row>
    <row r="17" spans="1:43" ht="12.9" customHeight="1" x14ac:dyDescent="0.25">
      <c r="A17" s="13" t="str">
        <f>Lang!$A$46</f>
        <v>Previous quarter</v>
      </c>
      <c r="B17" s="494" t="str">
        <f>TRIM('62'!U39)</f>
        <v>None</v>
      </c>
      <c r="C17" s="494" t="str">
        <f>TRIM('62'!W39)</f>
        <v>Minor</v>
      </c>
      <c r="D17" s="495" t="str">
        <f>TRIM('62'!Y39)</f>
        <v>Minor</v>
      </c>
      <c r="E17" s="457">
        <f ca="1">B18*B10*SUM(J2:J4)+C18*C10*SUM(K2:K4)+D18*D10*SUM(L2:L4)</f>
        <v>0</v>
      </c>
      <c r="F17" s="1133" t="str">
        <f>Lang!$A$12</f>
        <v>6 days</v>
      </c>
      <c r="G17" s="1134"/>
      <c r="H17" s="399">
        <f>H20*(420+84)</f>
        <v>10584</v>
      </c>
      <c r="I17" s="456">
        <f>H17/H18</f>
        <v>1.2</v>
      </c>
      <c r="J17" s="385">
        <f t="shared" ref="J17:L19" ca="1" si="7">J7+J12+IF(J37&lt;0,J37,0)</f>
        <v>1178</v>
      </c>
      <c r="K17" s="386">
        <f t="shared" ca="1" si="7"/>
        <v>747</v>
      </c>
      <c r="L17" s="387">
        <f t="shared" ca="1" si="7"/>
        <v>432</v>
      </c>
      <c r="N17" s="900">
        <f ca="1">((OFFSET(History!G$19,$B$52,0)/1-100+1)^Config!J17-(OFFSET(History!G$18,$B$52,0)/1-100+1)^Config!J17)*(100-'1'!B43)/(100-Config!M27)</f>
        <v>0</v>
      </c>
      <c r="O17" s="901">
        <f ca="1">((OFFSET(History!H$19,$B$52,0)/1.5-100+1)^Config!K17-(OFFSET(History!H$18,$B$52,0)/1.5-100+1)^Config!K17)*(100-'1'!C43)/(100-Config!N27)</f>
        <v>0</v>
      </c>
      <c r="P17" s="902">
        <f ca="1">((OFFSET(History!I$19,$B$52,0)/3-100+1)^Config!L17-(OFFSET(History!I$18,$B$52,0)/3-100+1)^Config!L17)*(100-'1'!D43)/(100-Config!O27)</f>
        <v>0</v>
      </c>
      <c r="Q17" s="113"/>
      <c r="R17" s="900">
        <f ca="1">((B$22*100)-OFFSET(History!N$19,$B$52,0))*(Config!J2+('1'!B43-Config!M27)*Config!M2)</f>
        <v>5.8880203018382218E-3</v>
      </c>
      <c r="S17" s="901">
        <f ca="1">((C$22*100)-OFFSET(History!O$19,$B$52,0))*(Config!K2+('1'!C43-Config!N27)*Config!N2)</f>
        <v>4.9327681877542129E-3</v>
      </c>
      <c r="T17" s="902">
        <f ca="1">((D$22*100)-OFFSET(History!P$19,$B$52,0))*(Config!L2+('1'!D43-Config!O27)*Config!O2)</f>
        <v>7.7736195773746514E-3</v>
      </c>
      <c r="U17" s="2"/>
      <c r="V17" s="638">
        <f>'42'!$U$17</f>
        <v>1112</v>
      </c>
      <c r="W17" s="639">
        <f>'42'!$W$17</f>
        <v>686</v>
      </c>
      <c r="X17" s="640">
        <f>'42'!$Y$17</f>
        <v>381</v>
      </c>
      <c r="Y17" s="1114"/>
      <c r="AH17" s="1082" t="str">
        <f>Lang!$A$47</f>
        <v>Internet distributor</v>
      </c>
      <c r="AI17" s="1083"/>
      <c r="AJ17" s="5"/>
      <c r="AK17" s="6"/>
      <c r="AL17" s="6"/>
      <c r="AM17" s="7"/>
      <c r="AN17" s="5"/>
      <c r="AO17" s="6"/>
      <c r="AP17" s="6"/>
      <c r="AQ17" s="7"/>
    </row>
    <row r="18" spans="1:43" ht="12.9" customHeight="1" x14ac:dyDescent="0.25">
      <c r="A18" s="1137" t="str">
        <f>Lang!$A$48</f>
        <v>R&amp;D</v>
      </c>
      <c r="B18" s="488">
        <v>0</v>
      </c>
      <c r="C18" s="488">
        <v>0</v>
      </c>
      <c r="D18" s="489">
        <v>0</v>
      </c>
      <c r="E18" s="457">
        <f>B18*(J2*J42+J3*J43+J4*J44)+C18*(K2*K42+K3*K43+K4*K44)+D18*(L2*L42+L3*L43+L4*L44)</f>
        <v>0</v>
      </c>
      <c r="F18" s="1133" t="str">
        <f>Lang!$A$14</f>
        <v>5 days</v>
      </c>
      <c r="G18" s="1134"/>
      <c r="H18" s="399">
        <f>H20*420</f>
        <v>8820</v>
      </c>
      <c r="I18" s="456">
        <v>1</v>
      </c>
      <c r="J18" s="385">
        <f t="shared" ca="1" si="7"/>
        <v>113</v>
      </c>
      <c r="K18" s="386">
        <f t="shared" ca="1" si="7"/>
        <v>126</v>
      </c>
      <c r="L18" s="387">
        <f t="shared" ca="1" si="7"/>
        <v>63.000000000000007</v>
      </c>
      <c r="N18" s="900">
        <f ca="1">((OFFSET(History!G$19,$B$52,0)/1-100+1)^Config!J18-(OFFSET(History!G$18,$B$52,0)/1-100+1)^Config!J18)*(100-'1'!B44)/(100-Config!M28)</f>
        <v>0</v>
      </c>
      <c r="O18" s="901">
        <f ca="1">((OFFSET(History!H$19,$B$52,0)/1.5-100+1)^Config!K18-(OFFSET(History!H$18,$B$52,0)/1.5-100+1)^Config!K18)*(100-'1'!C44)/(100-Config!N28)</f>
        <v>0</v>
      </c>
      <c r="P18" s="902">
        <f ca="1">((OFFSET(History!I$19,$B$52,0)/3-100+1)^Config!L18-(OFFSET(History!I$18,$B$52,0)/3-100+1)^Config!L18)*(100-'1'!D44)/(100-Config!O28)</f>
        <v>0</v>
      </c>
      <c r="Q18" s="113"/>
      <c r="R18" s="900">
        <f ca="1">((B$22*100)-OFFSET(History!N$19,$B$52,0))*(Config!J3+('1'!B44-Config!M28)*Config!M3)</f>
        <v>8.5854614994128158E-3</v>
      </c>
      <c r="S18" s="901">
        <f ca="1">((C$22*100)-OFFSET(History!O$19,$B$52,0))*(Config!K3+('1'!C44-Config!N28)*Config!N3)</f>
        <v>7.9615147113719989E-3</v>
      </c>
      <c r="T18" s="902">
        <f ca="1">((D$22*100)-OFFSET(History!P$19,$B$52,0))*(Config!L3+('1'!D44-Config!O28)*Config!O3)</f>
        <v>1.564068509476935E-2</v>
      </c>
      <c r="U18" s="2"/>
      <c r="V18" s="638">
        <f>'42'!$U$18</f>
        <v>172</v>
      </c>
      <c r="W18" s="639">
        <f>'42'!$W$18</f>
        <v>123</v>
      </c>
      <c r="X18" s="640">
        <f>'42'!$Y$18</f>
        <v>69</v>
      </c>
      <c r="Y18" s="1114"/>
      <c r="AH18" s="1084"/>
      <c r="AI18" s="1085"/>
      <c r="AJ18" s="5"/>
      <c r="AK18" s="6"/>
      <c r="AL18" s="6"/>
      <c r="AM18" s="7"/>
      <c r="AN18" s="5"/>
      <c r="AO18" s="6"/>
      <c r="AP18" s="6"/>
      <c r="AQ18" s="7"/>
    </row>
    <row r="19" spans="1:43" ht="12.9" customHeight="1" thickBot="1" x14ac:dyDescent="0.3">
      <c r="A19" s="1138"/>
      <c r="B19" s="700">
        <f ca="1">IF($D$1=2,OFFSET(History!$T$6,$B$52,0),OFFSET(Config!$B$27,$B$52,0))</f>
        <v>40</v>
      </c>
      <c r="C19" s="700">
        <f ca="1">IF($D$1=2,OFFSET(History!$T$16,$B$52,0),OFFSET(Config!$B$32,$B$52,0))</f>
        <v>20</v>
      </c>
      <c r="D19" s="477">
        <f ca="1">IF($D$1=2,OFFSET(History!$T$26,$B$52,0),OFFSET(Config!$B$37,$B$52,0))</f>
        <v>18</v>
      </c>
      <c r="E19" s="457">
        <f ca="1">E17-E18</f>
        <v>0</v>
      </c>
      <c r="F19" s="1124" t="str">
        <f>Lang!$A$49</f>
        <v>Weeks of strike</v>
      </c>
      <c r="G19" s="1125"/>
      <c r="H19" s="454">
        <f>'62'!O20</f>
        <v>1</v>
      </c>
      <c r="I19" s="457">
        <f ca="1">H19*48*H20+AVERAGE(OFFSET(History!E16:E19,$B52,))</f>
        <v>1107</v>
      </c>
      <c r="J19" s="388">
        <f t="shared" ca="1" si="7"/>
        <v>583.99999999999989</v>
      </c>
      <c r="K19" s="389">
        <f t="shared" ca="1" si="7"/>
        <v>395</v>
      </c>
      <c r="L19" s="390">
        <f t="shared" ca="1" si="7"/>
        <v>234.00000000000006</v>
      </c>
      <c r="N19" s="903">
        <f ca="1">((OFFSET(History!G$19,$B$52,0)/1-100+1)^Config!J19-(OFFSET(History!G$18,$B$52,0)/1-100+1)^Config!J19)*(100-'1'!B45)/(100-Config!M29)</f>
        <v>0</v>
      </c>
      <c r="O19" s="904">
        <f ca="1">((OFFSET(History!H$19,$B$52,0)/1.5-100+1)^Config!K19-(OFFSET(History!H$18,$B$52,0)/1.5-100+1)^Config!K19)*(100-'1'!C45)/(100-Config!N29)</f>
        <v>0</v>
      </c>
      <c r="P19" s="905">
        <f ca="1">((OFFSET(History!I$19,$B$52,0)/3-100+1)^Config!L19-(OFFSET(History!I$18,$B$52,0)/3-100+1)^Config!L19)*(100-'1'!D45)/(100-Config!O29)</f>
        <v>0</v>
      </c>
      <c r="Q19" s="113"/>
      <c r="R19" s="903">
        <f ca="1">((B$22*100)-OFFSET(History!N$19,$B$52,0))*(Config!J4+('1'!B45-Config!M29)*Config!M4)</f>
        <v>6.5133562107429479E-3</v>
      </c>
      <c r="S19" s="904">
        <f ca="1">((C$22*100)-OFFSET(History!O$19,$B$52,0))*(Config!K4+('1'!C45-Config!N29)*Config!N4)</f>
        <v>6.0060955752708053E-3</v>
      </c>
      <c r="T19" s="905">
        <f ca="1">((D$22*100)-OFFSET(History!P$19,$B$52,0))*(Config!L4+('1'!D45-Config!O29)*Config!O4)</f>
        <v>9.6499249728453952E-3</v>
      </c>
      <c r="U19" s="2"/>
      <c r="V19" s="641">
        <f>'42'!$U$19</f>
        <v>0</v>
      </c>
      <c r="W19" s="642">
        <f>'42'!$W$19</f>
        <v>0</v>
      </c>
      <c r="X19" s="643">
        <f>'42'!$Y$19</f>
        <v>0</v>
      </c>
      <c r="Y19" s="1114"/>
      <c r="AH19" s="1084"/>
      <c r="AI19" s="1085"/>
      <c r="AJ19" s="5"/>
      <c r="AK19" s="6"/>
      <c r="AL19" s="6"/>
      <c r="AM19" s="7"/>
      <c r="AN19" s="5"/>
      <c r="AO19" s="6"/>
      <c r="AP19" s="6"/>
      <c r="AQ19" s="7"/>
    </row>
    <row r="20" spans="1:43" ht="12.9" customHeight="1" thickBot="1" x14ac:dyDescent="0.3">
      <c r="A20" s="539" t="str">
        <f>Lang!$A$44</f>
        <v>Assembly time</v>
      </c>
      <c r="B20" s="463">
        <v>115</v>
      </c>
      <c r="C20" s="463">
        <v>165</v>
      </c>
      <c r="D20" s="458">
        <v>325</v>
      </c>
      <c r="E20" s="868">
        <f>IF(B17="Major",1,0)+'1'!E20*IF('1'!B18=0,1,0)</f>
        <v>1</v>
      </c>
      <c r="F20" s="1124" t="str">
        <f>Lang!$A$50</f>
        <v>Workers next quarter</v>
      </c>
      <c r="G20" s="1125"/>
      <c r="H20" s="474">
        <f>'62'!N12</f>
        <v>21</v>
      </c>
      <c r="I20" s="472">
        <f>(H20+H21)*0.055</f>
        <v>1.43</v>
      </c>
      <c r="Q20" s="3"/>
      <c r="R20" s="3"/>
      <c r="S20" s="3"/>
      <c r="U20" s="2"/>
      <c r="V20" s="2"/>
      <c r="W20" s="8"/>
      <c r="AH20" s="1086"/>
      <c r="AI20" s="1087"/>
      <c r="AJ20" s="9">
        <f>C30*1000</f>
        <v>10000</v>
      </c>
      <c r="AK20" s="10"/>
      <c r="AL20" s="10"/>
      <c r="AM20" s="11"/>
      <c r="AN20" s="9"/>
      <c r="AO20" s="10">
        <f ca="1">(J19*J44)*$D$30</f>
        <v>15534.4</v>
      </c>
      <c r="AP20" s="10">
        <f ca="1">(K19*K44)*$D$30</f>
        <v>16313.500000000002</v>
      </c>
      <c r="AQ20" s="11">
        <f ca="1">(L19*L44)*$D$30</f>
        <v>13923.000000000005</v>
      </c>
    </row>
    <row r="21" spans="1:43" ht="12.9" customHeight="1" x14ac:dyDescent="0.25">
      <c r="A21" s="699">
        <v>1</v>
      </c>
      <c r="B21" s="700">
        <f>100*A21</f>
        <v>100</v>
      </c>
      <c r="C21" s="702">
        <f>150*A21</f>
        <v>150</v>
      </c>
      <c r="D21" s="477">
        <f>300*A21</f>
        <v>300</v>
      </c>
      <c r="E21" s="868">
        <f>IF(C17="Major",1,0)+'1'!E21*IF('1'!C18=0,1,0)</f>
        <v>0</v>
      </c>
      <c r="F21" s="1124" t="str">
        <f>Lang!$A$51</f>
        <v>Recruit workers</v>
      </c>
      <c r="G21" s="1125"/>
      <c r="H21" s="458">
        <v>5</v>
      </c>
      <c r="I21" s="472">
        <f ca="1">ROUNDUP((H20+H21)*AVERAGE(OFFSET(History!C15:C19,B52,)),0)</f>
        <v>1</v>
      </c>
      <c r="J21" s="1078" t="str">
        <f>Lang!$A$52</f>
        <v>Production plan next quarter</v>
      </c>
      <c r="K21" s="1079"/>
      <c r="L21" s="1088"/>
      <c r="N21" s="1128" t="str">
        <f>Lang!$A$48</f>
        <v>R&amp;D</v>
      </c>
      <c r="O21" s="1129"/>
      <c r="P21" s="1130"/>
      <c r="Q21" s="113"/>
      <c r="R21" s="1116" t="str">
        <f>Lang!$A$53</f>
        <v>Training</v>
      </c>
      <c r="S21" s="1117"/>
      <c r="T21" s="1118"/>
      <c r="U21" s="2"/>
      <c r="V21" s="1131" t="str">
        <f>IF(X21=4,"Taxes","")</f>
        <v/>
      </c>
      <c r="W21" s="1132"/>
      <c r="X21" s="634">
        <f>IF(X16=4,1,X16+1)</f>
        <v>2</v>
      </c>
      <c r="Y21" s="1114">
        <f>SUM(V22:X24)</f>
        <v>2892</v>
      </c>
      <c r="AH21" s="1082" t="str">
        <f>Lang!$A$54</f>
        <v>Internet service provider</v>
      </c>
      <c r="AI21" s="1083"/>
      <c r="AJ21" s="5"/>
      <c r="AK21" s="6"/>
      <c r="AL21" s="6"/>
      <c r="AM21" s="7"/>
      <c r="AN21" s="5"/>
      <c r="AO21" s="6"/>
      <c r="AP21" s="6"/>
      <c r="AQ21" s="7"/>
    </row>
    <row r="22" spans="1:43" ht="12.9" customHeight="1" x14ac:dyDescent="0.25">
      <c r="A22" s="888" t="str">
        <f>Lang!$A$45</f>
        <v>Premium materials</v>
      </c>
      <c r="B22" s="490">
        <v>7.0000000000000007E-2</v>
      </c>
      <c r="C22" s="490">
        <v>7.0000000000000007E-2</v>
      </c>
      <c r="D22" s="475">
        <v>0.25</v>
      </c>
      <c r="E22" s="868">
        <f>IF(D17="Major",1,0)+'1'!E22*IF('1'!D18=0,1,0)</f>
        <v>0</v>
      </c>
      <c r="F22" s="1124" t="str">
        <f>Lang!$A$55</f>
        <v>Train workers</v>
      </c>
      <c r="G22" s="1125"/>
      <c r="H22" s="458">
        <v>9</v>
      </c>
      <c r="J22" s="385">
        <f t="shared" ref="J22:L23" ca="1" si="8">J7+J12+J27-J2*(1-B$18)</f>
        <v>1029</v>
      </c>
      <c r="K22" s="386">
        <f t="shared" ca="1" si="8"/>
        <v>747</v>
      </c>
      <c r="L22" s="387">
        <f t="shared" ca="1" si="8"/>
        <v>432</v>
      </c>
      <c r="M22" s="446">
        <f ca="1">J22/500+K22/250+L22/125</f>
        <v>8.5019999999999989</v>
      </c>
      <c r="N22" s="900">
        <f ca="1">((B$23*20+60)-OFFSET(History!$W$6,$B$52-1,))*(Config!J7+('1'!B43-Config!M27)*Config!M7)</f>
        <v>6.1576863551619544E-3</v>
      </c>
      <c r="O22" s="901">
        <f ca="1">((C$23*20+60)-OFFSET(History!$W$16,$B$52-1,))*(Config!K7+('1'!C43-Config!N27)*Config!N7)</f>
        <v>0</v>
      </c>
      <c r="P22" s="902">
        <f ca="1">((D$23*20+60)-OFFSET(History!$W$26,$B$52-1,))*(Config!L7+('1'!D43-Config!O27)*Config!O7)</f>
        <v>3.7938340476184563E-3</v>
      </c>
      <c r="Q22" s="113"/>
      <c r="R22" s="900">
        <f ca="1">($H$23+OFFSET(History!$P$32,$B$52,0)*Config!$H$22+OFFSET(History!$P$31,$B$52,0)*Config!$H$22^2+OFFSET(History!$P$30,$B$52,0)*Config!$H$22^3+1)^Config!$G$22-(OFFSET(History!$P$32,$B$52,0)+OFFSET(History!$P$31,$B$52,0)*Config!$H$22+OFFSET(History!$P$30,$B$52,0)*Config!$H$22^2+OFFSET(History!$P$29,$B$52,0)*Config!$H$22^3+1)^Config!$G$22</f>
        <v>9.4254012650381025E-3</v>
      </c>
      <c r="S22" s="901">
        <f ca="1">($H$23+OFFSET(History!$P$32,$B$52,0)*Config!$H$22+OFFSET(History!$P$31,$B$52,0)*Config!$H$22^2+OFFSET(History!$P$30,$B$52,0)*Config!$H$22^3+1)^Config!$G$22-(OFFSET(History!$P$32,$B$52,0)+OFFSET(History!$P$31,$B$52,0)*Config!$H$22+OFFSET(History!$P$30,$B$52,0)*Config!$H$22^2+OFFSET(History!$P$29,$B$52,0)*Config!$H$22^3+1)^Config!$G$22</f>
        <v>9.4254012650381025E-3</v>
      </c>
      <c r="T22" s="902">
        <f ca="1">($H$23+OFFSET(History!$P$32,$B$52,0)*Config!$H$22+OFFSET(History!$P$31,$B$52,0)*Config!$H$22^2+OFFSET(History!$P$30,$B$52,0)*Config!$H$22^3+1)^Config!$G$22-(OFFSET(History!$P$32,$B$52,0)+OFFSET(History!$P$31,$B$52,0)*Config!$H$22+OFFSET(History!$P$30,$B$52,0)*Config!$H$22^2+OFFSET(History!$P$29,$B$52,0)*Config!$H$22^3+1)^Config!$G$22</f>
        <v>9.4254012650381025E-3</v>
      </c>
      <c r="U22" s="2"/>
      <c r="V22" s="638">
        <f>'52'!$U$17</f>
        <v>1016</v>
      </c>
      <c r="W22" s="639">
        <f>'52'!$W$17</f>
        <v>670</v>
      </c>
      <c r="X22" s="640">
        <f>'52'!$Y$17</f>
        <v>396</v>
      </c>
      <c r="Y22" s="1114"/>
      <c r="AH22" s="1084"/>
      <c r="AI22" s="1085"/>
      <c r="AJ22" s="5"/>
      <c r="AK22" s="6"/>
      <c r="AL22" s="6"/>
      <c r="AM22" s="7"/>
      <c r="AN22" s="5"/>
      <c r="AO22" s="6"/>
      <c r="AP22" s="6"/>
      <c r="AQ22" s="7"/>
    </row>
    <row r="23" spans="1:43" ht="12.9" customHeight="1" x14ac:dyDescent="0.25">
      <c r="A23" s="539" t="str">
        <f>Lang!$A$48</f>
        <v>R&amp;D</v>
      </c>
      <c r="B23" s="491">
        <f ca="1">(OFFSET(History!W6,$B$52-1,)+E23+INDEX(Config!$M59:$O258,(OFFSET(History!W6,$B$52-1,)+E23)-60,2)-60)/20</f>
        <v>1.45</v>
      </c>
      <c r="C23" s="491">
        <f ca="1">(OFFSET(History!W16,$B$52-1,)+E24+INDEX(Config!$M59:$O258,(OFFSET(History!W16,$B$52-1,)+E24)-60,2)-60)/20</f>
        <v>2.6</v>
      </c>
      <c r="D23" s="492">
        <f ca="1">(OFFSET(History!W26,$B$52-1,)+E25+INDEX(Config!$M59:$O258,(OFFSET(History!W26,$B$52-1,)+E25)-60,2)-60)/20</f>
        <v>1.75</v>
      </c>
      <c r="E23" s="476">
        <f ca="1">Config!$O55*B$18*E$20+IF(B$16="Major",Config!$O56,0)+IF(B$16="Minor",Config!$O54,0)</f>
        <v>6</v>
      </c>
      <c r="F23" s="1124" t="str">
        <f>Lang!$A$53</f>
        <v>Training</v>
      </c>
      <c r="G23" s="1125"/>
      <c r="H23" s="458">
        <v>8</v>
      </c>
      <c r="J23" s="385">
        <f t="shared" ca="1" si="8"/>
        <v>62</v>
      </c>
      <c r="K23" s="386">
        <f t="shared" ca="1" si="8"/>
        <v>98</v>
      </c>
      <c r="L23" s="387">
        <f t="shared" ca="1" si="8"/>
        <v>53.000000000000007</v>
      </c>
      <c r="M23" s="446">
        <f ca="1">J23/500+K23/250+L23/125</f>
        <v>0.94000000000000006</v>
      </c>
      <c r="N23" s="900">
        <f ca="1">((B$23*20+60)-OFFSET(History!$W$6,$B$52-1,))*(Config!J8+('1'!B44-Config!M28)*Config!M8)</f>
        <v>8.9786679422959557E-3</v>
      </c>
      <c r="O23" s="901">
        <f ca="1">((C$23*20+60)-OFFSET(History!$W$16,$B$52-1,))*(Config!K8+('1'!C44-Config!N28)*Config!N8)</f>
        <v>0</v>
      </c>
      <c r="P23" s="902">
        <f ca="1">((D$23*20+60)-OFFSET(History!$W$26,$B$52-1,))*(Config!L8+('1'!D44-Config!O28)*Config!O8)</f>
        <v>7.6332734127252562E-3</v>
      </c>
      <c r="Q23" s="113"/>
      <c r="R23" s="900">
        <f ca="1">($H$23+OFFSET(History!$P$32,$B$52,0)*Config!$H$22+OFFSET(History!$P$31,$B$52,0)*Config!$H$22^2+OFFSET(History!$P$30,$B$52,0)*Config!$H$22^3+1)^Config!$G$22-(OFFSET(History!$P$32,$B$52,0)+OFFSET(History!$P$31,$B$52,0)*Config!$H$22+OFFSET(History!$P$30,$B$52,0)*Config!$H$22^2+OFFSET(History!$P$29,$B$52,0)*Config!$H$22^3+1)^Config!$G$22</f>
        <v>9.4254012650381025E-3</v>
      </c>
      <c r="S23" s="901">
        <f ca="1">($H$23+OFFSET(History!$P$32,$B$52,0)*Config!$H$22+OFFSET(History!$P$31,$B$52,0)*Config!$H$22^2+OFFSET(History!$P$30,$B$52,0)*Config!$H$22^3+1)^Config!$G$22-(OFFSET(History!$P$32,$B$52,0)+OFFSET(History!$P$31,$B$52,0)*Config!$H$22+OFFSET(History!$P$30,$B$52,0)*Config!$H$22^2+OFFSET(History!$P$29,$B$52,0)*Config!$H$22^3+1)^Config!$G$22</f>
        <v>9.4254012650381025E-3</v>
      </c>
      <c r="T23" s="902">
        <f ca="1">($H$23+OFFSET(History!$P$32,$B$52,0)*Config!$H$22+OFFSET(History!$P$31,$B$52,0)*Config!$H$22^2+OFFSET(History!$P$30,$B$52,0)*Config!$H$22^3+1)^Config!$G$22-(OFFSET(History!$P$32,$B$52,0)+OFFSET(History!$P$31,$B$52,0)*Config!$H$22+OFFSET(History!$P$30,$B$52,0)*Config!$H$22^2+OFFSET(History!$P$29,$B$52,0)*Config!$H$22^3+1)^Config!$G$22</f>
        <v>9.4254012650381025E-3</v>
      </c>
      <c r="U23" s="2"/>
      <c r="V23" s="638">
        <f>'52'!$U$18</f>
        <v>122</v>
      </c>
      <c r="W23" s="639">
        <f>'52'!$W$18</f>
        <v>120</v>
      </c>
      <c r="X23" s="640">
        <f>'52'!$Y$18</f>
        <v>63</v>
      </c>
      <c r="Y23" s="1114"/>
      <c r="AH23" s="1084"/>
      <c r="AI23" s="1085"/>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4.725E-2</v>
      </c>
      <c r="C24" s="546">
        <f>(C20-150)/150*IF(C20&lt;150*1.21,0.315,IF(C20&lt;150*1.41,0.31,IF(C20&lt;150*1.61,0.305,IF(C20&lt;150*1.81,0.3,0.295))))</f>
        <v>3.15E-2</v>
      </c>
      <c r="D24" s="545">
        <f>(D20-300)/300*IF(D20&lt;300*1.21,0.315,IF(D20&lt;300*1.41,0.31,IF(D20&lt;300*1.61,0.305,IF(D20&lt;300*1.81,0.3,0.295))))</f>
        <v>2.6249999999999999E-2</v>
      </c>
      <c r="E24" s="476">
        <f ca="1">Config!$O55*C$18*E$21+IF(C$16="Major",Config!$O56,0)+IF(C$16="Minor",Config!$O54,0)</f>
        <v>6</v>
      </c>
      <c r="F24" s="1124" t="str">
        <f>Lang!$A$56</f>
        <v>Mechanics next quarter</v>
      </c>
      <c r="G24" s="1125"/>
      <c r="H24" s="503">
        <f>'62'!O12-I24</f>
        <v>28</v>
      </c>
      <c r="I24" s="768">
        <f>CEILING(IF(H7*4*H11&lt;'62'!O12,('62'!O12-H7*4*H11)/2,0),1)</f>
        <v>0</v>
      </c>
      <c r="J24" s="388">
        <f ca="1">J14+J29-J4*(1-B$18)</f>
        <v>583.99999999999989</v>
      </c>
      <c r="K24" s="389">
        <f ca="1">K14+K29-K4*(1-C$18)</f>
        <v>395</v>
      </c>
      <c r="L24" s="390">
        <f ca="1">L14+L29-L4*(1-D$18)</f>
        <v>234.00000000000006</v>
      </c>
      <c r="M24" s="446">
        <f ca="1">J24/500+K24/250+L24/125</f>
        <v>4.62</v>
      </c>
      <c r="N24" s="903">
        <f ca="1">((B$23*20+60)-OFFSET(History!$W$6,$B$52-1,))*(Config!J9+('1'!B45-Config!M29)*Config!M9)</f>
        <v>6.8116620883049411E-3</v>
      </c>
      <c r="O24" s="904">
        <f ca="1">((C$23*20+60)-OFFSET(History!$W$16,$B$52-1,))*(Config!K9+('1'!C45-Config!N29)*Config!N9)</f>
        <v>0</v>
      </c>
      <c r="P24" s="905">
        <f ca="1">((D$23*20+60)-OFFSET(History!$W$26,$B$52-1,))*(Config!L9+('1'!D45-Config!O29)*Config!O9)</f>
        <v>4.7095453481541052E-3</v>
      </c>
      <c r="Q24" s="113"/>
      <c r="R24" s="903">
        <f ca="1">($H$23+OFFSET(History!$P$32,$B$52,0)*Config!$H$22+OFFSET(History!$P$31,$B$52,0)*Config!$H$22^2+OFFSET(History!$P$30,$B$52,0)*Config!$H$22^3+1)^Config!$G$22-(OFFSET(History!$P$32,$B$52,0)+OFFSET(History!$P$31,$B$52,0)*Config!$H$22+OFFSET(History!$P$30,$B$52,0)*Config!$H$22^2+OFFSET(History!$P$29,$B$52,0)*Config!$H$22^3+1)^Config!$G$22</f>
        <v>9.4254012650381025E-3</v>
      </c>
      <c r="S24" s="904">
        <f ca="1">($H$23+OFFSET(History!$P$32,$B$52,0)*Config!$H$22+OFFSET(History!$P$31,$B$52,0)*Config!$H$22^2+OFFSET(History!$P$30,$B$52,0)*Config!$H$22^3+1)^Config!$G$22-(OFFSET(History!$P$32,$B$52,0)+OFFSET(History!$P$31,$B$52,0)*Config!$H$22+OFFSET(History!$P$30,$B$52,0)*Config!$H$22^2+OFFSET(History!$P$29,$B$52,0)*Config!$H$22^3+1)^Config!$G$22</f>
        <v>9.4254012650381025E-3</v>
      </c>
      <c r="T24" s="905">
        <f ca="1">($H$23+OFFSET(History!$P$32,$B$52,0)*Config!$H$22+OFFSET(History!$P$31,$B$52,0)*Config!$H$22^2+OFFSET(History!$P$30,$B$52,0)*Config!$H$22^3+1)^Config!$G$22-(OFFSET(History!$P$32,$B$52,0)+OFFSET(History!$P$31,$B$52,0)*Config!$H$22+OFFSET(History!$P$30,$B$52,0)*Config!$H$22^2+OFFSET(History!$P$29,$B$52,0)*Config!$H$22^3+1)^Config!$G$22</f>
        <v>9.4254012650381025E-3</v>
      </c>
      <c r="U24" s="2"/>
      <c r="V24" s="641">
        <f>'52'!$U$19</f>
        <v>243</v>
      </c>
      <c r="W24" s="642">
        <f>'52'!$W$19</f>
        <v>167</v>
      </c>
      <c r="X24" s="643">
        <f>'52'!$Y$19</f>
        <v>95</v>
      </c>
      <c r="Y24" s="1114"/>
      <c r="AH24" s="1086"/>
      <c r="AI24" s="1087"/>
      <c r="AJ24" s="366">
        <f>'62'!G42*1000</f>
        <v>5000</v>
      </c>
      <c r="AK24" s="10"/>
      <c r="AL24" s="10"/>
      <c r="AM24" s="11"/>
      <c r="AN24" s="9"/>
      <c r="AO24" s="10">
        <f ca="1">(J19*J44)*0.03</f>
        <v>6657.5999999999985</v>
      </c>
      <c r="AP24" s="10">
        <f ca="1">(K19*K44)*0.03</f>
        <v>6991.5</v>
      </c>
      <c r="AQ24" s="11">
        <f ca="1">(L19*L44)*0.03</f>
        <v>5967.0000000000018</v>
      </c>
    </row>
    <row r="25" spans="1:43" ht="12.9" customHeight="1" thickBot="1" x14ac:dyDescent="0.3">
      <c r="A25" s="540" t="str">
        <f>Lang!$A$45</f>
        <v>Premium materials</v>
      </c>
      <c r="B25" s="541">
        <f>B22*IF(B22&lt;21,0.165,IF(B22&lt;41,0.16,IF(B22&lt;61,0.155,IF(B22&lt;81,0.15,0.145))))</f>
        <v>1.1550000000000001E-2</v>
      </c>
      <c r="C25" s="541">
        <f>C22*IF(C22&lt;21,0.165,IF(C22&lt;41,0.16,IF(C22&lt;61,0.155,IF(C22&lt;81,0.15,0.145))))</f>
        <v>1.1550000000000001E-2</v>
      </c>
      <c r="D25" s="542">
        <f>D22*IF(D22&lt;21,0.165,IF(D22&lt;41,0.16,IF(D22&lt;61,0.155,IF(D22&lt;81,0.15,0.145))))</f>
        <v>4.1250000000000002E-2</v>
      </c>
      <c r="E25" s="476">
        <f ca="1">Config!$O55*D$18*E$22+IF(D$16="Major",Config!$O56,0)+IF(D$16="Minor",Config!$O54,0)</f>
        <v>6</v>
      </c>
      <c r="F25" s="1124" t="str">
        <f>Lang!$A$57</f>
        <v>Recruit mechanics</v>
      </c>
      <c r="G25" s="1125"/>
      <c r="H25" s="477">
        <f>IF(H7*4*H11-H24&lt;0,0,H7*4*H11-H24)</f>
        <v>12</v>
      </c>
      <c r="I25" s="768">
        <f ca="1">ROUNDUP((H24+H25)*AVERAGEIF(OFFSET(History!C2:C6,B52,),"&gt;0"),0)</f>
        <v>4</v>
      </c>
      <c r="N25" s="17"/>
      <c r="O25" s="17"/>
      <c r="P25" s="17"/>
      <c r="Q25" s="3"/>
      <c r="R25" s="1"/>
      <c r="S25" s="1"/>
      <c r="T25" s="1"/>
      <c r="U25" s="2"/>
      <c r="V25" s="2"/>
      <c r="W25" s="8"/>
      <c r="AH25" s="1082" t="str">
        <f>Lang!$A$58</f>
        <v>Agents and distributors</v>
      </c>
      <c r="AI25" s="1083"/>
      <c r="AJ25" s="5"/>
      <c r="AK25" s="6"/>
      <c r="AL25" s="6"/>
      <c r="AM25" s="7"/>
      <c r="AN25" s="5"/>
      <c r="AO25" s="6"/>
      <c r="AP25" s="6"/>
      <c r="AQ25" s="7"/>
    </row>
    <row r="26" spans="1:43" ht="12.9" customHeight="1" thickBot="1" x14ac:dyDescent="0.3">
      <c r="A26" s="20"/>
      <c r="B26" s="544">
        <f ca="1">ROUND(SUM(B23:B25),2)</f>
        <v>1.51</v>
      </c>
      <c r="C26" s="544">
        <f ca="1">ROUND(SUM(C23:C25),2)</f>
        <v>2.64</v>
      </c>
      <c r="D26" s="544">
        <f ca="1">ROUND(SUM(D23:D25),2)</f>
        <v>1.82</v>
      </c>
      <c r="E26" s="483"/>
      <c r="F26" s="1124" t="str">
        <f>Lang!$A$59</f>
        <v>Workers wage rate</v>
      </c>
      <c r="G26" s="1125"/>
      <c r="H26" s="478">
        <v>12.6</v>
      </c>
      <c r="I26" s="457">
        <f ca="1">IF(H15&gt;H17,H26*H18+H26*1.5*(H17-H18)+H26*2*(H15-H17),IF(H15&gt;H18,H26*H18+H26*1.5*(H15-H18),H26*H15))/H20</f>
        <v>8013.5338048603126</v>
      </c>
      <c r="J26" s="1078" t="str">
        <f>Lang!$A$60</f>
        <v>Stocks next quarter</v>
      </c>
      <c r="K26" s="1079"/>
      <c r="L26" s="1088"/>
      <c r="N26" s="1116" t="str">
        <f>Lang!$A$61</f>
        <v>Corporate advertising</v>
      </c>
      <c r="O26" s="1117"/>
      <c r="P26" s="1118"/>
      <c r="Q26" s="113"/>
      <c r="R26" s="1116" t="str">
        <f>Lang!$A$115</f>
        <v>Management budget</v>
      </c>
      <c r="S26" s="1117"/>
      <c r="T26" s="1118"/>
      <c r="U26" s="2"/>
      <c r="V26" s="1080" t="str">
        <f>IF(X26=4,"Taxes","")</f>
        <v/>
      </c>
      <c r="W26" s="1104"/>
      <c r="X26" s="634">
        <f>IF(X21=4,1,X21+1)</f>
        <v>3</v>
      </c>
      <c r="Y26" s="1114">
        <f>SUM(V27:X29)</f>
        <v>3376</v>
      </c>
      <c r="AH26" s="1084"/>
      <c r="AI26" s="1085"/>
      <c r="AJ26" s="5">
        <f>(E28*C28)*1000+(B28-E28)*7500</f>
        <v>37500</v>
      </c>
      <c r="AK26" s="6"/>
      <c r="AL26" s="6"/>
      <c r="AM26" s="7"/>
      <c r="AN26" s="5"/>
      <c r="AO26" s="6">
        <f t="shared" ref="AO26:AQ27" ca="1" si="9">(J17*J42)*$D$28</f>
        <v>27046.880000000001</v>
      </c>
      <c r="AP26" s="6">
        <f t="shared" ca="1" si="9"/>
        <v>25622.100000000002</v>
      </c>
      <c r="AQ26" s="7">
        <f t="shared" ca="1" si="9"/>
        <v>21168.000000000004</v>
      </c>
    </row>
    <row r="27" spans="1:43" ht="12.9" customHeight="1" thickBot="1" x14ac:dyDescent="0.3">
      <c r="A27" s="1100" t="str">
        <f>Lang!$A$58</f>
        <v>Agents and distributors</v>
      </c>
      <c r="B27" s="1101"/>
      <c r="C27" s="1101"/>
      <c r="D27" s="1102"/>
      <c r="E27" s="483"/>
      <c r="F27" s="1126" t="str">
        <f>Lang!$A$62</f>
        <v>Machinists wage rate</v>
      </c>
      <c r="G27" s="1127"/>
      <c r="H27" s="479">
        <f>H26*0.65</f>
        <v>8.19</v>
      </c>
      <c r="I27" s="457">
        <f ca="1">IF(H24+H25=0,0,H62/(H24+H25))</f>
        <v>4892.237585597516</v>
      </c>
      <c r="J27" s="404">
        <f t="shared" ref="J27:L29" ca="1" si="10">J12*$M32+J12*J$35+J12*J32</f>
        <v>0</v>
      </c>
      <c r="K27" s="405">
        <f t="shared" ca="1" si="10"/>
        <v>0</v>
      </c>
      <c r="L27" s="408">
        <f t="shared" ca="1" si="10"/>
        <v>0</v>
      </c>
      <c r="N27" s="900">
        <f ca="1">Config!$G17*(OFFSET(History!$A$32,$B$52,0)+OFFSET(History!$A$31,$B$52,0)*Config!$H17+OFFSET(History!$A$30,$B$52,0)*Config!$H17^2+OFFSET(History!$A$29,$B$52,0)*Config!$H17^3)-Config!$G17*(OFFSET(History!$A$31,$B$52,0)+OFFSET(History!$A$30,$B$52,0)*Config!$H17+OFFSET(History!$A$29,$B$52,0)*Config!$H17^2+OFFSET(History!$A$28,$B$52,0)*Config!$H17^3)</f>
        <v>3.4704228267276116E-4</v>
      </c>
      <c r="O27" s="901">
        <f ca="1">Config!$G17*(OFFSET(History!$A$32,$B$52,0)+OFFSET(History!$A$31,$B$52,0)*Config!$H17+OFFSET(History!$A$30,$B$52,0)*Config!$H17^2+OFFSET(History!$A$29,$B$52,0)*Config!$H17^3)-Config!$G17*(OFFSET(History!$A$31,$B$52,0)+OFFSET(History!$A$30,$B$52,0)*Config!$H17+OFFSET(History!$A$29,$B$52,0)*Config!$H17^2+OFFSET(History!$A$28,$B$52,0)*Config!$H17^3)</f>
        <v>3.4704228267276116E-4</v>
      </c>
      <c r="P27" s="902">
        <f ca="1">Config!$G17*(OFFSET(History!$A$32,$B$52,0)+OFFSET(History!$A$31,$B$52,0)*Config!$H17+OFFSET(History!$A$30,$B$52,0)*Config!$H17^2+OFFSET(History!$A$29,$B$52,0)*Config!$H17^3)-Config!$G17*(OFFSET(History!$A$31,$B$52,0)+OFFSET(History!$A$30,$B$52,0)*Config!$H17+OFFSET(History!$A$29,$B$52,0)*Config!$H17^2+OFFSET(History!$A$28,$B$52,0)*Config!$H17^3)</f>
        <v>3.4704228267276116E-4</v>
      </c>
      <c r="Q27" s="113"/>
      <c r="R27" s="900">
        <f ca="1">($H$47+OFFSET(History!$Q$19,$B$52,0)*Config!$H$25+OFFSET(History!$Q$18,$B$52,0)*Config!$H$25^2+OFFSET(History!$Q$17,$B$52,0)*Config!$H$25^3+1)^Config!$G$25-(OFFSET(History!$Q$19,$B$52,0)+OFFSET(History!$Q$18,$B$52,0)*Config!$H$25+OFFSET(History!$Q$17,$B$52,0)*Config!$H$25^2+OFFSET(History!$Q$16,$B$52,0)*Config!$H$25^3+1)^Config!$G$25</f>
        <v>1.7988324926031307E-2</v>
      </c>
      <c r="S27" s="901">
        <f ca="1">($H$47+OFFSET(History!$Q$19,$B$52,0)*Config!$H$25+OFFSET(History!$Q$18,$B$52,0)*Config!$H$25^2+OFFSET(History!$Q$17,$B$52,0)*Config!$H$25^3+1)^Config!$G$25-(OFFSET(History!$Q$19,$B$52,0)+OFFSET(History!$Q$18,$B$52,0)*Config!$H$25+OFFSET(History!$Q$17,$B$52,0)*Config!$H$25^2+OFFSET(History!$Q$16,$B$52,0)*Config!$H$25^3+1)^Config!$G$25</f>
        <v>1.7988324926031307E-2</v>
      </c>
      <c r="T27" s="902">
        <f ca="1">($H$47+OFFSET(History!$Q$19,$B$52,0)*Config!$H$25+OFFSET(History!$Q$18,$B$52,0)*Config!$H$25^2+OFFSET(History!$Q$17,$B$52,0)*Config!$H$25^3+1)^Config!$G$25-(OFFSET(History!$Q$19,$B$52,0)+OFFSET(History!$Q$18,$B$52,0)*Config!$H$25+OFFSET(History!$Q$17,$B$52,0)*Config!$H$25^2+OFFSET(History!$Q$16,$B$52,0)*Config!$H$25^3+1)^Config!$G$25</f>
        <v>1.7988324926031307E-2</v>
      </c>
      <c r="U27" s="2"/>
      <c r="V27" s="638">
        <f>'62'!$U$17</f>
        <v>970</v>
      </c>
      <c r="W27" s="639">
        <f>'62'!$W$17</f>
        <v>663</v>
      </c>
      <c r="X27" s="640">
        <f>'62'!$Y$17</f>
        <v>399</v>
      </c>
      <c r="Y27" s="1114"/>
      <c r="AH27" s="1084"/>
      <c r="AI27" s="1085"/>
      <c r="AJ27" s="5">
        <f>(E29*C29)*1000+(B29-E29)*7500</f>
        <v>18000</v>
      </c>
      <c r="AK27" s="6"/>
      <c r="AL27" s="6"/>
      <c r="AM27" s="7"/>
      <c r="AN27" s="5"/>
      <c r="AO27" s="6">
        <f t="shared" ca="1" si="9"/>
        <v>2689.4</v>
      </c>
      <c r="AP27" s="6">
        <f t="shared" ca="1" si="9"/>
        <v>4321.8</v>
      </c>
      <c r="AQ27" s="7">
        <f t="shared" ca="1" si="9"/>
        <v>3219.3000000000006</v>
      </c>
    </row>
    <row r="28" spans="1:43" ht="12.9" customHeight="1" thickBot="1" x14ac:dyDescent="0.3">
      <c r="A28" s="603">
        <v>3</v>
      </c>
      <c r="B28" s="463">
        <v>3</v>
      </c>
      <c r="C28" s="463">
        <v>10</v>
      </c>
      <c r="D28" s="523">
        <v>7.0000000000000007E-2</v>
      </c>
      <c r="E28" s="457">
        <f>'62'!M30+A28</f>
        <v>6</v>
      </c>
      <c r="F28" s="1115">
        <f ca="1">H76+H81</f>
        <v>99032.005146558746</v>
      </c>
      <c r="G28" s="1115"/>
      <c r="H28" s="1115"/>
      <c r="J28" s="404">
        <f t="shared" ca="1" si="10"/>
        <v>0</v>
      </c>
      <c r="K28" s="405">
        <f t="shared" ca="1" si="10"/>
        <v>0</v>
      </c>
      <c r="L28" s="408">
        <f t="shared" ca="1" si="10"/>
        <v>0</v>
      </c>
      <c r="N28" s="900">
        <f ca="1">Config!$G18*(OFFSET(History!$E$32,$B$52,0)+OFFSET(History!$E$31,$B$52,0)*Config!$H18+OFFSET(History!$E$30,$B$52,0)*Config!$H18^2+OFFSET(History!$E$29,$B$52,0)*Config!$H18^3)-Config!$G18*(OFFSET(History!$E$31,$B$52,0)+OFFSET(History!$E$30,$B$52,0)*Config!$H18+OFFSET(History!$E$29,$B$52,0)*Config!$H18^2+OFFSET(History!$E$28,$B$52,0)*Config!$H18^3)</f>
        <v>3.8874662613939265E-4</v>
      </c>
      <c r="O28" s="901">
        <f ca="1">Config!$G18*(OFFSET(History!$E$32,$B$52,0)+OFFSET(History!$E$31,$B$52,0)*Config!$H18+OFFSET(History!$E$30,$B$52,0)*Config!$H18^2+OFFSET(History!$E$29,$B$52,0)*Config!$H18^3)-Config!$G18*(OFFSET(History!$E$31,$B$52,0)+OFFSET(History!$E$30,$B$52,0)*Config!$H18+OFFSET(History!$E$29,$B$52,0)*Config!$H18^2+OFFSET(History!$E$28,$B$52,0)*Config!$H18^3)</f>
        <v>3.8874662613939265E-4</v>
      </c>
      <c r="P28" s="902">
        <f ca="1">Config!$G18*(OFFSET(History!$E$32,$B$52,0)+OFFSET(History!$E$31,$B$52,0)*Config!$H18+OFFSET(History!$E$30,$B$52,0)*Config!$H18^2+OFFSET(History!$E$29,$B$52,0)*Config!$H18^3)-Config!$G18*(OFFSET(History!$E$31,$B$52,0)+OFFSET(History!$E$30,$B$52,0)*Config!$H18+OFFSET(History!$E$29,$B$52,0)*Config!$H18^2+OFFSET(History!$E$28,$B$52,0)*Config!$H18^3)</f>
        <v>3.8874662613939265E-4</v>
      </c>
      <c r="Q28" s="113"/>
      <c r="R28" s="900">
        <f ca="1">($H$47+OFFSET(History!$Q$19,$B$52,0)*Config!$H$25+OFFSET(History!$Q$18,$B$52,0)*Config!$H$25^2+OFFSET(History!$Q$17,$B$52,0)*Config!$H$25^3+1)^Config!$G$25-(OFFSET(History!$Q$19,$B$52,0)+OFFSET(History!$Q$18,$B$52,0)*Config!$H$25+OFFSET(History!$Q$17,$B$52,0)*Config!$H$25^2+OFFSET(History!$Q$16,$B$52,0)*Config!$H$25^3+1)^Config!$G$25</f>
        <v>1.7988324926031307E-2</v>
      </c>
      <c r="S28" s="901">
        <f ca="1">($H$47+OFFSET(History!$Q$19,$B$52,0)*Config!$H$25+OFFSET(History!$Q$18,$B$52,0)*Config!$H$25^2+OFFSET(History!$Q$17,$B$52,0)*Config!$H$25^3+1)^Config!$G$25-(OFFSET(History!$Q$19,$B$52,0)+OFFSET(History!$Q$18,$B$52,0)*Config!$H$25+OFFSET(History!$Q$17,$B$52,0)*Config!$H$25^2+OFFSET(History!$Q$16,$B$52,0)*Config!$H$25^3+1)^Config!$G$25</f>
        <v>1.7988324926031307E-2</v>
      </c>
      <c r="T28" s="902">
        <f ca="1">($H$47+OFFSET(History!$Q$19,$B$52,0)*Config!$H$25+OFFSET(History!$Q$18,$B$52,0)*Config!$H$25^2+OFFSET(History!$Q$17,$B$52,0)*Config!$H$25^3+1)^Config!$G$25-(OFFSET(History!$Q$19,$B$52,0)+OFFSET(History!$Q$18,$B$52,0)*Config!$H$25+OFFSET(History!$Q$17,$B$52,0)*Config!$H$25^2+OFFSET(History!$Q$16,$B$52,0)*Config!$H$25^3+1)^Config!$G$25</f>
        <v>1.7988324926031307E-2</v>
      </c>
      <c r="U28" s="2"/>
      <c r="V28" s="638">
        <f>'62'!$U$18</f>
        <v>155</v>
      </c>
      <c r="W28" s="639">
        <f>'62'!$W$18</f>
        <v>152</v>
      </c>
      <c r="X28" s="640">
        <f>'62'!$Y$18</f>
        <v>77</v>
      </c>
      <c r="Y28" s="1114"/>
      <c r="AH28" s="1086"/>
      <c r="AI28" s="1087"/>
      <c r="AJ28" s="9"/>
      <c r="AK28" s="10"/>
      <c r="AL28" s="10"/>
      <c r="AM28" s="11"/>
      <c r="AN28" s="9"/>
      <c r="AO28" s="10"/>
      <c r="AP28" s="10"/>
      <c r="AQ28" s="11"/>
    </row>
    <row r="29" spans="1:43" ht="12.9" customHeight="1" thickBot="1" x14ac:dyDescent="0.3">
      <c r="A29" s="603">
        <v>1</v>
      </c>
      <c r="B29" s="463">
        <v>2</v>
      </c>
      <c r="C29" s="463">
        <v>9</v>
      </c>
      <c r="D29" s="523">
        <v>7.0000000000000007E-2</v>
      </c>
      <c r="E29" s="457">
        <f>'62'!N30+A29</f>
        <v>2</v>
      </c>
      <c r="F29" s="1080" t="str">
        <f>Lang!$A$63</f>
        <v>Raw materials</v>
      </c>
      <c r="G29" s="1081"/>
      <c r="H29" s="453">
        <f ca="1">IF(B52=1,G33,IF(B52=2,G34,G35))</f>
        <v>75192</v>
      </c>
      <c r="J29" s="407">
        <f t="shared" ca="1" si="10"/>
        <v>0</v>
      </c>
      <c r="K29" s="406">
        <f t="shared" ca="1" si="10"/>
        <v>0</v>
      </c>
      <c r="L29" s="403">
        <f t="shared" ca="1" si="10"/>
        <v>0</v>
      </c>
      <c r="N29" s="903">
        <f ca="1">Config!$G19*(OFFSET(History!$I$32,$B$52,0)+OFFSET(History!$I$31,$B$52,0)*Config!$H19+OFFSET(History!$I$30,$B$52,0)*Config!$H19^2+OFFSET(History!$I$29,$B$52,0)*Config!$H19^3)-Config!$G19*(OFFSET(History!$I$31,$B$52,0)+OFFSET(History!$I$30,$B$52,0)*Config!$H19+OFFSET(History!$I$29,$B$52,0)*Config!$H19^2+OFFSET(History!$I$28,$B$52,0)*Config!$H19^3)</f>
        <v>5.1606496331970796E-4</v>
      </c>
      <c r="O29" s="904">
        <f ca="1">Config!$G19*(OFFSET(History!$I$32,$B$52,0)+OFFSET(History!$I$31,$B$52,0)*Config!$H19+OFFSET(History!$I$30,$B$52,0)*Config!$H19^2+OFFSET(History!$I$29,$B$52,0)*Config!$H19^3)-Config!$G19*(OFFSET(History!$I$31,$B$52,0)+OFFSET(History!$I$30,$B$52,0)*Config!$H19+OFFSET(History!$I$29,$B$52,0)*Config!$H19^2+OFFSET(History!$I$28,$B$52,0)*Config!$H19^3)</f>
        <v>5.1606496331970796E-4</v>
      </c>
      <c r="P29" s="905">
        <f ca="1">Config!$G19*(OFFSET(History!$I$32,$B$52,0)+OFFSET(History!$I$31,$B$52,0)*Config!$H19+OFFSET(History!$I$30,$B$52,0)*Config!$H19^2+OFFSET(History!$I$29,$B$52,0)*Config!$H19^3)-Config!$G19*(OFFSET(History!$I$31,$B$52,0)+OFFSET(History!$I$30,$B$52,0)*Config!$H19+OFFSET(History!$I$29,$B$52,0)*Config!$H19^2+OFFSET(History!$I$28,$B$52,0)*Config!$H19^3)</f>
        <v>5.1606496331970796E-4</v>
      </c>
      <c r="Q29" s="113"/>
      <c r="R29" s="903">
        <f ca="1">($H$47+OFFSET(History!$Q$19,$B$52,0)*Config!$H$25+OFFSET(History!$Q$18,$B$52,0)*Config!$H$25^2+OFFSET(History!$Q$17,$B$52,0)*Config!$H$25^3+1)^Config!$G$25-(OFFSET(History!$Q$19,$B$52,0)+OFFSET(History!$Q$18,$B$52,0)*Config!$H$25+OFFSET(History!$Q$17,$B$52,0)*Config!$H$25^2+OFFSET(History!$Q$16,$B$52,0)*Config!$H$25^3+1)^Config!$G$25</f>
        <v>1.7988324926031307E-2</v>
      </c>
      <c r="S29" s="904">
        <f ca="1">($H$47+OFFSET(History!$Q$19,$B$52,0)*Config!$H$25+OFFSET(History!$Q$18,$B$52,0)*Config!$H$25^2+OFFSET(History!$Q$17,$B$52,0)*Config!$H$25^3+1)^Config!$G$25-(OFFSET(History!$Q$19,$B$52,0)+OFFSET(History!$Q$18,$B$52,0)*Config!$H$25+OFFSET(History!$Q$17,$B$52,0)*Config!$H$25^2+OFFSET(History!$Q$16,$B$52,0)*Config!$H$25^3+1)^Config!$G$25</f>
        <v>1.7988324926031307E-2</v>
      </c>
      <c r="T29" s="905">
        <f ca="1">($H$47+OFFSET(History!$Q$19,$B$52,0)*Config!$H$25+OFFSET(History!$Q$18,$B$52,0)*Config!$H$25^2+OFFSET(History!$Q$17,$B$52,0)*Config!$H$25^3+1)^Config!$G$25-(OFFSET(History!$Q$19,$B$52,0)+OFFSET(History!$Q$18,$B$52,0)*Config!$H$25+OFFSET(History!$Q$17,$B$52,0)*Config!$H$25^2+OFFSET(History!$Q$16,$B$52,0)*Config!$H$25^3+1)^Config!$G$25</f>
        <v>1.7988324926031307E-2</v>
      </c>
      <c r="U29" s="2"/>
      <c r="V29" s="641">
        <f>'62'!$U$19</f>
        <v>464</v>
      </c>
      <c r="W29" s="642">
        <f>'62'!$W$19</f>
        <v>318</v>
      </c>
      <c r="X29" s="643">
        <f>'62'!$Y$19</f>
        <v>178</v>
      </c>
      <c r="Y29" s="1114"/>
      <c r="AH29" s="1090" t="str">
        <f>Lang!$A$64</f>
        <v>Sales office</v>
      </c>
      <c r="AI29" s="1091"/>
      <c r="AJ29" s="5">
        <f ca="1">C59</f>
        <v>18548.34</v>
      </c>
      <c r="AK29" s="6"/>
      <c r="AL29" s="6"/>
      <c r="AM29" s="7"/>
      <c r="AN29" s="5"/>
      <c r="AO29" s="6"/>
      <c r="AP29" s="6"/>
      <c r="AQ29" s="7"/>
    </row>
    <row r="30" spans="1:43" ht="12.9" customHeight="1" thickBot="1" x14ac:dyDescent="0.3">
      <c r="A30" s="15"/>
      <c r="B30" s="395"/>
      <c r="C30" s="395">
        <v>10</v>
      </c>
      <c r="D30" s="524">
        <v>7.0000000000000007E-2</v>
      </c>
      <c r="E30" s="457">
        <f>'62'!O30</f>
        <v>1</v>
      </c>
      <c r="F30" s="1107" t="str">
        <f>Lang!$A$65</f>
        <v>Required materials</v>
      </c>
      <c r="G30" s="1108"/>
      <c r="H30" s="394">
        <f ca="1">SUM(B2:B5)*1+SUM(C2:C5)*2+SUM(D2:D5)*3-(IF(SUM(B2:B5)&lt;B7,SUM(B2:B5),B7)*1+IF(SUM(C2:C5)&lt;C7,SUM(C2:C5),C7)*2+IF(SUM(D2:D5)&lt;D7,SUM(D2:D5),D7)*3)</f>
        <v>5420.6144989380809</v>
      </c>
      <c r="I30" s="471">
        <f ca="1">H30/'62'!G34</f>
        <v>1.1082834796438521</v>
      </c>
      <c r="O30" s="2"/>
      <c r="Q30" s="3"/>
      <c r="R30" s="3"/>
      <c r="S30" s="3"/>
      <c r="U30" s="2"/>
      <c r="V30" s="2"/>
      <c r="W30" s="8"/>
      <c r="AH30" s="1092"/>
      <c r="AI30" s="1093"/>
      <c r="AJ30" s="5"/>
      <c r="AK30" s="6"/>
      <c r="AL30" s="6"/>
      <c r="AM30" s="7"/>
      <c r="AN30" s="5"/>
      <c r="AO30" s="6"/>
      <c r="AP30" s="6"/>
      <c r="AQ30" s="7"/>
    </row>
    <row r="31" spans="1:43" ht="12.9" customHeight="1" thickBot="1" x14ac:dyDescent="0.3">
      <c r="E31" s="483"/>
      <c r="F31" s="1107" t="str">
        <f>Lang!$A$66</f>
        <v>Materials will remain</v>
      </c>
      <c r="G31" s="1108"/>
      <c r="H31" s="394">
        <f ca="1">I33+H32+H33-H30</f>
        <v>367.93144164275691</v>
      </c>
      <c r="J31" s="1119" t="str">
        <f>Lang!$A$60</f>
        <v>Stocks next quarter</v>
      </c>
      <c r="K31" s="1120"/>
      <c r="L31" s="1121"/>
      <c r="N31" s="1116" t="str">
        <f>Lang!$A$67</f>
        <v>Direct advertising</v>
      </c>
      <c r="O31" s="1117"/>
      <c r="P31" s="1118"/>
      <c r="Q31" s="743"/>
      <c r="R31" s="1128" t="str">
        <f>Lang!$A$68</f>
        <v>Ports</v>
      </c>
      <c r="S31" s="1129"/>
      <c r="T31" s="1130"/>
      <c r="U31" s="2"/>
      <c r="V31" s="1080" t="str">
        <f>IF(X31=4,"Taxes","")</f>
        <v>Taxes</v>
      </c>
      <c r="W31" s="1104"/>
      <c r="X31" s="634">
        <f>IF(X26=4,1,X26+1)</f>
        <v>4</v>
      </c>
      <c r="Y31" s="1114">
        <f>SUM(V32:X34)</f>
        <v>3802</v>
      </c>
      <c r="AG31" s="8"/>
      <c r="AH31" s="1092"/>
      <c r="AI31" s="1093"/>
      <c r="AJ31" s="5"/>
      <c r="AK31" s="6"/>
      <c r="AL31" s="6"/>
      <c r="AM31" s="7"/>
      <c r="AN31" s="5"/>
      <c r="AO31" s="6"/>
      <c r="AP31" s="6"/>
      <c r="AQ31" s="7"/>
    </row>
    <row r="32" spans="1:43" ht="12.9" customHeight="1" thickBot="1" x14ac:dyDescent="0.3">
      <c r="A32" s="1078" t="str">
        <f>Lang!$A$69</f>
        <v>Optimal advertising</v>
      </c>
      <c r="B32" s="1079"/>
      <c r="C32" s="1079"/>
      <c r="D32" s="453">
        <f ca="1">H56*E32/1000</f>
        <v>148.38672</v>
      </c>
      <c r="E32" s="445">
        <v>0.08</v>
      </c>
      <c r="F32" s="1107" t="str">
        <f>Lang!$A$70</f>
        <v>Additional materials</v>
      </c>
      <c r="G32" s="1108"/>
      <c r="H32" s="394">
        <f ca="1">SUM(B2:B5)*1*B22+SUM(C2:C5)*2*C22+SUM(D2:D5)*3*D22-(IF(SUM(B2:B5)&lt;B7,SUM(B2:B5),B7)*1*B22+IF(SUM(C2:C5)&lt;C7,SUM(C2:C5),C7)*2*C22+IF(SUM(D2:D5)&lt;D7,SUM(D2:D5),D7)*3*D22)</f>
        <v>805.54594058083808</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8.2276917872301306E-4</v>
      </c>
      <c r="O32" s="901">
        <f ca="1">Config!M22*(C38+OFFSET(History!C$32,$B$52,0)*Config!$O22+OFFSET(History!C$31,$B$52,0)*Config!$O22^2+OFFSET(History!C$30,$B$52,0)*Config!$O22^3)-Config!M22*(OFFSET(History!C$32,$B$52,0)+OFFSET(History!C$31,$B$52,0)*Config!$O22+OFFSET(History!C$30,$B$52,0)*Config!$O22^2+OFFSET(History!C$29,$B$52,0)*Config!$O22^3)</f>
        <v>0</v>
      </c>
      <c r="P32" s="902">
        <f ca="1">Config!N22*(D38+OFFSET(History!D$32,$B$52,0)*Config!$O22+OFFSET(History!D$31,$B$52,0)*Config!$O22^2+OFFSET(History!D$30,$B$52,0)*Config!$O22^3)-Config!N22*(OFFSET(History!D$32,$B$52,0)+OFFSET(History!D$31,$B$52,0)*Config!$O22+OFFSET(History!D$30,$B$52,0)*Config!$O22^2+OFFSET(History!D$29,$B$52,0)*Config!$O22^3)</f>
        <v>-1.5858639043268299E-2</v>
      </c>
      <c r="Q32" s="113"/>
      <c r="R32" s="900"/>
      <c r="S32" s="901"/>
      <c r="T32" s="902"/>
      <c r="U32" s="2"/>
      <c r="V32" s="638">
        <f>'72'!$U$17</f>
        <v>1178</v>
      </c>
      <c r="W32" s="639">
        <f>'72'!$W$17</f>
        <v>717</v>
      </c>
      <c r="X32" s="640">
        <f>'72'!$Y$17</f>
        <v>392</v>
      </c>
      <c r="Y32" s="1114"/>
      <c r="AH32" s="1094"/>
      <c r="AI32" s="1095"/>
      <c r="AJ32" s="9"/>
      <c r="AK32" s="10"/>
      <c r="AL32" s="10"/>
      <c r="AM32" s="11"/>
      <c r="AN32" s="9"/>
      <c r="AO32" s="10"/>
      <c r="AP32" s="10"/>
      <c r="AQ32" s="11"/>
    </row>
    <row r="33" spans="1:43" ht="12.9" customHeight="1" x14ac:dyDescent="0.25">
      <c r="A33" s="433">
        <f ca="1">SUM(AK2:AM2)/SUM($AK$2:$AM$4)*SUM($A$38:$A$40)</f>
        <v>31.277607591838407</v>
      </c>
      <c r="B33" s="434">
        <f t="shared" ref="B33:D35" ca="1" si="11">AK2/SUM($AK$2:$AM$4)*$D$32</f>
        <v>30.910720000000001</v>
      </c>
      <c r="C33" s="434">
        <f t="shared" ca="1" si="11"/>
        <v>29.282399999999999</v>
      </c>
      <c r="D33" s="438">
        <f t="shared" ca="1" si="11"/>
        <v>24.192</v>
      </c>
      <c r="F33" s="888" t="str">
        <f>Lang!$A$71</f>
        <v>Spot - 1, 2, 3, 4, 5</v>
      </c>
      <c r="G33" s="62">
        <f ca="1">OFFSET(History!N45,$B52,)</f>
        <v>79567</v>
      </c>
      <c r="H33" s="429">
        <v>3000</v>
      </c>
      <c r="I33" s="457">
        <f>'62'!G35+'62'!G37+'62'!G38</f>
        <v>1983</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1.09959858918127E-3</v>
      </c>
      <c r="O33" s="901">
        <f ca="1">Config!M23*(C39+OFFSET(History!G$32,$B$52,0)*Config!$O23+OFFSET(History!G$31,$B$52,0)*Config!$O23^2+OFFSET(History!G$30,$B$52,0)*Config!$O23^3)-Config!M23*(OFFSET(History!G$32,$B$52,0)+OFFSET(History!G$31,$B$52,0)*Config!$O23+OFFSET(History!G$30,$B$52,0)*Config!$O23^2+OFFSET(History!G$29,$B$52,0)*Config!$O23^3)</f>
        <v>3.448557219111914E-3</v>
      </c>
      <c r="P33" s="902">
        <f ca="1">Config!N23*(D39+OFFSET(History!H$32,$B$52,0)*Config!$O23+OFFSET(History!H$31,$B$52,0)*Config!$O23^2+OFFSET(History!H$30,$B$52,0)*Config!$O23^3)-Config!N23*(OFFSET(History!H$32,$B$52,0)+OFFSET(History!H$31,$B$52,0)*Config!$O23+OFFSET(History!H$30,$B$52,0)*Config!$O23^2+OFFSET(History!H$29,$B$52,0)*Config!$O23^3)</f>
        <v>3.448557219111914E-3</v>
      </c>
      <c r="Q33" s="113"/>
      <c r="R33" s="900"/>
      <c r="S33" s="901"/>
      <c r="T33" s="902"/>
      <c r="U33" s="2"/>
      <c r="V33" s="638">
        <f>'72'!$U$18</f>
        <v>113</v>
      </c>
      <c r="W33" s="639">
        <f>'72'!$W$18</f>
        <v>126</v>
      </c>
      <c r="X33" s="640">
        <f>'72'!$Y$18</f>
        <v>63</v>
      </c>
      <c r="Y33" s="1114"/>
      <c r="AH33" s="1082" t="str">
        <f>Lang!$A$223</f>
        <v>Guarantee servicing</v>
      </c>
      <c r="AI33" s="1083"/>
      <c r="AJ33" s="5"/>
      <c r="AK33" s="6">
        <f ca="1">B6*60</f>
        <v>1932.0000000000002</v>
      </c>
      <c r="AL33" s="6">
        <f ca="1">C6*150</f>
        <v>1680</v>
      </c>
      <c r="AM33" s="7">
        <f ca="1">D6*250</f>
        <v>1650</v>
      </c>
      <c r="AN33" s="5"/>
      <c r="AO33" s="6"/>
      <c r="AP33" s="6"/>
      <c r="AQ33" s="7"/>
    </row>
    <row r="34" spans="1:43" ht="12.9" customHeight="1" thickBot="1" x14ac:dyDescent="0.3">
      <c r="A34" s="433">
        <f ca="1">SUM(AK3:AM3)/SUM($AK$2:$AM$4)*SUM($A$38:$A$40)</f>
        <v>4.3336762211604922</v>
      </c>
      <c r="B34" s="434">
        <f t="shared" ca="1" si="11"/>
        <v>3.0735999999999999</v>
      </c>
      <c r="C34" s="434">
        <f t="shared" ca="1" si="11"/>
        <v>4.9392000000000005</v>
      </c>
      <c r="D34" s="438">
        <f t="shared" ca="1" si="11"/>
        <v>3.6792000000000007</v>
      </c>
      <c r="F34" s="13" t="str">
        <f>Lang!$A$72</f>
        <v>3 mth - 1, 2, 3, 4</v>
      </c>
      <c r="G34" s="62">
        <f ca="1">OFFSET(History!O45,$B52,)</f>
        <v>75192</v>
      </c>
      <c r="H34" s="429">
        <v>4000</v>
      </c>
      <c r="I34" s="457">
        <f>'62'!G39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1.8899306161098695E-3</v>
      </c>
      <c r="O34" s="904">
        <f ca="1">Config!M24*(C40+OFFSET(History!K$32,$B$52,0)*Config!$O24+OFFSET(History!K$31,$B$52,0)*Config!$O24^2+OFFSET(History!K$30,$B$52,0)*Config!$O24^3)-Config!M24*(OFFSET(History!K$32,$B$52,0)+OFFSET(History!K$31,$B$52,0)*Config!$O24+OFFSET(History!K$30,$B$52,0)*Config!$O24^2+OFFSET(History!K$29,$B$52,0)*Config!$O24^3)</f>
        <v>4.238889246040517E-3</v>
      </c>
      <c r="P34" s="905">
        <f ca="1">Config!N24*(D40+OFFSET(History!L$32,$B$52,0)*Config!$O24+OFFSET(History!L$31,$B$52,0)*Config!$O24^2+OFFSET(History!L$30,$B$52,0)*Config!$O24^3)-Config!N24*(OFFSET(History!L$32,$B$52,0)+OFFSET(History!L$31,$B$52,0)*Config!$O24+OFFSET(History!L$30,$B$52,0)*Config!$O24^2+OFFSET(History!L$29,$B$52,0)*Config!$O24^3)</f>
        <v>4.238889246040517E-3</v>
      </c>
      <c r="Q34" s="113"/>
      <c r="R34" s="903"/>
      <c r="S34" s="904"/>
      <c r="T34" s="905"/>
      <c r="U34" s="2"/>
      <c r="V34" s="641">
        <f>'72'!$U$19</f>
        <v>584</v>
      </c>
      <c r="W34" s="642">
        <f>'72'!$W$19</f>
        <v>395</v>
      </c>
      <c r="X34" s="643">
        <f>'72'!$Y$19</f>
        <v>234</v>
      </c>
      <c r="Y34" s="1114"/>
      <c r="AH34" s="1084"/>
      <c r="AI34" s="1085"/>
      <c r="AJ34" s="5"/>
      <c r="AK34" s="6"/>
      <c r="AL34" s="6"/>
      <c r="AM34" s="7"/>
      <c r="AN34" s="5"/>
      <c r="AO34" s="6"/>
      <c r="AP34" s="6"/>
      <c r="AQ34" s="7"/>
    </row>
    <row r="35" spans="1:43" ht="12.9" customHeight="1" thickBot="1" x14ac:dyDescent="0.3">
      <c r="A35" s="437">
        <f ca="1">SUM(AK4:AM4)/SUM($AK$2:$AM$4)*SUM($A$38:$A$40)</f>
        <v>19.388716187001101</v>
      </c>
      <c r="B35" s="436">
        <f t="shared" ca="1" si="11"/>
        <v>17.753599999999995</v>
      </c>
      <c r="C35" s="436">
        <f t="shared" ca="1" si="11"/>
        <v>18.644000000000002</v>
      </c>
      <c r="D35" s="435">
        <f t="shared" ca="1" si="11"/>
        <v>15.912000000000004</v>
      </c>
      <c r="F35" s="15" t="str">
        <f>Lang!$A$73</f>
        <v>6 mth - 1, 2, 3</v>
      </c>
      <c r="G35" s="651">
        <f ca="1">OFFSET(History!P45,$B52,)</f>
        <v>71611</v>
      </c>
      <c r="H35" s="432">
        <v>4000</v>
      </c>
      <c r="J35" s="445">
        <v>0</v>
      </c>
      <c r="K35" s="445">
        <v>0</v>
      </c>
      <c r="L35" s="445">
        <v>0</v>
      </c>
      <c r="N35" s="2"/>
      <c r="O35" s="2"/>
      <c r="P35" s="2"/>
      <c r="Q35" s="3"/>
      <c r="S35" s="2"/>
      <c r="T35" s="2"/>
      <c r="U35" s="2"/>
      <c r="V35" s="2"/>
      <c r="W35" s="8"/>
      <c r="AH35" s="1084"/>
      <c r="AI35" s="1085"/>
      <c r="AJ35" s="5"/>
      <c r="AK35" s="6"/>
      <c r="AL35" s="6"/>
      <c r="AM35" s="7"/>
      <c r="AN35" s="5"/>
      <c r="AO35" s="6"/>
      <c r="AP35" s="6"/>
      <c r="AQ35" s="7"/>
    </row>
    <row r="36" spans="1:43" ht="12.9" customHeight="1" thickBot="1" x14ac:dyDescent="0.3">
      <c r="E36" s="3"/>
      <c r="F36" s="1115">
        <f ca="1">F28+J42*J37+J43*J38+J44*J39+K42*K37+K43*K38+K44*K39+L42*L37+L43*L38+L44*L39</f>
        <v>216702.00514655875</v>
      </c>
      <c r="G36" s="1115"/>
      <c r="H36" s="1115"/>
      <c r="I36" s="32"/>
      <c r="J36" s="1080" t="str">
        <f>Lang!$A$60</f>
        <v>Stocks next quarter</v>
      </c>
      <c r="K36" s="1081"/>
      <c r="L36" s="1103"/>
      <c r="N36" s="1116" t="str">
        <f>Lang!$A$74</f>
        <v>Prices</v>
      </c>
      <c r="O36" s="1117"/>
      <c r="P36" s="1118"/>
      <c r="Q36" s="947"/>
      <c r="R36" s="1080" t="str">
        <f>Lang!$A$75</f>
        <v>Web-site development</v>
      </c>
      <c r="S36" s="1081"/>
      <c r="T36" s="1103"/>
      <c r="U36" s="2"/>
      <c r="V36" s="1080" t="str">
        <f>IF(X36=4,"Taxes","")</f>
        <v/>
      </c>
      <c r="W36" s="1104"/>
      <c r="X36" s="634">
        <f>IF(X31=4,1,X31+1)</f>
        <v>1</v>
      </c>
      <c r="Y36" s="1114">
        <f>SUM(V37:X39)</f>
        <v>4965</v>
      </c>
      <c r="AH36" s="1086"/>
      <c r="AI36" s="1087"/>
      <c r="AJ36" s="9"/>
      <c r="AK36" s="10"/>
      <c r="AL36" s="10"/>
      <c r="AM36" s="11"/>
      <c r="AN36" s="9"/>
      <c r="AO36" s="10"/>
      <c r="AP36" s="10"/>
      <c r="AQ36" s="11"/>
    </row>
    <row r="37" spans="1:43" ht="12.9" customHeight="1" x14ac:dyDescent="0.25">
      <c r="A37" s="1080" t="str">
        <f>Lang!$A$38</f>
        <v>Advertising</v>
      </c>
      <c r="B37" s="1081"/>
      <c r="C37" s="1081"/>
      <c r="D37" s="453">
        <f>SUM(B38:D40)</f>
        <v>52</v>
      </c>
      <c r="F37" s="1080" t="str">
        <f>Lang!$A$76</f>
        <v>Operations</v>
      </c>
      <c r="G37" s="1081"/>
      <c r="H37" s="1103"/>
      <c r="J37" s="385">
        <f t="shared" ref="J37:L39" ca="1" si="12">B2+J2*(1-B$18)-J7-J12</f>
        <v>60</v>
      </c>
      <c r="K37" s="386">
        <f t="shared" ca="1" si="12"/>
        <v>43</v>
      </c>
      <c r="L37" s="387">
        <f t="shared" ca="1" si="12"/>
        <v>25</v>
      </c>
      <c r="M37" s="448">
        <f ca="1">SUM(J37:L37)/SUM(J12:L12)</f>
        <v>5.5968517708788808E-2</v>
      </c>
      <c r="N37" s="900">
        <f ca="1">((Config!J12/J42)-(Config!J12/J47))*(100-'1'!B43)/(100-Config!M27)</f>
        <v>0</v>
      </c>
      <c r="O37" s="901">
        <f ca="1">((Config!K12/K42)-(Config!K12/K47))*(100-'1'!C43)/(100-Config!N27)</f>
        <v>0</v>
      </c>
      <c r="P37" s="902">
        <f ca="1">((Config!L12/L42)-(Config!L12/L47))*(100-'1'!D43)/(100-Config!O27)</f>
        <v>0</v>
      </c>
      <c r="Q37" s="743"/>
      <c r="R37" s="900"/>
      <c r="S37" s="901"/>
      <c r="T37" s="902"/>
      <c r="U37" s="2"/>
      <c r="V37" s="638">
        <f>'82'!$U$17</f>
        <v>1093</v>
      </c>
      <c r="W37" s="639">
        <f>'82'!$W$17</f>
        <v>701</v>
      </c>
      <c r="X37" s="640">
        <f>'82'!$Y$17</f>
        <v>363</v>
      </c>
      <c r="Y37" s="1114"/>
      <c r="AH37" s="1082" t="str">
        <f>Lang!$A$77</f>
        <v>Transport</v>
      </c>
      <c r="AI37" s="1083"/>
      <c r="AJ37" s="5"/>
      <c r="AK37" s="6"/>
      <c r="AL37" s="6"/>
      <c r="AM37" s="7"/>
      <c r="AN37" s="5"/>
      <c r="AO37" s="6"/>
      <c r="AP37" s="6"/>
      <c r="AQ37" s="7"/>
    </row>
    <row r="38" spans="1:43" ht="12.9" customHeight="1" x14ac:dyDescent="0.25">
      <c r="A38" s="427">
        <v>20</v>
      </c>
      <c r="B38" s="428">
        <v>6</v>
      </c>
      <c r="C38" s="428">
        <v>5</v>
      </c>
      <c r="D38" s="429">
        <v>5</v>
      </c>
      <c r="E38" s="457">
        <f>SUM(A38:D38)</f>
        <v>36</v>
      </c>
      <c r="F38" s="1122" t="str">
        <f>Lang!$A$78</f>
        <v>Share price</v>
      </c>
      <c r="G38" s="1123"/>
      <c r="H38" s="484">
        <f ca="1">IF('61'!$O$5&gt;0,OFFSET('64'!E35,,'61'!$O$5),'64'!F35)</f>
        <v>98.54</v>
      </c>
      <c r="I38" s="483"/>
      <c r="J38" s="385">
        <f t="shared" ca="1" si="12"/>
        <v>3</v>
      </c>
      <c r="K38" s="386">
        <f t="shared" ca="1" si="12"/>
        <v>6</v>
      </c>
      <c r="L38" s="387">
        <f t="shared" ca="1" si="12"/>
        <v>2.9999999999999929</v>
      </c>
      <c r="M38" s="448">
        <f ca="1">SUM(J38:L38)/SUM(J13:L13)</f>
        <v>3.9735099337748318E-2</v>
      </c>
      <c r="N38" s="900">
        <f ca="1">((Config!J13/J43)-(Config!J13/J48))*(100-'1'!B44)/(100-Config!M28)</f>
        <v>0</v>
      </c>
      <c r="O38" s="901">
        <f ca="1">((Config!K13/K43)-(Config!K13/K48))*(100-'1'!C44)/(100-Config!N28)</f>
        <v>0</v>
      </c>
      <c r="P38" s="902">
        <f ca="1">((Config!L13/L43)-(Config!L13/L48))*(100-'1'!D44)/(100-Config!O28)</f>
        <v>0</v>
      </c>
      <c r="Q38" s="743"/>
      <c r="R38" s="900"/>
      <c r="S38" s="901"/>
      <c r="T38" s="902"/>
      <c r="U38" s="2"/>
      <c r="V38" s="638">
        <f>'82'!$U$18</f>
        <v>595</v>
      </c>
      <c r="W38" s="639">
        <f>'82'!$W$18</f>
        <v>362</v>
      </c>
      <c r="X38" s="640">
        <f>'82'!$Y$18</f>
        <v>190</v>
      </c>
      <c r="Y38" s="1114"/>
      <c r="Z38" s="23"/>
      <c r="AA38" s="23"/>
      <c r="AB38" s="23"/>
      <c r="AH38" s="1084"/>
      <c r="AI38" s="1085"/>
      <c r="AJ38" s="5"/>
      <c r="AK38" s="6"/>
      <c r="AL38" s="6"/>
      <c r="AM38" s="7"/>
      <c r="AN38" s="5">
        <f ca="1">CEILING(E2,1)*CEILING('62'!M36/400,1)*650</f>
        <v>23400</v>
      </c>
      <c r="AO38" s="6"/>
      <c r="AP38" s="6"/>
      <c r="AQ38" s="7"/>
    </row>
    <row r="39" spans="1:43" ht="12.9" customHeight="1" thickBot="1" x14ac:dyDescent="0.3">
      <c r="A39" s="427">
        <v>15</v>
      </c>
      <c r="B39" s="428">
        <v>6</v>
      </c>
      <c r="C39" s="428">
        <v>6</v>
      </c>
      <c r="D39" s="429">
        <v>6</v>
      </c>
      <c r="E39" s="457">
        <f>SUM(A39:D39)</f>
        <v>33</v>
      </c>
      <c r="F39" s="1096" t="str">
        <f>Lang!$A$79</f>
        <v>Exchange rate</v>
      </c>
      <c r="G39" s="1097"/>
      <c r="H39" s="485">
        <f ca="1">OFFSET(History!Q45,$B52,)</f>
        <v>0.83</v>
      </c>
      <c r="I39" s="483"/>
      <c r="J39" s="388">
        <f t="shared" ca="1" si="12"/>
        <v>48.000000000000114</v>
      </c>
      <c r="K39" s="389">
        <f t="shared" ca="1" si="12"/>
        <v>32</v>
      </c>
      <c r="L39" s="390">
        <f t="shared" ca="1" si="12"/>
        <v>18.999999999999943</v>
      </c>
      <c r="M39" s="448">
        <f ca="1">SUM(J39:L39)/SUM(J14:L14)</f>
        <v>8.1615828524319908E-2</v>
      </c>
      <c r="N39" s="903">
        <f ca="1">((Config!J14/J44)-(Config!J14/J49))*(100-'1'!B45)/(100-Config!M29)</f>
        <v>0</v>
      </c>
      <c r="O39" s="904">
        <f ca="1">((Config!K14/K44)-(Config!K14/K49))*(100-'1'!C45)/(100-Config!N29)</f>
        <v>0</v>
      </c>
      <c r="P39" s="905">
        <f ca="1">((Config!L14/L44)-(Config!L14/L49))*(100-'1'!D45)/(100-Config!O29)</f>
        <v>0</v>
      </c>
      <c r="Q39" s="743"/>
      <c r="R39" s="903">
        <f ca="1">($H$46+OFFSET(History!$N$58,$B$52,0)*Config!$H$14+OFFSET(History!$N$57,$B$52,0)*Config!$H$14^2+OFFSET(History!$N$56,$B$52,0)*Config!$H$14^3+1)^Config!$G$14-(OFFSET(History!$N$58,$B$52,0)+OFFSET(History!$N$57,$B$52,0)*Config!$H$14+OFFSET(History!$N$56,$B$52,0)*Config!$H$14^2+OFFSET(History!$N$55,$B$52,0)*Config!$H$14^3+1)^Config!$G$14</f>
        <v>-7.0985100911782339E-3</v>
      </c>
      <c r="S39" s="904">
        <f ca="1">($H$46+OFFSET(History!$N$58,$B$52,0)*Config!$H$14+OFFSET(History!$N$57,$B$52,0)*Config!$H$14^2+OFFSET(History!$N$56,$B$52,0)*Config!$H$14^3+1)^Config!$G$14-(OFFSET(History!$N$58,$B$52,0)+OFFSET(History!$N$57,$B$52,0)*Config!$H$14+OFFSET(History!$N$56,$B$52,0)*Config!$H$14^2+OFFSET(History!$N$55,$B$52,0)*Config!$H$14^3+1)^Config!$G$14</f>
        <v>-7.0985100911782339E-3</v>
      </c>
      <c r="T39" s="905">
        <f ca="1">($H$46+OFFSET(History!$N$58,$B$52,0)*Config!$H$14+OFFSET(History!$N$57,$B$52,0)*Config!$H$14^2+OFFSET(History!$N$56,$B$52,0)*Config!$H$14^3+1)^Config!$G$14-(OFFSET(History!$N$58,$B$52,0)+OFFSET(History!$N$57,$B$52,0)*Config!$H$14+OFFSET(History!$N$56,$B$52,0)*Config!$H$14^2+OFFSET(History!$N$55,$B$52,0)*Config!$H$14^3+1)^Config!$G$14</f>
        <v>-7.0985100911782339E-3</v>
      </c>
      <c r="U39" s="2"/>
      <c r="V39" s="641">
        <f>'82'!$U$19</f>
        <v>928</v>
      </c>
      <c r="W39" s="642">
        <f>'82'!$W$19</f>
        <v>479</v>
      </c>
      <c r="X39" s="643">
        <f>'82'!$Y$19</f>
        <v>254</v>
      </c>
      <c r="Y39" s="1114"/>
      <c r="Z39" s="29"/>
      <c r="AA39" s="23"/>
      <c r="AB39" s="23"/>
      <c r="AH39" s="1084"/>
      <c r="AI39" s="1085"/>
      <c r="AJ39" s="5"/>
      <c r="AK39" s="6"/>
      <c r="AL39" s="6"/>
      <c r="AM39" s="7"/>
      <c r="AN39" s="5">
        <f ca="1">CEILING(E3,1)*CEILING('62'!N36/400,1)*650+CEILING(E3,1)*8000</f>
        <v>9300</v>
      </c>
      <c r="AO39" s="6"/>
      <c r="AP39" s="6"/>
      <c r="AQ39" s="7"/>
    </row>
    <row r="40" spans="1:43" ht="12.9" customHeight="1" thickBot="1" x14ac:dyDescent="0.3">
      <c r="A40" s="430">
        <v>20</v>
      </c>
      <c r="B40" s="431">
        <v>6</v>
      </c>
      <c r="C40" s="431">
        <v>6</v>
      </c>
      <c r="D40" s="432">
        <v>6</v>
      </c>
      <c r="E40" s="457">
        <f>SUM(A40:D40)</f>
        <v>38</v>
      </c>
      <c r="F40" s="1096" t="str">
        <f>Lang!$A$80</f>
        <v>Bank base rate</v>
      </c>
      <c r="G40" s="1097"/>
      <c r="H40" s="486">
        <f>'64'!G10</f>
        <v>0.5</v>
      </c>
      <c r="I40" s="483"/>
      <c r="J40" s="448">
        <f ca="1">SUM(J37:J39)/SUM(J12:J14)</f>
        <v>5.9200000000000058E-2</v>
      </c>
      <c r="K40" s="448">
        <f ca="1">SUM(K37:K39)/SUM(K12:K14)</f>
        <v>6.5428109854604205E-2</v>
      </c>
      <c r="L40" s="448">
        <f ca="1">SUM(L37:L39)/SUM(L12:L14)</f>
        <v>6.8214804063860573E-2</v>
      </c>
      <c r="R40" s="107"/>
      <c r="S40" s="3"/>
      <c r="U40" s="2"/>
      <c r="V40" s="2"/>
      <c r="W40" s="8"/>
      <c r="Z40" s="23"/>
      <c r="AA40" s="23"/>
      <c r="AB40" s="23"/>
      <c r="AG40" s="8"/>
      <c r="AH40" s="1086"/>
      <c r="AI40" s="1087"/>
      <c r="AJ40" s="9"/>
      <c r="AK40" s="10"/>
      <c r="AL40" s="10"/>
      <c r="AM40" s="11"/>
      <c r="AN40" s="9">
        <f ca="1">CEILING(E4,1)*CEILING('62'!O36/400,1)*650</f>
        <v>3250</v>
      </c>
      <c r="AO40" s="10"/>
      <c r="AP40" s="10"/>
      <c r="AQ40" s="11"/>
    </row>
    <row r="41" spans="1:43" ht="12.9" customHeight="1" thickBot="1" x14ac:dyDescent="0.3">
      <c r="E41" s="3"/>
      <c r="F41" s="1096" t="str">
        <f>Lang!$A$81</f>
        <v>Issue/repurchase shares</v>
      </c>
      <c r="G41" s="1097"/>
      <c r="H41" s="392">
        <f ca="1">IF($D$1=2,OFFSET(History!$N$72,$B$52,0),OFFSET(Config!$E$20,$B$52,0)*OFFSET(History!$O$71,$B$52-(D52-1),0)/1000)</f>
        <v>0</v>
      </c>
      <c r="I41" s="483"/>
      <c r="J41" s="1100" t="str">
        <f>Lang!$A$74</f>
        <v>Prices</v>
      </c>
      <c r="K41" s="1101"/>
      <c r="L41" s="1102"/>
      <c r="N41" s="1078" t="str">
        <f>Lang!$A$82</f>
        <v>Average prices</v>
      </c>
      <c r="O41" s="1079"/>
      <c r="P41" s="1088"/>
      <c r="R41" s="1116" t="str">
        <f>Lang!$A$83</f>
        <v>Manual correction</v>
      </c>
      <c r="S41" s="1117"/>
      <c r="T41" s="1118"/>
      <c r="U41" s="2"/>
      <c r="V41" s="1080" t="str">
        <f>IF(X41=4,"Taxes","")</f>
        <v/>
      </c>
      <c r="W41" s="1104"/>
      <c r="X41" s="634">
        <f>IF(X36=4,1,X36+1)</f>
        <v>2</v>
      </c>
      <c r="Y41" s="1114">
        <f>SUM(V42:X44)</f>
        <v>0</v>
      </c>
      <c r="AH41" s="1082" t="str">
        <f>Lang!$A$48</f>
        <v>R&amp;D</v>
      </c>
      <c r="AI41" s="1083"/>
      <c r="AJ41" s="5"/>
      <c r="AK41" s="6">
        <f ca="1">B19*1000</f>
        <v>40000</v>
      </c>
      <c r="AL41" s="6">
        <f ca="1">C19*1000</f>
        <v>20000</v>
      </c>
      <c r="AM41" s="7">
        <f ca="1">D19*1000</f>
        <v>18000</v>
      </c>
      <c r="AN41" s="5"/>
      <c r="AO41" s="6"/>
      <c r="AP41" s="6"/>
      <c r="AQ41" s="7"/>
    </row>
    <row r="42" spans="1:43" ht="12.9" customHeight="1" x14ac:dyDescent="0.25">
      <c r="A42" s="1078" t="str">
        <f>Lang!$A$84</f>
        <v>Market shares</v>
      </c>
      <c r="B42" s="1079"/>
      <c r="C42" s="1079"/>
      <c r="D42" s="918">
        <v>5</v>
      </c>
      <c r="E42" s="457">
        <f ca="1">SUM(B43:D45)</f>
        <v>450.51067632850254</v>
      </c>
      <c r="F42" s="1096" t="str">
        <f>Lang!$A$85</f>
        <v>Dividends</v>
      </c>
      <c r="G42" s="1097"/>
      <c r="H42" s="475">
        <v>0</v>
      </c>
      <c r="I42" s="455">
        <f ca="1">OFFSET(Config!$E$7,$B$52,0)</f>
        <v>0</v>
      </c>
      <c r="J42" s="409">
        <v>328</v>
      </c>
      <c r="K42" s="410">
        <v>490</v>
      </c>
      <c r="L42" s="411">
        <v>700</v>
      </c>
      <c r="M42" s="923">
        <f>AVERAGE(J42:L42)/AVERAGE(N47:P47)-1</f>
        <v>7.5343755886225772E-4</v>
      </c>
      <c r="N42" s="421">
        <f>IF(ISNUMBER(AVERAGEIF('74'!F43:M43,"&gt;0")),AVERAGEIF('74'!F43:M43,"&gt;0"),0)</f>
        <v>322.85714285714283</v>
      </c>
      <c r="O42" s="422">
        <f>IF(ISNUMBER(AVERAGEIF('74'!F46:M46,"&gt;0")),AVERAGEIF('74'!F46:M46,"&gt;0"),0)</f>
        <v>497.14285714285717</v>
      </c>
      <c r="P42" s="423">
        <f>IF(ISNUMBER(AVERAGEIF('74'!F49:M49,"&gt;0")),AVERAGEIF('74'!F49:M49,"&gt;0"),0)</f>
        <v>696.42857142857144</v>
      </c>
      <c r="Q42" s="923">
        <f>AVERAGE(N42:P42)/AVERAGE(N47:P47)-1</f>
        <v>-2.8253908457331889E-4</v>
      </c>
      <c r="R42" s="962">
        <v>-0.25</v>
      </c>
      <c r="S42" s="600">
        <v>-0.21</v>
      </c>
      <c r="T42" s="601">
        <v>-0.22</v>
      </c>
      <c r="U42" s="2"/>
      <c r="V42" s="638">
        <f>'92'!$U$17</f>
        <v>0</v>
      </c>
      <c r="W42" s="639">
        <f>'92'!$W$17</f>
        <v>0</v>
      </c>
      <c r="X42" s="640">
        <f>'92'!$Y$17</f>
        <v>0</v>
      </c>
      <c r="Y42" s="1114"/>
      <c r="Z42" s="30"/>
      <c r="AA42" s="30"/>
      <c r="AB42" s="30"/>
      <c r="AH42" s="1084"/>
      <c r="AI42" s="1085"/>
      <c r="AJ42" s="5"/>
      <c r="AK42" s="6"/>
      <c r="AL42" s="6"/>
      <c r="AM42" s="7"/>
      <c r="AN42" s="5"/>
      <c r="AO42" s="6"/>
      <c r="AP42" s="6"/>
      <c r="AQ42" s="7"/>
    </row>
    <row r="43" spans="1:43" ht="12.9" customHeight="1" x14ac:dyDescent="0.25">
      <c r="A43" s="915" t="str">
        <f>Lang!$A$7</f>
        <v>Europe</v>
      </c>
      <c r="B43" s="393">
        <f ca="1">IF($D$1=2,OFFSET(History!A$72,$B$52,0),'1'!B43+(OFFSET(Config!M27,$B$52*3,0)-OFFSET(Config!M27,($B$52-1)*3,0))+IF($D$42&lt;&gt;0,$D$42,0))</f>
        <v>51.341304347826096</v>
      </c>
      <c r="C43" s="393">
        <f ca="1">IF($D$1=2,OFFSET(History!B$72,$B$52,0),'1'!C43+(OFFSET(Config!N27,$B$52*3,0)-OFFSET(Config!N27,($B$52-1)*3,0))+IF($D$42&lt;&gt;0,$D$42,0))</f>
        <v>57.839130434782604</v>
      </c>
      <c r="D43" s="394">
        <f ca="1">IF($D$1=2,OFFSET(History!C$72,$B$52,0),'1'!D43+(OFFSET(Config!O27,$B$52*3,0)-OFFSET(Config!O27,($B$52-1)*3,0))+IF($D$42&lt;&gt;0,$D$42,0))</f>
        <v>70.273913043478274</v>
      </c>
      <c r="F43" s="1096" t="str">
        <f>Lang!$A$86</f>
        <v>Term deposit</v>
      </c>
      <c r="G43" s="1097"/>
      <c r="H43" s="429">
        <v>-500</v>
      </c>
      <c r="I43" s="483"/>
      <c r="J43" s="409">
        <v>340</v>
      </c>
      <c r="K43" s="410">
        <v>490</v>
      </c>
      <c r="L43" s="411">
        <v>730</v>
      </c>
      <c r="M43" s="923">
        <f>AVERAGE(J43:L43)/AVERAGE(N48:P48)-1</f>
        <v>9.2421441774490631E-3</v>
      </c>
      <c r="N43" s="421">
        <f>IF(ISNUMBER(AVERAGEIF('74'!F44:M44,"&gt;0")),AVERAGEIF('74'!F44:M44,"&gt;0"),0)</f>
        <v>335.71428571428572</v>
      </c>
      <c r="O43" s="422">
        <f>IF(ISNUMBER(AVERAGEIF('74'!F47:M47,"&gt;0")),AVERAGEIF('74'!F47:M47,"&gt;0"),0)</f>
        <v>498.57142857142856</v>
      </c>
      <c r="P43" s="423">
        <f>IF(ISNUMBER(AVERAGEIF('74'!F50:M50,"&gt;0")),AVERAGEIF('74'!F50:M50,"&gt;0"),0)</f>
        <v>721.42857142857144</v>
      </c>
      <c r="Q43" s="923">
        <f>AVERAGE(N43:P43)/AVERAGE(N48:P48)-1</f>
        <v>6.4695009242141666E-3</v>
      </c>
      <c r="R43" s="962">
        <v>0.08</v>
      </c>
      <c r="S43" s="600">
        <v>0.05</v>
      </c>
      <c r="T43" s="601">
        <v>0</v>
      </c>
      <c r="U43" s="2"/>
      <c r="V43" s="638">
        <f>'92'!$U$18</f>
        <v>0</v>
      </c>
      <c r="W43" s="639">
        <f>'92'!$W$18</f>
        <v>0</v>
      </c>
      <c r="X43" s="640">
        <f>'92'!$Y$18</f>
        <v>0</v>
      </c>
      <c r="Y43" s="1114"/>
      <c r="AH43" s="1084"/>
      <c r="AI43" s="1085"/>
      <c r="AJ43" s="5"/>
      <c r="AK43" s="6"/>
      <c r="AL43" s="6"/>
      <c r="AM43" s="7"/>
      <c r="AN43" s="5"/>
      <c r="AO43" s="6"/>
      <c r="AP43" s="6"/>
      <c r="AQ43" s="7"/>
    </row>
    <row r="44" spans="1:43" ht="12.9" customHeight="1" thickBot="1" x14ac:dyDescent="0.3">
      <c r="A44" s="915" t="str">
        <f>Lang!$A$9</f>
        <v>Nafta</v>
      </c>
      <c r="B44" s="393">
        <f ca="1">IF($D$1=2,OFFSET(History!D$72,$B$52,0),'1'!B44+(OFFSET(Config!M28,$B$52*3,0)-OFFSET(Config!M28,($B$52-1)*3,0))+IF($D$42&lt;&gt;0,$D$42,0))</f>
        <v>26.760869565217394</v>
      </c>
      <c r="C44" s="393">
        <f ca="1">IF($D$1=2,OFFSET(History!E$72,$B$52,0),'1'!C44+(OFFSET(Config!N28,$B$52*3,0)-OFFSET(Config!N28,($B$52-1)*3,0))+IF($D$42&lt;&gt;0,$D$42,0))</f>
        <v>33.889130434782615</v>
      </c>
      <c r="D44" s="394">
        <f ca="1">IF($D$1=2,OFFSET(History!F$72,$B$52,0),'1'!D44+(OFFSET(Config!O28,$B$52*3,0)-OFFSET(Config!O28,($B$52-1)*3,0))+IF($D$42&lt;&gt;0,$D$42,0))</f>
        <v>40.291111111111121</v>
      </c>
      <c r="F44" s="1096" t="str">
        <f>Lang!$A$87</f>
        <v>Term loans</v>
      </c>
      <c r="G44" s="1097"/>
      <c r="H44" s="429">
        <v>0</v>
      </c>
      <c r="I44" s="483"/>
      <c r="J44" s="412">
        <v>380</v>
      </c>
      <c r="K44" s="413">
        <v>590</v>
      </c>
      <c r="L44" s="414">
        <v>850</v>
      </c>
      <c r="M44" s="923">
        <f>AVERAGE(J44:L44)/AVERAGE(N49:P49)-1</f>
        <v>2.0016012810248229E-2</v>
      </c>
      <c r="N44" s="424">
        <f>IF(ISNUMBER(AVERAGEIF('74'!F45:M45,"&gt;0")),AVERAGEIF('74'!F45:M45,"&gt;0"),0)</f>
        <v>367.14285714285717</v>
      </c>
      <c r="O44" s="425">
        <f>IF(ISNUMBER(AVERAGEIF('74'!F48:M48,"&gt;0")),AVERAGEIF('74'!F48:M48,"&gt;0"),0)</f>
        <v>584.28571428571433</v>
      </c>
      <c r="P44" s="426">
        <f>IF(ISNUMBER(AVERAGEIF('74'!F51:M51,"&gt;0")),AVERAGEIF('74'!F51:M51,"&gt;0"),0)</f>
        <v>815</v>
      </c>
      <c r="Q44" s="923">
        <f>AVERAGE(N44:P44)/AVERAGE(N49:P49)-1</f>
        <v>-1.0008006405123893E-2</v>
      </c>
      <c r="R44" s="963">
        <v>0.8</v>
      </c>
      <c r="S44" s="964">
        <v>0.8</v>
      </c>
      <c r="T44" s="965">
        <v>0.72</v>
      </c>
      <c r="U44" s="2"/>
      <c r="V44" s="641">
        <f>'92'!$U$19</f>
        <v>0</v>
      </c>
      <c r="W44" s="642">
        <f>'92'!$W$19</f>
        <v>0</v>
      </c>
      <c r="X44" s="643">
        <f>'92'!$Y$19</f>
        <v>0</v>
      </c>
      <c r="Y44" s="1114"/>
      <c r="AC44" s="23"/>
      <c r="AD44" s="23"/>
      <c r="AE44" s="23"/>
      <c r="AH44" s="1086"/>
      <c r="AI44" s="1087"/>
      <c r="AJ44" s="9"/>
      <c r="AK44" s="10"/>
      <c r="AL44" s="10"/>
      <c r="AM44" s="11"/>
      <c r="AN44" s="9"/>
      <c r="AO44" s="10"/>
      <c r="AP44" s="10"/>
      <c r="AQ44" s="11"/>
    </row>
    <row r="45" spans="1:43" ht="12.9" customHeight="1" thickBot="1" x14ac:dyDescent="0.3">
      <c r="A45" s="916" t="str">
        <f>Lang!$A$11</f>
        <v>Internet</v>
      </c>
      <c r="B45" s="919">
        <f ca="1">IF($D$1=2,OFFSET(History!G$72,$B$52,0),'1'!B45+(OFFSET(Config!M29,$B$52*3,0)-OFFSET(Config!M29,($B$52-1)*3,0))+IF($D$42&lt;&gt;0,$D$42,0))</f>
        <v>49.26304347826089</v>
      </c>
      <c r="C45" s="919">
        <f ca="1">IF($D$1=2,OFFSET(History!H$72,$B$52,0),'1'!C45+(OFFSET(Config!N29,$B$52*3,0)-OFFSET(Config!N29,($B$52-1)*3,0))+IF($D$42&lt;&gt;0,$D$42,0))</f>
        <v>53.282608695652172</v>
      </c>
      <c r="D45" s="920">
        <f ca="1">IF($D$1=2,OFFSET(History!I$72,$B$52,0),'1'!D45+(OFFSET(Config!O29,$B$52*3,0)-OFFSET(Config!O29,($B$52-1)*3,0))+IF($D$42&lt;&gt;0,$D$42,0))</f>
        <v>67.569565217391329</v>
      </c>
      <c r="E45" s="151"/>
      <c r="F45" s="1105" t="str">
        <f>Lang!$A$68</f>
        <v>Ports</v>
      </c>
      <c r="G45" s="1106"/>
      <c r="H45" s="567">
        <f ca="1">IF($D$1=2,OFFSET(History!$K$59,$B$52,0),I45)</f>
        <v>8</v>
      </c>
      <c r="I45" s="481">
        <f>CEILING(I49*0.0001+6,1)</f>
        <v>8</v>
      </c>
      <c r="J45" s="923">
        <f>AVERAGE(J42:J44)/AVERAGE(N47:N49)-1</f>
        <v>1.9880439316001475E-2</v>
      </c>
      <c r="K45" s="923">
        <f>AVERAGE(K42:K44)/AVERAGE(O47:O49)-1</f>
        <v>2.7372262773723843E-3</v>
      </c>
      <c r="L45" s="923">
        <f>AVERAGE(L42:L44)/AVERAGE(P47:P49)-1</f>
        <v>1.1727416798732238E-2</v>
      </c>
      <c r="M45" s="703"/>
      <c r="N45" s="923">
        <f>AVERAGE(N42:N44)/AVERAGE(N47:N49)-1</f>
        <v>-1.8073126650911542E-3</v>
      </c>
      <c r="O45" s="923">
        <f>AVERAGE(O42:O44)/AVERAGE(O47:O49)-1</f>
        <v>9.124087591240837E-3</v>
      </c>
      <c r="P45" s="923">
        <f>AVERAGE(P42:P44)/AVERAGE(P47:P49)-1</f>
        <v>-9.1917591125196818E-3</v>
      </c>
      <c r="Q45" s="3"/>
      <c r="R45" s="3"/>
      <c r="S45" s="3"/>
      <c r="U45" s="2"/>
      <c r="V45" s="2"/>
      <c r="W45" s="8"/>
      <c r="AC45" s="23"/>
      <c r="AD45" s="23"/>
      <c r="AE45" s="23"/>
      <c r="AH45" s="1082" t="str">
        <f>Lang!$A$75</f>
        <v>Web-site development</v>
      </c>
      <c r="AI45" s="1083"/>
      <c r="AJ45" s="5"/>
      <c r="AK45" s="6"/>
      <c r="AL45" s="6"/>
      <c r="AM45" s="7"/>
      <c r="AN45" s="5"/>
      <c r="AO45" s="6"/>
      <c r="AP45" s="6"/>
      <c r="AQ45" s="7"/>
    </row>
    <row r="46" spans="1:43" ht="12.9" customHeight="1" thickBot="1" x14ac:dyDescent="0.3">
      <c r="F46" s="1107" t="str">
        <f>Lang!$A$75</f>
        <v>Web-site development</v>
      </c>
      <c r="G46" s="1108"/>
      <c r="H46" s="429">
        <v>15</v>
      </c>
      <c r="I46" s="487"/>
      <c r="J46" s="1109" t="str">
        <f>Lang!$A$88</f>
        <v>Prices previous quarter</v>
      </c>
      <c r="K46" s="1110"/>
      <c r="L46" s="1111"/>
      <c r="N46" s="1109" t="str">
        <f>Lang!$A$89</f>
        <v>Average prices previous quarter</v>
      </c>
      <c r="O46" s="1110"/>
      <c r="P46" s="1111"/>
      <c r="Q46" s="3"/>
      <c r="R46" s="1112" t="str">
        <f>Lang!$A$90</f>
        <v>Deviation</v>
      </c>
      <c r="S46" s="1113"/>
      <c r="T46" s="69">
        <v>1</v>
      </c>
      <c r="U46" s="2"/>
      <c r="V46" s="1080" t="str">
        <f>IF(X46=4,"Taxes","")</f>
        <v/>
      </c>
      <c r="W46" s="1104"/>
      <c r="X46" s="634">
        <f>IF(X41=4,1,X41+1)</f>
        <v>3</v>
      </c>
      <c r="Y46" s="1114">
        <f>SUM(V47:X49)</f>
        <v>0</v>
      </c>
      <c r="AC46" s="23"/>
      <c r="AD46" s="23"/>
      <c r="AE46" s="23"/>
      <c r="AH46" s="1084"/>
      <c r="AI46" s="1085"/>
      <c r="AJ46" s="5"/>
      <c r="AK46" s="6"/>
      <c r="AL46" s="6"/>
      <c r="AM46" s="7"/>
      <c r="AN46" s="5"/>
      <c r="AO46" s="6"/>
      <c r="AP46" s="6"/>
      <c r="AQ46" s="7"/>
    </row>
    <row r="47" spans="1:43" ht="12.9" customHeight="1" x14ac:dyDescent="0.25">
      <c r="A47" s="1078" t="str">
        <f>Lang!$A$91</f>
        <v>Variable costs in price</v>
      </c>
      <c r="B47" s="1079"/>
      <c r="C47" s="1079"/>
      <c r="D47" s="1088"/>
      <c r="F47" s="1096" t="str">
        <f>Lang!$A$115</f>
        <v>Management budget</v>
      </c>
      <c r="G47" s="1097"/>
      <c r="H47" s="429">
        <v>90</v>
      </c>
      <c r="I47" s="457">
        <f ca="1">(C71-C70)*0.14/1000</f>
        <v>94.439459380000031</v>
      </c>
      <c r="J47" s="415">
        <f>'61'!F19</f>
        <v>328</v>
      </c>
      <c r="K47" s="416">
        <f>'61'!H19</f>
        <v>490</v>
      </c>
      <c r="L47" s="417">
        <f>'61'!J19</f>
        <v>700</v>
      </c>
      <c r="N47" s="421">
        <f>AVERAGEIF('64'!F43:M43,"&gt;0")</f>
        <v>325.42857142857144</v>
      </c>
      <c r="O47" s="422">
        <f>AVERAGEIF('64'!F46:M46,"&gt;0")</f>
        <v>491.42857142857144</v>
      </c>
      <c r="P47" s="423">
        <f>AVERAGEIF('64'!F49:M49,"&gt;0")</f>
        <v>700</v>
      </c>
      <c r="R47" s="908">
        <f ca="1">IF('62'!U17&gt;0,'72'!U17/'62'!U17-1-N2,0)</f>
        <v>0.21802583588394983</v>
      </c>
      <c r="S47" s="909">
        <f ca="1">IF('62'!W17&gt;0,'72'!W17/'62'!W17-1-O2,0)</f>
        <v>7.2426885832251819E-2</v>
      </c>
      <c r="T47" s="910">
        <f ca="1">IF('62'!Y17&gt;0,'72'!Y17/'62'!Y17-1-P2,0)</f>
        <v>3.6147175970186851E-2</v>
      </c>
      <c r="U47" s="2"/>
      <c r="V47" s="638">
        <f>'102'!$U$17</f>
        <v>0</v>
      </c>
      <c r="W47" s="639">
        <f>'102'!$W$17</f>
        <v>0</v>
      </c>
      <c r="X47" s="640">
        <f>'102'!$Y$17</f>
        <v>0</v>
      </c>
      <c r="Y47" s="1114"/>
      <c r="AH47" s="1084"/>
      <c r="AI47" s="1085"/>
      <c r="AJ47" s="5"/>
      <c r="AK47" s="6"/>
      <c r="AL47" s="6"/>
      <c r="AM47" s="7"/>
      <c r="AN47" s="5"/>
      <c r="AO47" s="6"/>
      <c r="AP47" s="6"/>
      <c r="AQ47" s="7"/>
    </row>
    <row r="48" spans="1:43" ht="12.9" customHeight="1" thickBot="1" x14ac:dyDescent="0.3">
      <c r="A48" s="884" t="str">
        <f>Lang!$A$7</f>
        <v>Europe</v>
      </c>
      <c r="B48" s="449">
        <f ca="1">AO6/(B2*(1+'62'!U$8/'62'!U$6))/J42</f>
        <v>0.55898263151598282</v>
      </c>
      <c r="C48" s="449">
        <f ca="1">AP6/(C2*(1+'62'!W$8/'62'!W$6))/K42</f>
        <v>0.58296435598566276</v>
      </c>
      <c r="D48" s="450">
        <f ca="1">AQ6/(D2*(1+'62'!Y$8/'62'!Y$6))/L42</f>
        <v>0.67607177883593261</v>
      </c>
      <c r="E48" s="448">
        <f ca="1">E49+E50</f>
        <v>0.90634290742114809</v>
      </c>
      <c r="F48" s="1096" t="str">
        <f>Lang!$A$92</f>
        <v>Insurance plan</v>
      </c>
      <c r="G48" s="1097"/>
      <c r="H48" s="392">
        <f ca="1">IF($D$1=2,OFFSET(History!$O$33,$B$52,0),IF(OFFSET(Config!D20,B52,)&gt;('63'!R12+'63'!L18)*0.005,4,0))</f>
        <v>4</v>
      </c>
      <c r="I48" s="483"/>
      <c r="J48" s="415">
        <f>'61'!F20</f>
        <v>340</v>
      </c>
      <c r="K48" s="416">
        <f>'61'!H20</f>
        <v>490</v>
      </c>
      <c r="L48" s="417">
        <f>'61'!J20</f>
        <v>730</v>
      </c>
      <c r="N48" s="421">
        <f>AVERAGEIF('64'!F44:M44,"&gt;0")</f>
        <v>334.28571428571428</v>
      </c>
      <c r="O48" s="422">
        <f>AVERAGEIF('64'!F47:M47,"&gt;0")</f>
        <v>491.42857142857144</v>
      </c>
      <c r="P48" s="423">
        <f>AVERAGEIF('64'!F50:M50,"&gt;0")</f>
        <v>720</v>
      </c>
      <c r="R48" s="908">
        <f ca="1">IF('62'!U18&gt;0,'72'!U18/'62'!U18-1-N3,0)</f>
        <v>-0.56451852710721595</v>
      </c>
      <c r="S48" s="909">
        <f ca="1">IF('62'!W18&gt;0,'72'!W18/'62'!W18-1-O3,0)</f>
        <v>-0.42734976065027325</v>
      </c>
      <c r="T48" s="910">
        <f ca="1">IF('62'!Y18&gt;0,'72'!Y18/'62'!Y18-1-P3,0)</f>
        <v>-0.4034277546856303</v>
      </c>
      <c r="U48" s="2"/>
      <c r="V48" s="638">
        <f>'102'!$U$18</f>
        <v>0</v>
      </c>
      <c r="W48" s="639">
        <f>'102'!$W$18</f>
        <v>0</v>
      </c>
      <c r="X48" s="640">
        <f>'102'!$Y$18</f>
        <v>0</v>
      </c>
      <c r="Y48" s="1114"/>
      <c r="AB48" s="23"/>
      <c r="AC48" s="23"/>
      <c r="AD48" s="23"/>
      <c r="AE48" s="23"/>
      <c r="AH48" s="1086"/>
      <c r="AI48" s="1087"/>
      <c r="AJ48" s="9">
        <f>C62</f>
        <v>15000</v>
      </c>
      <c r="AK48" s="10"/>
      <c r="AL48" s="10"/>
      <c r="AM48" s="11"/>
      <c r="AN48" s="9"/>
      <c r="AO48" s="10"/>
      <c r="AP48" s="10"/>
      <c r="AQ48" s="11"/>
    </row>
    <row r="49" spans="1:43" ht="12.9" customHeight="1" thickBot="1" x14ac:dyDescent="0.3">
      <c r="A49" s="884" t="str">
        <f>Lang!$A$9</f>
        <v>Nafta</v>
      </c>
      <c r="B49" s="449">
        <f ca="1">AO7/(B3*(1+'62'!U$8/'62'!U$6))/J43</f>
        <v>0.64452556852330045</v>
      </c>
      <c r="C49" s="449">
        <f ca="1">AP7/(C3*(1+'62'!W$8/'62'!W$6))/K43</f>
        <v>0.65764564838359318</v>
      </c>
      <c r="D49" s="450">
        <f ca="1">AQ7/(D3*(1+'62'!Y$8/'62'!Y$6))/L43</f>
        <v>0.7250098075523802</v>
      </c>
      <c r="E49" s="448">
        <f ca="1">AN1</f>
        <v>0.58517467260936773</v>
      </c>
      <c r="F49" s="1096" t="str">
        <f>Lang!$A$93</f>
        <v>Corporate activity</v>
      </c>
      <c r="G49" s="1097"/>
      <c r="H49" s="429">
        <v>1</v>
      </c>
      <c r="I49" s="457">
        <f>I50*0.85+A40*500</f>
        <v>19874.449999999997</v>
      </c>
      <c r="J49" s="418">
        <f>'61'!F21</f>
        <v>380</v>
      </c>
      <c r="K49" s="419">
        <f>'61'!H21</f>
        <v>590</v>
      </c>
      <c r="L49" s="420">
        <f>'61'!J21</f>
        <v>850</v>
      </c>
      <c r="N49" s="424">
        <f>AVERAGEIF('64'!F45:M45,"&gt;0")</f>
        <v>367.85714285714283</v>
      </c>
      <c r="O49" s="425">
        <f>AVERAGEIF('64'!F48:M48,"&gt;0")</f>
        <v>582.85714285714289</v>
      </c>
      <c r="P49" s="426">
        <f>AVERAGEIF('64'!F51:M51,"&gt;0")</f>
        <v>833.57142857142856</v>
      </c>
      <c r="R49" s="911">
        <f ca="1">IF('62'!U19&gt;0,'72'!U19/'62'!U19-1-N4,0)</f>
        <v>-0.51714694395722816</v>
      </c>
      <c r="S49" s="912">
        <f ca="1">IF('62'!W19&gt;0,'72'!W19/'62'!W19-1-O4,0)</f>
        <v>-0.50077047942915476</v>
      </c>
      <c r="T49" s="913">
        <f ca="1">IF('62'!Y19&gt;0,'72'!Y19/'62'!Y19-1-P4,0)</f>
        <v>-0.39676400820731328</v>
      </c>
      <c r="U49" s="2"/>
      <c r="V49" s="641">
        <f>'102'!$U$19</f>
        <v>0</v>
      </c>
      <c r="W49" s="642">
        <f>'102'!$W$19</f>
        <v>0</v>
      </c>
      <c r="X49" s="643">
        <f>'102'!$Y$19</f>
        <v>0</v>
      </c>
      <c r="Y49" s="1114"/>
      <c r="AC49" s="23"/>
      <c r="AD49" s="23"/>
      <c r="AE49" s="23"/>
      <c r="AH49" s="1082" t="str">
        <f>Lang!$A$106</f>
        <v>Personnel department</v>
      </c>
      <c r="AI49" s="1083"/>
      <c r="AJ49" s="5">
        <f>C63</f>
        <v>106500</v>
      </c>
      <c r="AK49" s="6"/>
      <c r="AL49" s="6"/>
      <c r="AM49" s="7"/>
      <c r="AN49" s="5"/>
      <c r="AO49" s="6"/>
      <c r="AP49" s="6"/>
      <c r="AQ49" s="7"/>
    </row>
    <row r="50" spans="1:43" ht="12.9" customHeight="1" thickBot="1" x14ac:dyDescent="0.3">
      <c r="A50" s="887" t="str">
        <f>Lang!$A$11</f>
        <v>Internet</v>
      </c>
      <c r="B50" s="451">
        <f ca="1">AO8/(B4*(1+'62'!U$8/'62'!U$6))/J44</f>
        <v>0.49550273760887964</v>
      </c>
      <c r="C50" s="451">
        <f ca="1">AP8/(C4*(1+'62'!W$8/'62'!W$6))/K44</f>
        <v>0.50772084641129267</v>
      </c>
      <c r="D50" s="452">
        <f ca="1">AQ8/(D4*(1+'62'!Y$8/'62'!Y$6))/L44</f>
        <v>0.57883009485465342</v>
      </c>
      <c r="E50" s="448">
        <f ca="1">AN1/AN5*AJ5</f>
        <v>0.32116823481178036</v>
      </c>
      <c r="F50" s="1098" t="str">
        <f>Lang!$A$84</f>
        <v>Market shares</v>
      </c>
      <c r="G50" s="1099"/>
      <c r="H50" s="550">
        <f>IF($D$1=2,'71'!P35,1)</f>
        <v>1</v>
      </c>
      <c r="I50" s="473">
        <f>'62'!G43</f>
        <v>11617</v>
      </c>
      <c r="Q50" s="133"/>
      <c r="R50" s="112"/>
      <c r="U50" s="2"/>
      <c r="AH50" s="1084"/>
      <c r="AI50" s="1085"/>
      <c r="AJ50" s="5"/>
      <c r="AK50" s="6"/>
      <c r="AL50" s="6"/>
      <c r="AM50" s="7"/>
      <c r="AN50" s="5"/>
      <c r="AO50" s="6"/>
      <c r="AP50" s="6"/>
      <c r="AQ50" s="7"/>
    </row>
    <row r="51" spans="1:43" ht="12.9" customHeight="1" x14ac:dyDescent="0.25">
      <c r="F51" s="25"/>
      <c r="G51" s="25"/>
      <c r="H51" s="25"/>
      <c r="J51" s="944"/>
      <c r="K51" s="526"/>
      <c r="L51" s="61"/>
      <c r="N51" s="95"/>
      <c r="O51" s="767"/>
      <c r="P51" s="95"/>
      <c r="R51" s="907"/>
      <c r="S51" s="907"/>
      <c r="T51" s="907"/>
      <c r="V51" s="95"/>
      <c r="W51" s="95"/>
      <c r="X51" s="95"/>
      <c r="AH51" s="1084"/>
      <c r="AI51" s="1085"/>
      <c r="AJ51" s="5"/>
      <c r="AK51" s="6"/>
      <c r="AL51" s="6"/>
      <c r="AM51" s="7"/>
      <c r="AN51" s="5"/>
      <c r="AO51" s="6"/>
      <c r="AP51" s="6"/>
      <c r="AQ51" s="7"/>
    </row>
    <row r="52" spans="1:43" ht="12.9" customHeight="1" thickBot="1" x14ac:dyDescent="0.3">
      <c r="A52" s="3" t="str">
        <f>Lang!$A$94</f>
        <v>Decision</v>
      </c>
      <c r="B52" s="461">
        <v>2</v>
      </c>
      <c r="C52" s="3" t="str">
        <f>Lang!$A$95</f>
        <v>Quarter</v>
      </c>
      <c r="D52" s="462">
        <f>IF('61'!S9=4,1,'61'!S9+1)</f>
        <v>4</v>
      </c>
      <c r="F52" s="25"/>
      <c r="G52" s="25"/>
      <c r="H52" s="25"/>
      <c r="I52" s="150"/>
      <c r="J52" s="944"/>
      <c r="K52" s="944"/>
      <c r="L52" s="944"/>
      <c r="M52" s="3"/>
      <c r="N52" s="95"/>
      <c r="O52" s="95"/>
      <c r="P52" s="95"/>
      <c r="Q52" s="3"/>
      <c r="R52" s="907"/>
      <c r="S52" s="907"/>
      <c r="T52" s="907"/>
      <c r="V52" s="95"/>
      <c r="W52" s="95"/>
      <c r="X52" s="95"/>
      <c r="AH52" s="1086"/>
      <c r="AI52" s="1087"/>
      <c r="AJ52" s="9"/>
      <c r="AK52" s="10"/>
      <c r="AL52" s="10"/>
      <c r="AM52" s="11"/>
      <c r="AN52" s="9"/>
      <c r="AO52" s="10"/>
      <c r="AP52" s="10"/>
      <c r="AQ52" s="11"/>
    </row>
    <row r="53" spans="1:43" ht="12.9" customHeight="1" x14ac:dyDescent="0.25">
      <c r="E53" s="151"/>
      <c r="F53" s="25"/>
      <c r="G53" s="25"/>
      <c r="H53" s="25"/>
      <c r="J53" s="944"/>
      <c r="K53" s="944"/>
      <c r="L53" s="944"/>
      <c r="M53" s="3"/>
      <c r="N53" s="95"/>
      <c r="O53" s="95"/>
      <c r="P53" s="95"/>
      <c r="Q53" s="3"/>
      <c r="R53" s="907"/>
      <c r="S53" s="907"/>
      <c r="T53" s="907"/>
      <c r="V53" s="95"/>
      <c r="W53" s="95"/>
      <c r="X53" s="95"/>
      <c r="AH53" s="1082" t="str">
        <f>Lang!$A$37</f>
        <v>Maintenance hours</v>
      </c>
      <c r="AI53" s="1083"/>
      <c r="AJ53" s="5">
        <f ca="1">C64</f>
        <v>10625</v>
      </c>
      <c r="AK53" s="6"/>
      <c r="AL53" s="6"/>
      <c r="AM53" s="7"/>
      <c r="AN53" s="5"/>
      <c r="AO53" s="6"/>
      <c r="AP53" s="6"/>
      <c r="AQ53" s="7"/>
    </row>
    <row r="54" spans="1:43" ht="12.9" customHeight="1" x14ac:dyDescent="0.25">
      <c r="A54" s="327" t="str">
        <f>Lang!$A$96</f>
        <v>ADMINISTRATIVE EXPENSES</v>
      </c>
      <c r="B54" s="501"/>
      <c r="C54" s="501"/>
      <c r="D54" s="501"/>
      <c r="E54" s="151"/>
      <c r="F54" s="501" t="str">
        <f>Lang!$A$97</f>
        <v>INCOME STATEMENT</v>
      </c>
      <c r="H54" s="501"/>
      <c r="I54" s="20"/>
      <c r="K54" s="501" t="str">
        <f>Lang!$A$98</f>
        <v>BALANCE SHEET</v>
      </c>
      <c r="L54" s="501"/>
      <c r="M54" s="653"/>
      <c r="N54" s="654"/>
      <c r="O54" s="504"/>
      <c r="P54" s="149" t="str">
        <f>Lang!$A$99</f>
        <v>CASH FLOW STATEMENT</v>
      </c>
      <c r="Q54" s="3"/>
      <c r="R54" s="3"/>
      <c r="S54" s="3"/>
      <c r="V54" s="95"/>
      <c r="W54" s="95"/>
      <c r="X54" s="95"/>
      <c r="AH54" s="1084"/>
      <c r="AI54" s="1085"/>
      <c r="AJ54" s="5"/>
      <c r="AK54" s="6"/>
      <c r="AL54" s="6"/>
      <c r="AM54" s="7"/>
      <c r="AN54" s="5"/>
      <c r="AO54" s="6"/>
      <c r="AP54" s="6"/>
      <c r="AQ54" s="7"/>
    </row>
    <row r="55" spans="1:43" ht="12.9" customHeight="1" x14ac:dyDescent="0.25">
      <c r="A55" s="21" t="str">
        <f>Lang!$A$38</f>
        <v>Advertising</v>
      </c>
      <c r="B55" s="20"/>
      <c r="C55" s="19">
        <f>SUM(A38:D40)*1000</f>
        <v>107000</v>
      </c>
      <c r="D55" s="504">
        <f>'73'!F8</f>
        <v>107000</v>
      </c>
      <c r="E55" s="151"/>
      <c r="F55" s="20" t="str">
        <f>Lang!$A$100</f>
        <v>Orders revenue</v>
      </c>
      <c r="H55" s="22">
        <f ca="1">J12*J42+J13*J43+J14*J44+K12*K42+K13*K43+K14*K44+L12*L42+L13*L43+L14*L44</f>
        <v>1812134</v>
      </c>
      <c r="I55" s="151">
        <f ca="1">H56-H55</f>
        <v>42700</v>
      </c>
      <c r="K55" s="501" t="str">
        <f>Lang!$A$153</f>
        <v>Non-current assets</v>
      </c>
      <c r="L55" s="501"/>
      <c r="M55" s="20"/>
      <c r="N55" s="655"/>
      <c r="O55" s="504"/>
      <c r="P55" s="149" t="str">
        <f>Lang!$A$101</f>
        <v>Operating activities</v>
      </c>
      <c r="Q55" s="3"/>
      <c r="R55" s="3"/>
      <c r="S55" s="3"/>
      <c r="V55" s="95"/>
      <c r="W55" s="95"/>
      <c r="X55" s="95"/>
      <c r="AH55" s="1084"/>
      <c r="AI55" s="1085"/>
      <c r="AJ55" s="5"/>
      <c r="AK55" s="6"/>
      <c r="AL55" s="6"/>
      <c r="AM55" s="7"/>
      <c r="AN55" s="5"/>
      <c r="AO55" s="6"/>
      <c r="AP55" s="6"/>
      <c r="AQ55" s="7"/>
    </row>
    <row r="56" spans="1:43" ht="12.9" customHeight="1" thickBot="1" x14ac:dyDescent="0.3">
      <c r="A56" s="21" t="str">
        <f>Lang!$A$47</f>
        <v>Internet distributor</v>
      </c>
      <c r="B56" s="20"/>
      <c r="C56" s="19">
        <f ca="1">(J19*J44+K19*K44+L19*L44)*D30+C30*1000</f>
        <v>55770.9</v>
      </c>
      <c r="D56" s="504">
        <f>'73'!F9</f>
        <v>47031</v>
      </c>
      <c r="E56" s="151"/>
      <c r="F56" s="20" t="str">
        <f>Lang!$A$102</f>
        <v>Sales revenue</v>
      </c>
      <c r="H56" s="19">
        <f ca="1">(J17*J42+K17*K42+L17*L42+J18*J43+K18*K43+L18*L43+J19*J44+K19*K44+L19*L44)+E17</f>
        <v>1854834</v>
      </c>
      <c r="I56" s="504">
        <f>'73'!L8</f>
        <v>1523875</v>
      </c>
      <c r="K56" s="3" t="str">
        <f>Lang!$A$238</f>
        <v>Land</v>
      </c>
      <c r="L56" s="2"/>
      <c r="M56" s="19">
        <f>'63'!R9</f>
        <v>50000</v>
      </c>
      <c r="N56" s="504">
        <f>'73'!R9</f>
        <v>50000</v>
      </c>
      <c r="O56" s="655"/>
      <c r="P56" s="3" t="str">
        <f>Lang!$A$249</f>
        <v>Trading receipts</v>
      </c>
      <c r="Q56" s="3"/>
      <c r="R56" s="19">
        <f ca="1">(J17*J42+K17*K42+L17*L42)*0.34+('61'!F19*'62'!U22+'61'!H19*'62'!W22+'61'!J19*'62'!Y22)*0.66+('61'!F20*'62'!U23+'61'!H20*'62'!W23+'61'!J20*'62'!Y23)+(J19*J44+K19*K44+L19*L44)</f>
        <v>1758157.3599999999</v>
      </c>
      <c r="S56" s="504">
        <f>'73'!X9</f>
        <v>1567504</v>
      </c>
      <c r="V56" s="95"/>
      <c r="W56" s="95"/>
      <c r="X56" s="95"/>
      <c r="AH56" s="1086"/>
      <c r="AI56" s="1087"/>
      <c r="AJ56" s="9"/>
      <c r="AK56" s="10"/>
      <c r="AL56" s="10"/>
      <c r="AM56" s="11"/>
      <c r="AN56" s="9"/>
      <c r="AO56" s="10"/>
      <c r="AP56" s="10"/>
      <c r="AQ56" s="11"/>
    </row>
    <row r="57" spans="1:43" ht="12.9" customHeight="1" x14ac:dyDescent="0.25">
      <c r="A57" s="21" t="str">
        <f>Lang!$A$54</f>
        <v>Internet service provider</v>
      </c>
      <c r="B57" s="20"/>
      <c r="C57" s="19">
        <f ca="1">(J19*J44+K19*K44+L19*L44)*0.03+'62'!G42*1000</f>
        <v>24616.1</v>
      </c>
      <c r="D57" s="504">
        <f>'73'!F10</f>
        <v>20870</v>
      </c>
      <c r="E57" s="151"/>
      <c r="F57" s="20"/>
      <c r="H57" s="22"/>
      <c r="I57" s="504"/>
      <c r="K57" s="20" t="str">
        <f>Lang!$A$239</f>
        <v>Buildings</v>
      </c>
      <c r="L57" s="20"/>
      <c r="M57" s="19">
        <f>'63'!R10+D13*500</f>
        <v>375000</v>
      </c>
      <c r="N57" s="504">
        <f>'73'!R10</f>
        <v>375000</v>
      </c>
      <c r="O57" s="655"/>
      <c r="P57" s="3" t="str">
        <f>Lang!$A$234</f>
        <v>Insurance receipts</v>
      </c>
      <c r="Q57" s="3"/>
      <c r="R57" s="19">
        <f ca="1">H70</f>
        <v>32032.652000000002</v>
      </c>
      <c r="S57" s="504">
        <f>'73'!X10</f>
        <v>40911</v>
      </c>
      <c r="V57" s="95"/>
      <c r="W57" s="95"/>
      <c r="X57" s="95"/>
      <c r="AH57" s="1082" t="str">
        <f>Lang!$A$107</f>
        <v xml:space="preserve">Purchasing and warehousing </v>
      </c>
      <c r="AI57" s="1083"/>
      <c r="AJ57" s="5">
        <f ca="1">C65</f>
        <v>8325.66</v>
      </c>
      <c r="AK57" s="6"/>
      <c r="AL57" s="6"/>
      <c r="AM57" s="7"/>
      <c r="AN57" s="5"/>
      <c r="AO57" s="6"/>
      <c r="AP57" s="6"/>
      <c r="AQ57" s="7"/>
    </row>
    <row r="58" spans="1:43" ht="12.9" customHeight="1" x14ac:dyDescent="0.25">
      <c r="A58" s="379" t="str">
        <f>Lang!$A$58</f>
        <v>Agents and distributors</v>
      </c>
      <c r="B58" s="20"/>
      <c r="C58" s="19">
        <f ca="1">(J12*J42+K12*K42+L12*L42)*MAX('61'!W14/100,D28)+(J18*J43+K18*K43+L18*L43)*MAX('61'!W15/100,D29)+(E28*MAX('61'!T14,C28)+E29*MAX('61'!T15,C29))*1000+((B28+B29)-(E28+E29))*7500</f>
        <v>136578.48000000001</v>
      </c>
      <c r="D58" s="504">
        <f>'73'!F11</f>
        <v>127706</v>
      </c>
      <c r="E58" s="151"/>
      <c r="F58" s="20" t="str">
        <f>Lang!$A$229</f>
        <v>Opening inventory values</v>
      </c>
      <c r="H58" s="19">
        <f>'63'!L18</f>
        <v>307487</v>
      </c>
      <c r="I58" s="504">
        <f>'73'!L10</f>
        <v>307487</v>
      </c>
      <c r="K58" s="2" t="str">
        <f>Lang!$A$240</f>
        <v>Machinery</v>
      </c>
      <c r="L58" s="2"/>
      <c r="M58" s="19">
        <f>IF('62'!G21&gt;0,('63'!R11+H8*300000-'63'!R11/'62'!G21*H9)*0.975,0)</f>
        <v>1303185</v>
      </c>
      <c r="N58" s="504">
        <f>'73'!R11</f>
        <v>1303186</v>
      </c>
      <c r="O58" s="655"/>
      <c r="P58" s="3" t="str">
        <f>Lang!$A$250</f>
        <v>Trading payments</v>
      </c>
      <c r="Q58" s="3"/>
      <c r="R58" s="19">
        <f ca="1">(C71+H59+H60+H63+H62+H61+H64+H65+'63'!R25)-M74</f>
        <v>1928335.9265622194</v>
      </c>
      <c r="S58" s="504">
        <f>'73'!X11</f>
        <v>1831575</v>
      </c>
      <c r="V58" s="95"/>
      <c r="W58" s="95"/>
      <c r="X58" s="95"/>
      <c r="AH58" s="1084"/>
      <c r="AI58" s="1085"/>
      <c r="AJ58" s="5"/>
      <c r="AK58" s="6"/>
      <c r="AL58" s="6"/>
      <c r="AM58" s="7"/>
      <c r="AN58" s="5"/>
      <c r="AO58" s="6"/>
      <c r="AP58" s="6"/>
      <c r="AQ58" s="7"/>
    </row>
    <row r="59" spans="1:43" ht="12.9" customHeight="1" x14ac:dyDescent="0.25">
      <c r="A59" s="21" t="str">
        <f>Lang!$A$64</f>
        <v>Sales office</v>
      </c>
      <c r="B59" s="20"/>
      <c r="C59" s="19">
        <f ca="1">MAX(H55,H56)*0.01</f>
        <v>18548.34</v>
      </c>
      <c r="D59" s="504">
        <f>'73'!F12</f>
        <v>18191</v>
      </c>
      <c r="E59" s="151"/>
      <c r="F59" s="8" t="str">
        <f>Lang!$A$230</f>
        <v>Components purchased</v>
      </c>
      <c r="G59" s="8"/>
      <c r="H59" s="19">
        <f ca="1">B8*ROUND(B10,0)+C8*ROUND(C10,0)+D8*ROUND(D10,0)</f>
        <v>272000</v>
      </c>
      <c r="I59" s="504">
        <f>'73'!L11</f>
        <v>271200</v>
      </c>
      <c r="K59" s="20" t="str">
        <f>Lang!$A$103</f>
        <v>Property, plant and equipment</v>
      </c>
      <c r="L59" s="20"/>
      <c r="M59" s="19">
        <f>SUM(M56:M58)</f>
        <v>1728185</v>
      </c>
      <c r="N59" s="504">
        <f>'73'!R12</f>
        <v>1728186</v>
      </c>
      <c r="O59" s="655"/>
      <c r="P59" s="3" t="str">
        <f>Lang!$A$251</f>
        <v>Tax paid</v>
      </c>
      <c r="Q59" s="3"/>
      <c r="R59" s="19">
        <f>IF(D52=2,'63'!R24,0)</f>
        <v>0</v>
      </c>
      <c r="S59" s="504">
        <f>'73'!X12</f>
        <v>0</v>
      </c>
      <c r="V59" s="95"/>
      <c r="W59" s="95"/>
      <c r="X59" s="95"/>
      <c r="AH59" s="1084"/>
      <c r="AI59" s="1085"/>
      <c r="AJ59" s="5"/>
      <c r="AK59" s="6"/>
      <c r="AL59" s="6"/>
      <c r="AM59" s="7"/>
      <c r="AN59" s="5"/>
      <c r="AO59" s="6"/>
      <c r="AP59" s="6"/>
      <c r="AQ59" s="7"/>
    </row>
    <row r="60" spans="1:43" ht="12.9" customHeight="1" thickBot="1" x14ac:dyDescent="0.3">
      <c r="A60" s="21" t="str">
        <f>Lang!$A$223</f>
        <v>Guarantee servicing</v>
      </c>
      <c r="B60" s="20"/>
      <c r="C60" s="19">
        <f ca="1">B6*60+C6*150+D6*250</f>
        <v>5262</v>
      </c>
      <c r="D60" s="504">
        <f>'73'!F13</f>
        <v>10930</v>
      </c>
      <c r="E60" s="3"/>
      <c r="F60" s="2" t="str">
        <f>Lang!$A$137</f>
        <v>Materials purchased</v>
      </c>
      <c r="H60" s="19">
        <f ca="1">(H32*G33*1.5+IF(H31&lt;0,-H31,0)*G33*1.1+H33*G33+H34*G34+H35*G35)*H39/1000</f>
        <v>765305.90794847347</v>
      </c>
      <c r="I60" s="504">
        <f>'73'!L12</f>
        <v>743953</v>
      </c>
      <c r="L60" s="2"/>
      <c r="M60" s="3"/>
      <c r="N60" s="504"/>
      <c r="O60" s="653"/>
      <c r="P60" s="3" t="str">
        <f>Lang!$A$104</f>
        <v>Net cash flow from operations</v>
      </c>
      <c r="Q60" s="3"/>
      <c r="R60" s="19">
        <f ca="1">R56+R57-R58-R59</f>
        <v>-138145.91456221952</v>
      </c>
      <c r="S60" s="504">
        <f>'73'!X13</f>
        <v>-223160</v>
      </c>
      <c r="V60" s="95"/>
      <c r="W60" s="95"/>
      <c r="X60" s="95"/>
      <c r="AH60" s="1086"/>
      <c r="AI60" s="1087"/>
      <c r="AJ60" s="9"/>
      <c r="AK60" s="10"/>
      <c r="AL60" s="10"/>
      <c r="AM60" s="11"/>
      <c r="AN60" s="9"/>
      <c r="AO60" s="10"/>
      <c r="AP60" s="10"/>
      <c r="AQ60" s="11"/>
    </row>
    <row r="61" spans="1:43" ht="12.9" customHeight="1" x14ac:dyDescent="0.25">
      <c r="A61" s="21" t="str">
        <f>Lang!$A$294</f>
        <v>Product development</v>
      </c>
      <c r="B61" s="20"/>
      <c r="C61" s="19">
        <f ca="1">SUM(B19:D19)*1000</f>
        <v>78000</v>
      </c>
      <c r="D61" s="504">
        <f>'73'!F14</f>
        <v>91000</v>
      </c>
      <c r="E61" s="3"/>
      <c r="F61" s="20" t="str">
        <f>Lang!$A$149</f>
        <v>Machine running costs</v>
      </c>
      <c r="H61" s="19">
        <f ca="1">8*H2+3500*H7+IF(H7=0,0,H11*12500)+SUM(B2:D5)</f>
        <v>81576.900279942362</v>
      </c>
      <c r="I61" s="504">
        <f>'73'!L13</f>
        <v>71747</v>
      </c>
      <c r="K61" s="365" t="str">
        <f>Lang!$A$113</f>
        <v>Current assets</v>
      </c>
      <c r="L61" s="2"/>
      <c r="M61" s="3"/>
      <c r="N61" s="504"/>
      <c r="Q61" s="3"/>
      <c r="R61" s="3"/>
      <c r="S61" s="504"/>
      <c r="V61" s="95"/>
      <c r="W61" s="95"/>
      <c r="X61" s="95"/>
      <c r="AH61" s="1082" t="str">
        <f>Lang!$A$108</f>
        <v>Business intelligence</v>
      </c>
      <c r="AI61" s="1083"/>
      <c r="AJ61" s="5">
        <f>C66</f>
        <v>12500</v>
      </c>
      <c r="AK61" s="6"/>
      <c r="AL61" s="6"/>
      <c r="AM61" s="7"/>
      <c r="AN61" s="5"/>
      <c r="AO61" s="6"/>
      <c r="AP61" s="6"/>
      <c r="AQ61" s="7"/>
    </row>
    <row r="62" spans="1:43" ht="12.9" customHeight="1" x14ac:dyDescent="0.25">
      <c r="A62" s="21" t="str">
        <f>Lang!$A$75</f>
        <v>Web-site development</v>
      </c>
      <c r="B62" s="20"/>
      <c r="C62" s="19">
        <f>H46*1000</f>
        <v>15000</v>
      </c>
      <c r="D62" s="504">
        <f>'73'!F15</f>
        <v>15000</v>
      </c>
      <c r="E62" s="3"/>
      <c r="F62" s="20" t="str">
        <f>Lang!$A$299</f>
        <v>Machinists wages</v>
      </c>
      <c r="H62" s="19">
        <f ca="1">IF(H2&lt;(H24+H25)*360/4,(H24+H25)*360*H27,IF(H2&gt;H4,H27*H5+H27*1.5*(H4-H5)+H27*2*(H2-H4),IF(H2&gt;H5,H27*H5+H27*1.5*(H2-H5),H27*H2))*4)*IF(H11=2,4/3,IF(H11=3,5/3,1))</f>
        <v>195689.50342390063</v>
      </c>
      <c r="I62" s="504">
        <f>'73'!L14</f>
        <v>157247</v>
      </c>
      <c r="J62" s="150"/>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48788.782042033061</v>
      </c>
      <c r="N62" s="504">
        <f>'73'!R15</f>
        <v>22833</v>
      </c>
      <c r="O62" s="8"/>
      <c r="P62" s="149" t="str">
        <f>Lang!$A$105</f>
        <v>Investing activities</v>
      </c>
      <c r="Q62" s="3"/>
      <c r="R62" s="3"/>
      <c r="S62" s="504"/>
      <c r="AH62" s="1084"/>
      <c r="AI62" s="1085"/>
      <c r="AJ62" s="5"/>
      <c r="AK62" s="6"/>
      <c r="AL62" s="6"/>
      <c r="AM62" s="7"/>
      <c r="AN62" s="5"/>
      <c r="AO62" s="6"/>
      <c r="AP62" s="6"/>
      <c r="AQ62" s="7"/>
    </row>
    <row r="63" spans="1:43" ht="12.9" customHeight="1" x14ac:dyDescent="0.25">
      <c r="A63" s="21" t="str">
        <f>Lang!$A$106</f>
        <v>Personnel department</v>
      </c>
      <c r="B63" s="20"/>
      <c r="C63" s="19">
        <f>H21*2000+H22*8500+H23*1000+I24*2000+IF(H25&gt;0,H25*1000)</f>
        <v>106500</v>
      </c>
      <c r="D63" s="504">
        <f>'73'!F16</f>
        <v>106500</v>
      </c>
      <c r="E63" s="150"/>
      <c r="F63" s="20" t="str">
        <f>Lang!$A$298</f>
        <v>Assembly wages</v>
      </c>
      <c r="H63" s="19">
        <f ca="1">IF(H15&gt;H17,H26*H18+H26*1.5*(H17-H18)+H26*2*(H15-H17),IF(H15&gt;H18,H26*H18+H26*1.5*(H15-H18),H26*H15))+IF(I26&lt;I27,(I27-I26)*H20,0)</f>
        <v>168284.20990206656</v>
      </c>
      <c r="I63" s="504">
        <f>'73'!L15</f>
        <v>123738</v>
      </c>
      <c r="K63" s="8" t="str">
        <f>Lang!$A$242</f>
        <v>Component inventories</v>
      </c>
      <c r="L63" s="2"/>
      <c r="M63" s="19">
        <f ca="1">(B8*B10+C8*C10+D8*D10)+OFFSET(History!$M$85,$B$52,0)</f>
        <v>271944</v>
      </c>
      <c r="N63" s="504">
        <f>'73'!R16</f>
        <v>271200</v>
      </c>
      <c r="P63" s="3" t="str">
        <f>Lang!$A$252</f>
        <v>Interest received</v>
      </c>
      <c r="Q63" s="3"/>
      <c r="R63" s="19">
        <f>H73</f>
        <v>812.5</v>
      </c>
      <c r="S63" s="504">
        <f>'73'!X16</f>
        <v>812</v>
      </c>
      <c r="V63" s="617"/>
      <c r="W63" s="617"/>
      <c r="X63" s="617"/>
      <c r="AH63" s="1084"/>
      <c r="AI63" s="1085"/>
      <c r="AJ63" s="5"/>
      <c r="AK63" s="6"/>
      <c r="AL63" s="6"/>
      <c r="AM63" s="7"/>
      <c r="AN63" s="5"/>
      <c r="AO63" s="6"/>
      <c r="AP63" s="6"/>
      <c r="AQ63" s="7"/>
    </row>
    <row r="64" spans="1:43" ht="12.9" customHeight="1" thickBot="1" x14ac:dyDescent="0.3">
      <c r="A64" s="21" t="str">
        <f>Lang!$A$224</f>
        <v>Machine maintenance</v>
      </c>
      <c r="B64" s="20"/>
      <c r="C64" s="19">
        <f ca="1">85*H12*H7+IF(H6&gt;H12*H7,175*(H6-H12*H7),0)</f>
        <v>10625</v>
      </c>
      <c r="D64" s="549">
        <f>'73'!F17</f>
        <v>10625</v>
      </c>
      <c r="E64" s="3"/>
      <c r="F64" s="20" t="str">
        <f>Lang!$A$150</f>
        <v>Quality control</v>
      </c>
      <c r="H64" s="19">
        <f ca="1">SUM(B2:D5)</f>
        <v>3983.1880181718316</v>
      </c>
      <c r="I64" s="504">
        <f>'73'!L16</f>
        <v>3308</v>
      </c>
      <c r="K64" s="2" t="str">
        <f>Lang!$A$243</f>
        <v>Materials inventory</v>
      </c>
      <c r="L64" s="2"/>
      <c r="M64" s="19">
        <f ca="1">(IF(H31&lt;0,0,H31)+H34+I34+H35)/1000*MIN(OFFSET(History!N46:P46,$B52,))*OFFSET(History!Q46,$B52,)*0.9</f>
        <v>440951.61164098181</v>
      </c>
      <c r="N64" s="504">
        <f>'73'!R17</f>
        <v>502714</v>
      </c>
      <c r="O64" s="657"/>
      <c r="P64" s="3" t="str">
        <f>Lang!$A$253</f>
        <v>Asset sales</v>
      </c>
      <c r="Q64" s="3"/>
      <c r="R64" s="19">
        <f>IF('62'!G21=0,0,'63'!R11/'62'!G21*H9)</f>
        <v>0</v>
      </c>
      <c r="S64" s="504">
        <f>'73'!X17</f>
        <v>0</v>
      </c>
      <c r="V64" s="617"/>
      <c r="W64" s="617"/>
      <c r="X64" s="617"/>
      <c r="AH64" s="1086"/>
      <c r="AI64" s="1087"/>
      <c r="AJ64" s="9"/>
      <c r="AK64" s="10"/>
      <c r="AL64" s="10"/>
      <c r="AM64" s="11"/>
      <c r="AN64" s="9"/>
      <c r="AO64" s="10"/>
      <c r="AP64" s="10"/>
      <c r="AQ64" s="11"/>
    </row>
    <row r="65" spans="1:43" ht="12.9" customHeight="1" x14ac:dyDescent="0.25">
      <c r="A65" s="379" t="str">
        <f>Lang!$A$107</f>
        <v xml:space="preserve">Purchasing and warehousing </v>
      </c>
      <c r="B65" s="2"/>
      <c r="C65" s="19">
        <f ca="1">7500+(SUMIF(J37:L37,"&gt;0")+SUM(J2:L2))*3.5/2+(SUMIF(J38:L38,"&gt;0")+SUM(J3:L3))*4*H39/2+(SUMIF(J39:L39,"&gt;0")+SUM(J4:L4))*3.5/2+IF((E7+E9)&lt;0,(E7+E9)*-3,0)</f>
        <v>8325.66</v>
      </c>
      <c r="D65" s="504">
        <f>'73'!F18</f>
        <v>8077</v>
      </c>
      <c r="E65" s="150"/>
      <c r="F65" s="20" t="str">
        <f>Lang!$A$231</f>
        <v>Hired transport</v>
      </c>
      <c r="G65" s="20"/>
      <c r="H65" s="19">
        <f ca="1">(IF($D$1=1,E2,CEILING(E2,1))*CEILING('62'!M36/400,1)+IF($D$1=1,E3,CEILING(E3,1))*CEILING('62'!N36/400,1)+IF($D$1=1,E4,CEILING(E4,1))*CEILING('62'!O36/400,1))*650+IF($D$1=1,E3,CEILING(E3,1))*8000</f>
        <v>35950</v>
      </c>
      <c r="I65" s="504">
        <f>'73'!L17</f>
        <v>39400</v>
      </c>
      <c r="K65" s="2" t="str">
        <f>Lang!$A$155</f>
        <v>Trade receivables</v>
      </c>
      <c r="L65" s="20"/>
      <c r="M65" s="19">
        <f ca="1">'63'!R18+H56-R56</f>
        <v>891807.64000000013</v>
      </c>
      <c r="N65" s="504">
        <f>'73'!R18</f>
        <v>751502</v>
      </c>
      <c r="O65" s="658"/>
      <c r="P65" s="8" t="str">
        <f>Lang!$A$254</f>
        <v>Assets purchased</v>
      </c>
      <c r="Q65" s="8"/>
      <c r="R65" s="19">
        <f>H8*300000+D13*500</f>
        <v>100000</v>
      </c>
      <c r="S65" s="504">
        <f>'73'!X18</f>
        <v>100000</v>
      </c>
      <c r="V65" s="617"/>
      <c r="W65" s="617"/>
      <c r="X65" s="617"/>
      <c r="AH65" s="1082" t="str">
        <f>Lang!$A$110</f>
        <v>Credit control</v>
      </c>
      <c r="AI65" s="1083"/>
      <c r="AJ65" s="5"/>
      <c r="AK65" s="6"/>
      <c r="AL65" s="6"/>
      <c r="AM65" s="7"/>
      <c r="AN65" s="5"/>
      <c r="AO65" s="6"/>
      <c r="AP65" s="6"/>
      <c r="AQ65" s="7"/>
    </row>
    <row r="66" spans="1:43" ht="12.9" customHeight="1" x14ac:dyDescent="0.25">
      <c r="A66" s="21" t="str">
        <f>Lang!$A$108</f>
        <v>Business intelligence</v>
      </c>
      <c r="B66" s="20"/>
      <c r="C66" s="19">
        <f>7500*H49+5000*H50</f>
        <v>12500</v>
      </c>
      <c r="D66" s="504">
        <f>'73'!F19</f>
        <v>12500</v>
      </c>
      <c r="E66" s="151"/>
      <c r="F66" s="554" t="str">
        <f>Lang!$A$232</f>
        <v>Less closing inventory values</v>
      </c>
      <c r="H66" s="19">
        <f ca="1">M62+M63+M64</f>
        <v>761684.3936830149</v>
      </c>
      <c r="I66" s="504">
        <f>'73'!L18</f>
        <v>796747</v>
      </c>
      <c r="K66" s="20" t="str">
        <f>Lang!$A$244</f>
        <v>Cash</v>
      </c>
      <c r="L66" s="20"/>
      <c r="M66" s="19">
        <f ca="1">IF(R84&gt;0,R84,0)</f>
        <v>626109.58543778048</v>
      </c>
      <c r="N66" s="1089">
        <f>'73'!R19</f>
        <v>1191095</v>
      </c>
      <c r="O66" s="660">
        <f ca="1">(M66+M67-M75)/M80</f>
        <v>0.32351856149348629</v>
      </c>
      <c r="P66" s="3" t="str">
        <f>Lang!$A$109</f>
        <v>Net cash flow from investing</v>
      </c>
      <c r="Q66" s="3"/>
      <c r="R66" s="19">
        <f>R63+R64-R65</f>
        <v>-99187.5</v>
      </c>
      <c r="S66" s="504">
        <f>'73'!X19</f>
        <v>-99188</v>
      </c>
      <c r="AH66" s="1084"/>
      <c r="AI66" s="1085"/>
      <c r="AJ66" s="5"/>
      <c r="AK66" s="6"/>
      <c r="AL66" s="6"/>
      <c r="AM66" s="7"/>
      <c r="AN66" s="5"/>
      <c r="AO66" s="6">
        <f t="shared" ref="AO66:AQ68" ca="1" si="13">J17</f>
        <v>1178</v>
      </c>
      <c r="AP66" s="6">
        <f t="shared" ca="1" si="13"/>
        <v>747</v>
      </c>
      <c r="AQ66" s="7">
        <f t="shared" ca="1" si="13"/>
        <v>432</v>
      </c>
    </row>
    <row r="67" spans="1:43" ht="12.9" customHeight="1" x14ac:dyDescent="0.25">
      <c r="A67" s="21" t="str">
        <f>Lang!$A$110</f>
        <v>Credit control</v>
      </c>
      <c r="B67" s="20"/>
      <c r="C67" s="19">
        <f ca="1">SUM(J17:L19)</f>
        <v>3872</v>
      </c>
      <c r="D67" s="504">
        <f>'73'!F20</f>
        <v>3241</v>
      </c>
      <c r="E67" s="151"/>
      <c r="F67" s="20" t="str">
        <f>Lang!$A$111</f>
        <v>Cost of sales</v>
      </c>
      <c r="H67" s="19">
        <f ca="1">SUM(H58:H65)-H66</f>
        <v>1068592.3158895399</v>
      </c>
      <c r="I67" s="504">
        <f>'73'!L19</f>
        <v>921333</v>
      </c>
      <c r="K67" s="3" t="str">
        <f>Lang!$A$245</f>
        <v>Cash equivalents</v>
      </c>
      <c r="M67" s="19">
        <f>'63'!X32+H43*1000</f>
        <v>650000</v>
      </c>
      <c r="N67" s="1089"/>
      <c r="O67" s="660">
        <f>H40/100</f>
        <v>5.0000000000000001E-3</v>
      </c>
      <c r="Q67" s="3"/>
      <c r="R67" s="3"/>
      <c r="S67" s="504"/>
      <c r="AH67" s="1084"/>
      <c r="AI67" s="1085"/>
      <c r="AJ67" s="5"/>
      <c r="AK67" s="6"/>
      <c r="AL67" s="6"/>
      <c r="AM67" s="7"/>
      <c r="AN67" s="5"/>
      <c r="AO67" s="6">
        <f t="shared" ca="1" si="13"/>
        <v>113</v>
      </c>
      <c r="AP67" s="6">
        <f t="shared" ca="1" si="13"/>
        <v>126</v>
      </c>
      <c r="AQ67" s="7">
        <f t="shared" ca="1" si="13"/>
        <v>63.000000000000007</v>
      </c>
    </row>
    <row r="68" spans="1:43" ht="12.9" customHeight="1" thickBot="1" x14ac:dyDescent="0.3">
      <c r="A68" s="21" t="str">
        <f>Lang!$A$225</f>
        <v>Insurance premiums</v>
      </c>
      <c r="B68" s="20"/>
      <c r="C68" s="19">
        <f ca="1">('63'!R12+'63'!L18)*(IF(H48=4,0.001,IF(H48=3,0.002,IF(H48=2,0.0035,IF(H48=1,0.006,0)))))</f>
        <v>1969.087</v>
      </c>
      <c r="D68" s="504">
        <f>'73'!F21</f>
        <v>11814</v>
      </c>
      <c r="E68" s="151"/>
      <c r="F68" s="73" t="str">
        <f>Lang!$A$112</f>
        <v>Gross profit</v>
      </c>
      <c r="G68" s="73"/>
      <c r="H68" s="331">
        <f ca="1">H56-H67</f>
        <v>786241.6841104601</v>
      </c>
      <c r="I68" s="652">
        <f>'73'!L20</f>
        <v>602542</v>
      </c>
      <c r="K68" s="3" t="str">
        <f>Lang!$A$113</f>
        <v>Current assets</v>
      </c>
      <c r="L68" s="20"/>
      <c r="M68" s="19">
        <f ca="1">SUM(M62:M67)</f>
        <v>2929601.6191207953</v>
      </c>
      <c r="N68" s="504">
        <f>'73'!R20</f>
        <v>2739344</v>
      </c>
      <c r="O68" s="658"/>
      <c r="P68" s="149" t="str">
        <f>Lang!$A$114</f>
        <v>Financing activities</v>
      </c>
      <c r="Q68" s="3"/>
      <c r="R68" s="3"/>
      <c r="S68" s="504"/>
      <c r="AH68" s="1086"/>
      <c r="AI68" s="1087"/>
      <c r="AJ68" s="9"/>
      <c r="AK68" s="10"/>
      <c r="AL68" s="10"/>
      <c r="AM68" s="11"/>
      <c r="AN68" s="9"/>
      <c r="AO68" s="10">
        <f t="shared" ca="1" si="13"/>
        <v>583.99999999999989</v>
      </c>
      <c r="AP68" s="10">
        <f t="shared" ca="1" si="13"/>
        <v>395</v>
      </c>
      <c r="AQ68" s="11">
        <f t="shared" ca="1" si="13"/>
        <v>234.00000000000006</v>
      </c>
    </row>
    <row r="69" spans="1:43" ht="12.9" customHeight="1" x14ac:dyDescent="0.25">
      <c r="A69" s="21" t="str">
        <f>Lang!$A$115</f>
        <v>Management budget</v>
      </c>
      <c r="B69" s="20"/>
      <c r="C69" s="19">
        <f>H47*1000</f>
        <v>90000</v>
      </c>
      <c r="D69" s="504">
        <f>'73'!F22</f>
        <v>90000</v>
      </c>
      <c r="E69" s="151"/>
      <c r="F69" s="20" t="str">
        <f>Lang!$A$233</f>
        <v>Administrative expenses</v>
      </c>
      <c r="H69" s="19">
        <f ca="1">C71</f>
        <v>686639.83096390136</v>
      </c>
      <c r="I69" s="504">
        <f>'73'!L21</f>
        <v>692368</v>
      </c>
      <c r="O69" s="658"/>
      <c r="P69" s="2" t="str">
        <f>Lang!$A$255</f>
        <v>Shares issued</v>
      </c>
      <c r="R69" s="19">
        <f ca="1">IF(H41&gt;0,H38*H41*10,0)</f>
        <v>0</v>
      </c>
      <c r="S69" s="504">
        <f>'73'!X22</f>
        <v>0</v>
      </c>
      <c r="AH69" s="1082" t="str">
        <f>Lang!$A$116</f>
        <v>Insurance</v>
      </c>
      <c r="AI69" s="1083"/>
      <c r="AJ69" s="5">
        <f ca="1">C68</f>
        <v>1969.087</v>
      </c>
      <c r="AK69" s="6"/>
      <c r="AL69" s="6"/>
      <c r="AM69" s="7"/>
      <c r="AN69" s="5"/>
      <c r="AO69" s="6"/>
      <c r="AP69" s="6"/>
      <c r="AQ69" s="7"/>
    </row>
    <row r="70" spans="1:43" ht="12.9" customHeight="1" x14ac:dyDescent="0.25">
      <c r="A70" s="379" t="str">
        <f>Lang!$A$128</f>
        <v>Other costs</v>
      </c>
      <c r="B70" s="20"/>
      <c r="C70" s="19">
        <f ca="1">H9*60000+(C13-D13)*20+A13*40</f>
        <v>12072.2639639012</v>
      </c>
      <c r="D70" s="504">
        <f>'73'!F23</f>
        <v>11883</v>
      </c>
      <c r="E70" s="151"/>
      <c r="F70" s="20" t="str">
        <f>Lang!$A$234</f>
        <v>Insurance receipts</v>
      </c>
      <c r="H70" s="19">
        <f ca="1">IF(C80-C81&gt;0,C80-C81,0)</f>
        <v>32032.652000000002</v>
      </c>
      <c r="I70" s="504">
        <f>'73'!L22</f>
        <v>40911</v>
      </c>
      <c r="K70" s="3" t="str">
        <f>Lang!$A$117</f>
        <v>Total assets</v>
      </c>
      <c r="L70" s="2"/>
      <c r="M70" s="19">
        <f ca="1">M59+M68</f>
        <v>4657786.6191207953</v>
      </c>
      <c r="N70" s="504">
        <f>'73'!R21</f>
        <v>4467530</v>
      </c>
      <c r="P70" s="2" t="str">
        <f>Lang!$A$256</f>
        <v>Shares repurchased</v>
      </c>
      <c r="R70" s="19">
        <f ca="1">IF(H41&lt;0,-H38*H41*10,0)</f>
        <v>0</v>
      </c>
      <c r="S70" s="504">
        <f>'73'!X23</f>
        <v>0</v>
      </c>
      <c r="AH70" s="1084"/>
      <c r="AI70" s="1085"/>
      <c r="AJ70" s="5"/>
      <c r="AK70" s="6"/>
      <c r="AL70" s="6"/>
      <c r="AM70" s="7"/>
      <c r="AN70" s="5"/>
      <c r="AO70" s="6"/>
      <c r="AP70" s="6"/>
      <c r="AQ70" s="7"/>
    </row>
    <row r="71" spans="1:43" ht="12.9" customHeight="1" x14ac:dyDescent="0.25">
      <c r="A71" s="21" t="str">
        <f>Lang!$A$118</f>
        <v>Total administrative expenses</v>
      </c>
      <c r="B71" s="501"/>
      <c r="C71" s="19">
        <f ca="1">SUM(C55:C70)</f>
        <v>686639.83096390136</v>
      </c>
      <c r="D71" s="504">
        <f>'73'!F24</f>
        <v>692368</v>
      </c>
      <c r="E71" s="151"/>
      <c r="F71" s="20" t="str">
        <f>Lang!$A$151</f>
        <v>Depreciation</v>
      </c>
      <c r="H71" s="19">
        <f>M58/0.975*0.025</f>
        <v>33415</v>
      </c>
      <c r="I71" s="504">
        <f>'73'!L23</f>
        <v>33414</v>
      </c>
      <c r="K71" s="20"/>
      <c r="L71" s="20"/>
      <c r="M71" s="661"/>
      <c r="N71" s="504"/>
      <c r="P71" s="2" t="str">
        <f>Lang!$A$133</f>
        <v>Dividends paid</v>
      </c>
      <c r="R71" s="19">
        <f>H80</f>
        <v>0</v>
      </c>
      <c r="S71" s="504">
        <f>'73'!X24</f>
        <v>0</v>
      </c>
      <c r="AH71" s="1084"/>
      <c r="AI71" s="1085"/>
      <c r="AJ71" s="5"/>
      <c r="AK71" s="6"/>
      <c r="AL71" s="6"/>
      <c r="AM71" s="7"/>
      <c r="AN71" s="5"/>
      <c r="AO71" s="6"/>
      <c r="AP71" s="6"/>
      <c r="AQ71" s="7"/>
    </row>
    <row r="72" spans="1:43" ht="12.9" customHeight="1" thickBot="1" x14ac:dyDescent="0.3">
      <c r="D72" s="504"/>
      <c r="E72" s="151"/>
      <c r="F72" s="332" t="str">
        <f>Lang!$A$119</f>
        <v>Operating profit/loss</v>
      </c>
      <c r="G72" s="73"/>
      <c r="H72" s="331">
        <f ca="1">H68+H70-H69-H71</f>
        <v>98219.505146558746</v>
      </c>
      <c r="I72" s="652">
        <f>'73'!L24</f>
        <v>-82329</v>
      </c>
      <c r="K72" s="501" t="str">
        <f>Lang!$A$120</f>
        <v>Liabilities</v>
      </c>
      <c r="L72" s="20"/>
      <c r="M72" s="661"/>
      <c r="N72" s="504"/>
      <c r="O72" s="658"/>
      <c r="P72" s="3" t="str">
        <f>Lang!$A$257</f>
        <v>Additional loans</v>
      </c>
      <c r="Q72" s="3"/>
      <c r="R72" s="19">
        <f>H44*1000</f>
        <v>0</v>
      </c>
      <c r="S72" s="504">
        <f>'73'!X25</f>
        <v>0</v>
      </c>
      <c r="AH72" s="1086"/>
      <c r="AI72" s="1087"/>
      <c r="AJ72" s="9"/>
      <c r="AK72" s="10"/>
      <c r="AL72" s="10"/>
      <c r="AM72" s="11"/>
      <c r="AN72" s="9"/>
      <c r="AO72" s="10"/>
      <c r="AP72" s="10"/>
      <c r="AQ72" s="11"/>
    </row>
    <row r="73" spans="1:43" ht="12.9" customHeight="1" x14ac:dyDescent="0.25">
      <c r="A73" s="327" t="str">
        <f>Lang!$A$121</f>
        <v>Accumulated taxable profit</v>
      </c>
      <c r="B73" s="20"/>
      <c r="C73" s="504"/>
      <c r="D73" s="504"/>
      <c r="E73" s="151"/>
      <c r="F73" s="2" t="str">
        <f>Lang!$A$235</f>
        <v>Finance income</v>
      </c>
      <c r="G73" s="8"/>
      <c r="H73" s="19">
        <f>M67*O67/4</f>
        <v>812.5</v>
      </c>
      <c r="I73" s="504">
        <f>'73'!L25</f>
        <v>812</v>
      </c>
      <c r="K73" s="20" t="str">
        <f>Lang!$A$246</f>
        <v>Tax due</v>
      </c>
      <c r="L73" s="20"/>
      <c r="M73" s="19">
        <f ca="1">IF(D52=4,IF((C74+C75)&gt;0,(C74+C75)*0.3,0),IF(D52=2,0,'63'!R24))</f>
        <v>0</v>
      </c>
      <c r="N73" s="504">
        <f>'73'!R24</f>
        <v>0</v>
      </c>
      <c r="P73" s="3" t="str">
        <f>Lang!$A$258</f>
        <v>Interest paid</v>
      </c>
      <c r="Q73" s="3"/>
      <c r="R73" s="19">
        <f ca="1">H74</f>
        <v>0</v>
      </c>
      <c r="S73" s="504">
        <f>'73'!X26</f>
        <v>0</v>
      </c>
      <c r="AH73" s="1082" t="str">
        <f>Lang!$A$115</f>
        <v>Management budget</v>
      </c>
      <c r="AI73" s="1083"/>
      <c r="AJ73" s="5">
        <f>C69</f>
        <v>90000</v>
      </c>
      <c r="AK73" s="6"/>
      <c r="AL73" s="6"/>
      <c r="AM73" s="7"/>
      <c r="AN73" s="5"/>
      <c r="AO73" s="6"/>
      <c r="AP73" s="6"/>
      <c r="AQ73" s="7"/>
    </row>
    <row r="74" spans="1:43" ht="12.9" customHeight="1" x14ac:dyDescent="0.25">
      <c r="A74" s="21" t="str">
        <f>Lang!$A$123</f>
        <v>Profit/loss before tax</v>
      </c>
      <c r="B74" s="20"/>
      <c r="C74" s="19">
        <f ca="1">H75</f>
        <v>99032.005146558746</v>
      </c>
      <c r="D74" s="504">
        <f>'73'!F27</f>
        <v>-81517</v>
      </c>
      <c r="E74" s="151"/>
      <c r="F74" s="2" t="str">
        <f>Lang!$A$236</f>
        <v>Finance expense</v>
      </c>
      <c r="G74" s="8"/>
      <c r="H74" s="19">
        <f ca="1">(M75+OFFSET(History!K$71,$B$52,0)*1000)/2*O75/4+(M76+OFFSET(History!L$71,$B$52,0)*1000)/2*O76/4+M78*O78/4</f>
        <v>0</v>
      </c>
      <c r="I74" s="504">
        <f>'73'!L26</f>
        <v>0</v>
      </c>
      <c r="K74" s="2" t="str">
        <f>Lang!$A$247</f>
        <v>Trade payables</v>
      </c>
      <c r="L74" s="20"/>
      <c r="M74" s="19">
        <f ca="1">C55+C60+H65+C62+C64+C65+C66+(H59+H60)/2</f>
        <v>713315.61397423677</v>
      </c>
      <c r="N74" s="504">
        <f>'73'!R25</f>
        <v>703608</v>
      </c>
      <c r="P74" s="3" t="str">
        <f>Lang!$A$122</f>
        <v>Net cash flow from financing</v>
      </c>
      <c r="Q74" s="3"/>
      <c r="R74" s="19">
        <f ca="1">(R72+R69)-(R73+R71+R70)</f>
        <v>0</v>
      </c>
      <c r="S74" s="504">
        <f>'73'!X27</f>
        <v>0</v>
      </c>
      <c r="AH74" s="1084"/>
      <c r="AI74" s="1085"/>
      <c r="AJ74" s="5"/>
      <c r="AK74" s="6"/>
      <c r="AL74" s="6"/>
      <c r="AM74" s="7"/>
      <c r="AN74" s="5"/>
      <c r="AO74" s="6"/>
      <c r="AP74" s="6"/>
      <c r="AQ74" s="7"/>
    </row>
    <row r="75" spans="1:43" ht="12.9" customHeight="1" x14ac:dyDescent="0.25">
      <c r="A75" s="21" t="str">
        <f>Lang!$A$226</f>
        <v>Previous taxable profit/loss</v>
      </c>
      <c r="B75" s="20"/>
      <c r="C75" s="19">
        <f>IF(D52=1,IF('63'!F29&lt;0,'63'!F29,0),'63'!F29)</f>
        <v>-154561</v>
      </c>
      <c r="D75" s="504">
        <f>'73'!F28</f>
        <v>-154561</v>
      </c>
      <c r="E75" s="151"/>
      <c r="F75" s="73" t="str">
        <f>Lang!$A$123</f>
        <v>Profit/loss before tax</v>
      </c>
      <c r="G75" s="73"/>
      <c r="H75" s="331">
        <f ca="1">H72+H73-H74</f>
        <v>99032.005146558746</v>
      </c>
      <c r="I75" s="652">
        <f>'73'!L27</f>
        <v>-81517</v>
      </c>
      <c r="K75" s="20" t="str">
        <f>Lang!$A$158</f>
        <v>Bank overdraft</v>
      </c>
      <c r="L75" s="20"/>
      <c r="M75" s="19">
        <f ca="1">IF(R85&gt;0,IF(R85&gt;R81,R81,R85),0)</f>
        <v>0</v>
      </c>
      <c r="N75" s="1089">
        <f>'73'!R26</f>
        <v>0</v>
      </c>
      <c r="O75" s="662">
        <f>(H40+4)/100</f>
        <v>4.4999999999999998E-2</v>
      </c>
      <c r="P75" s="2"/>
      <c r="R75" s="3"/>
      <c r="S75" s="504"/>
      <c r="AH75" s="1084"/>
      <c r="AI75" s="1085"/>
      <c r="AJ75" s="5"/>
      <c r="AK75" s="6"/>
      <c r="AL75" s="6"/>
      <c r="AM75" s="7"/>
      <c r="AN75" s="5"/>
      <c r="AO75" s="6"/>
      <c r="AP75" s="6"/>
      <c r="AQ75" s="7"/>
    </row>
    <row r="76" spans="1:43" ht="12.9" customHeight="1" thickBot="1" x14ac:dyDescent="0.3">
      <c r="A76" s="21" t="str">
        <f>Lang!$A$227</f>
        <v>Taxable profit/loss</v>
      </c>
      <c r="B76" s="20"/>
      <c r="C76" s="19">
        <f ca="1">C74+C75</f>
        <v>-55528.994853441254</v>
      </c>
      <c r="D76" s="504">
        <f>'73'!F29</f>
        <v>-236078</v>
      </c>
      <c r="E76" s="151"/>
      <c r="F76" s="20" t="str">
        <f>Lang!$A$237</f>
        <v>Tax assessed</v>
      </c>
      <c r="H76" s="19">
        <f ca="1">IF(D52=4,M73,0)</f>
        <v>0</v>
      </c>
      <c r="I76" s="504">
        <f>'73'!L28</f>
        <v>0</v>
      </c>
      <c r="K76" s="2" t="str">
        <f>Lang!$A$248</f>
        <v>Borrowing power</v>
      </c>
      <c r="M76" s="19">
        <f ca="1">IF(R85&gt;0,IF(R85&gt;R81,R85-R81,0),0)</f>
        <v>0</v>
      </c>
      <c r="N76" s="1089"/>
      <c r="O76" s="662">
        <f>(H40+10)/100</f>
        <v>0.105</v>
      </c>
      <c r="P76" s="3" t="str">
        <f>Lang!$A$124</f>
        <v>Net cash flow</v>
      </c>
      <c r="Q76" s="3"/>
      <c r="R76" s="19">
        <f ca="1">R60+R66+R74</f>
        <v>-237333.41456221952</v>
      </c>
      <c r="S76" s="504">
        <f>'73'!X29</f>
        <v>-322348</v>
      </c>
      <c r="AH76" s="1086"/>
      <c r="AI76" s="1087"/>
      <c r="AJ76" s="9"/>
      <c r="AK76" s="10"/>
      <c r="AL76" s="10"/>
      <c r="AM76" s="11"/>
      <c r="AN76" s="9"/>
      <c r="AO76" s="10"/>
      <c r="AP76" s="10"/>
      <c r="AQ76" s="11"/>
    </row>
    <row r="77" spans="1:43" ht="12.9" customHeight="1" x14ac:dyDescent="0.25">
      <c r="D77" s="504"/>
      <c r="E77" s="151"/>
      <c r="F77" s="20" t="str">
        <f>Lang!$A$125</f>
        <v>Profit/loss for the period</v>
      </c>
      <c r="H77" s="19">
        <f ca="1">H68+H70+H73-H74-H69-H71-H76</f>
        <v>99032.005146558746</v>
      </c>
      <c r="I77" s="504">
        <f>'73'!L29</f>
        <v>-81517</v>
      </c>
      <c r="K77" s="20" t="str">
        <f>Lang!$A$126</f>
        <v>Current liabilities</v>
      </c>
      <c r="L77" s="20"/>
      <c r="M77" s="19">
        <f ca="1">SUM(M73:M76)</f>
        <v>713315.61397423677</v>
      </c>
      <c r="N77" s="504">
        <f>'73'!R27</f>
        <v>703608</v>
      </c>
      <c r="P77" s="2" t="str">
        <f>Lang!$A$127</f>
        <v>Previous cash balance</v>
      </c>
      <c r="R77" s="19">
        <f>'63'!X31</f>
        <v>1513443</v>
      </c>
      <c r="S77" s="504">
        <f>'73'!X30</f>
        <v>1513443</v>
      </c>
      <c r="AH77" s="1082" t="str">
        <f>Lang!$A$128</f>
        <v>Other costs</v>
      </c>
      <c r="AI77" s="1083"/>
      <c r="AJ77" s="5">
        <f ca="1">C70</f>
        <v>12072.2639639012</v>
      </c>
      <c r="AK77" s="6"/>
      <c r="AL77" s="6"/>
      <c r="AM77" s="7"/>
      <c r="AN77" s="5"/>
      <c r="AO77" s="6"/>
      <c r="AP77" s="6"/>
      <c r="AQ77" s="7"/>
    </row>
    <row r="78" spans="1:43" x14ac:dyDescent="0.25">
      <c r="A78" s="8"/>
      <c r="B78" s="8"/>
      <c r="D78" s="504"/>
      <c r="E78" s="151"/>
      <c r="F78" s="3" t="str">
        <f>Lang!$A$129</f>
        <v>Earnings per share</v>
      </c>
      <c r="H78" s="19">
        <f ca="1">H77/M83*100</f>
        <v>2.4758001286639688</v>
      </c>
      <c r="I78" s="504">
        <f>'73'!L30</f>
        <v>-2.037925</v>
      </c>
      <c r="K78" s="20" t="str">
        <f>Lang!$A$87</f>
        <v>Term loans</v>
      </c>
      <c r="L78" s="20"/>
      <c r="M78" s="19">
        <f>H44*1000+'63'!R28</f>
        <v>0</v>
      </c>
      <c r="N78" s="504">
        <f>'73'!R28</f>
        <v>0</v>
      </c>
      <c r="O78" s="662">
        <v>0.1</v>
      </c>
      <c r="P78" s="3" t="str">
        <f>Lang!$A$130</f>
        <v>Cash balance</v>
      </c>
      <c r="Q78" s="3"/>
      <c r="R78" s="19">
        <f ca="1">R76+R77</f>
        <v>1276109.5854377805</v>
      </c>
      <c r="S78" s="504">
        <f>'73'!X31</f>
        <v>1191095</v>
      </c>
      <c r="AH78" s="1084"/>
      <c r="AI78" s="1085"/>
      <c r="AJ78" s="5"/>
      <c r="AK78" s="6"/>
      <c r="AL78" s="6"/>
      <c r="AM78" s="7"/>
      <c r="AN78" s="5"/>
      <c r="AO78" s="6"/>
      <c r="AP78" s="6"/>
      <c r="AQ78" s="7"/>
    </row>
    <row r="79" spans="1:43" x14ac:dyDescent="0.25">
      <c r="A79" s="8"/>
      <c r="B79" s="8"/>
      <c r="D79" s="504"/>
      <c r="E79" s="151"/>
      <c r="F79" s="20"/>
      <c r="H79" s="504"/>
      <c r="I79" s="504"/>
      <c r="L79" s="2"/>
      <c r="M79" s="3"/>
      <c r="N79" s="504"/>
      <c r="O79" s="655"/>
      <c r="P79" s="2" t="str">
        <f>Lang!$A$131</f>
        <v>Including a term deposit</v>
      </c>
      <c r="R79" s="19">
        <f>M67</f>
        <v>650000</v>
      </c>
      <c r="S79" s="504">
        <f>'73'!X32</f>
        <v>650000</v>
      </c>
      <c r="AH79" s="1084"/>
      <c r="AI79" s="1085"/>
      <c r="AJ79" s="5"/>
      <c r="AK79" s="6"/>
      <c r="AL79" s="6"/>
      <c r="AM79" s="7"/>
      <c r="AN79" s="5"/>
      <c r="AO79" s="6"/>
      <c r="AP79" s="6"/>
      <c r="AQ79" s="7"/>
    </row>
    <row r="80" spans="1:43" ht="13.8" thickBot="1" x14ac:dyDescent="0.3">
      <c r="A80" s="8" t="str">
        <f>Lang!$A$132</f>
        <v>Insurance claimed</v>
      </c>
      <c r="B80" s="8"/>
      <c r="C80" s="19">
        <f ca="1">IF($D$1=2,OFFSET(History!N33,B52,),IF(H48=0,0,OFFSET(Config!D20,B52,)))</f>
        <v>39909</v>
      </c>
      <c r="D80" s="504">
        <f>'73'!F33</f>
        <v>42880</v>
      </c>
      <c r="E80" s="151"/>
      <c r="F80" s="20" t="str">
        <f>Lang!$A$133</f>
        <v>Dividends paid</v>
      </c>
      <c r="H80" s="19">
        <f>H42*'63'!R33</f>
        <v>0</v>
      </c>
      <c r="I80" s="504">
        <f>'73'!L32</f>
        <v>0</v>
      </c>
      <c r="K80" s="20" t="str">
        <f>Lang!$A$134</f>
        <v>Net assets</v>
      </c>
      <c r="L80" s="20"/>
      <c r="M80" s="19">
        <f ca="1">M70-SUM(M77:M78)</f>
        <v>3944471.0051465584</v>
      </c>
      <c r="N80" s="504">
        <f>'73'!R30</f>
        <v>3763922</v>
      </c>
      <c r="O80" s="653"/>
      <c r="P80" s="2"/>
      <c r="R80" s="3"/>
      <c r="S80" s="504"/>
      <c r="AH80" s="1086"/>
      <c r="AI80" s="1087"/>
      <c r="AJ80" s="9"/>
      <c r="AK80" s="10"/>
      <c r="AL80" s="10"/>
      <c r="AM80" s="11"/>
      <c r="AN80" s="9"/>
      <c r="AO80" s="10"/>
      <c r="AP80" s="10"/>
      <c r="AQ80" s="11"/>
    </row>
    <row r="81" spans="1:43" ht="12.75" customHeight="1" x14ac:dyDescent="0.25">
      <c r="A81" s="3" t="str">
        <f>Lang!$A$135</f>
        <v>Primary non-insured risk</v>
      </c>
      <c r="C81" s="19">
        <f ca="1">('63'!R12+'63'!L18)*(IF(H48=4,0.004,IF(H48=3,0.003,IF(H48=2,0.002,IF(H48=1,0.001,0)))))</f>
        <v>7876.348</v>
      </c>
      <c r="D81" s="504">
        <f>'73'!F34</f>
        <v>1969</v>
      </c>
      <c r="E81" s="151"/>
      <c r="F81" s="20" t="str">
        <f>Lang!$A$136</f>
        <v>Transferred to retained earnings</v>
      </c>
      <c r="H81" s="19">
        <f ca="1">H77-H80</f>
        <v>99032.005146558746</v>
      </c>
      <c r="I81" s="504">
        <f>'73'!L33</f>
        <v>-81517</v>
      </c>
      <c r="M81" s="3"/>
      <c r="N81" s="504"/>
      <c r="P81" s="3" t="str">
        <f>Lang!$A$259</f>
        <v>Overdraft limit for next quarter</v>
      </c>
      <c r="Q81" s="3"/>
      <c r="R81" s="19">
        <f>'63'!X34</f>
        <v>600000</v>
      </c>
      <c r="S81" s="504"/>
      <c r="AH81" s="1090" t="str">
        <f>Lang!$A$137</f>
        <v>Materials purchased</v>
      </c>
      <c r="AI81" s="1091"/>
      <c r="AJ81" s="5"/>
      <c r="AK81" s="6"/>
      <c r="AL81" s="6"/>
      <c r="AM81" s="7"/>
      <c r="AN81" s="5"/>
      <c r="AO81" s="6"/>
      <c r="AP81" s="6"/>
      <c r="AQ81" s="7"/>
    </row>
    <row r="82" spans="1:43" x14ac:dyDescent="0.25">
      <c r="D82" s="2"/>
      <c r="E82" s="151"/>
      <c r="F82" s="3" t="str">
        <f>Lang!$A$138</f>
        <v>Previous retained earnings</v>
      </c>
      <c r="H82" s="19">
        <f>'63'!R35</f>
        <v>-154561</v>
      </c>
      <c r="I82" s="504">
        <f>'73'!L34</f>
        <v>-154561</v>
      </c>
      <c r="K82" s="501" t="str">
        <f>Lang!$A$139</f>
        <v>Equity</v>
      </c>
      <c r="L82" s="20"/>
      <c r="M82" s="3"/>
      <c r="N82" s="504"/>
      <c r="P82" s="3" t="str">
        <f>Lang!$A$260</f>
        <v>Borrowing power next quarter</v>
      </c>
      <c r="Q82" s="3"/>
      <c r="R82" s="19">
        <f>'63'!X35</f>
        <v>1371000</v>
      </c>
      <c r="S82" s="504"/>
      <c r="AH82" s="1092"/>
      <c r="AI82" s="1093"/>
      <c r="AJ82" s="5"/>
      <c r="AK82" s="6"/>
      <c r="AL82" s="6"/>
      <c r="AM82" s="7"/>
      <c r="AN82" s="5"/>
      <c r="AO82" s="6">
        <f ca="1">(1-B$22)*B2*(1+B$5/SUM(B$2:B$4))*$H$29/1000*$H$39+B$22*B2*(1+B$5/SUM(B$2:B$4))*$G$33/1000*$H$39*1.5</f>
        <v>72692.724789516127</v>
      </c>
      <c r="AP82" s="6">
        <f ca="1">(1-C$22)*C2*(1+C$5/SUM(C$2:C$4))*2*$H$29/1000*$H$39+C$22*C2*(1+C$5/SUM(C$2:C$4))*2*$G$33/1000*$H$39*1.5</f>
        <v>105634.37847247775</v>
      </c>
      <c r="AQ82" s="7">
        <f ca="1">(1-D$22)*D2*(1+D$5/SUM(D$2:D$4))*3*$H$29/1000*$H$39+D$22*D2*(1+D$5/SUM(D$2:D$4))*3*$G$33/1000*$H$39*1.5</f>
        <v>101082.06467043301</v>
      </c>
    </row>
    <row r="83" spans="1:43" x14ac:dyDescent="0.25">
      <c r="D83" s="2"/>
      <c r="E83" s="151"/>
      <c r="F83" s="3" t="str">
        <f>Lang!$A$141</f>
        <v xml:space="preserve">Retained earnings </v>
      </c>
      <c r="H83" s="19">
        <f ca="1">H81+H82</f>
        <v>-55528.994853441254</v>
      </c>
      <c r="I83" s="504">
        <f>'73'!L35</f>
        <v>-236078</v>
      </c>
      <c r="K83" s="20" t="str">
        <f>Lang!$A$160</f>
        <v>Share capital</v>
      </c>
      <c r="L83" s="20"/>
      <c r="M83" s="19">
        <f ca="1">'63'!R33+H41*1000</f>
        <v>4000000</v>
      </c>
      <c r="N83" s="504">
        <f>'73'!R33</f>
        <v>4000000</v>
      </c>
      <c r="Q83" s="3"/>
      <c r="R83" s="3"/>
      <c r="S83" s="504"/>
      <c r="AH83" s="1092"/>
      <c r="AI83" s="1093"/>
      <c r="AJ83" s="5"/>
      <c r="AK83" s="6"/>
      <c r="AL83" s="6"/>
      <c r="AM83" s="7"/>
      <c r="AN83" s="5"/>
      <c r="AO83" s="6">
        <f ca="1">(1-B$22)*B3*(1+B$5/SUM(B$2:B$4))*$H$29/1000*$H$39+B$22*B3*(1+B$5/SUM(B$2:B$4))*$G$33/1000*$H$39*1.5</f>
        <v>4338.8678708159305</v>
      </c>
      <c r="AP83" s="6">
        <f ca="1">(1-C$22)*C3*(1+C$5/SUM(C$2:C$4))*2*$H$29/1000*$H$39+C$22*C3*(1+C$5/SUM(C$2:C$4))*2*$G$33/1000*$H$39*1.5</f>
        <v>13906.297925490742</v>
      </c>
      <c r="AQ83" s="7">
        <f ca="1">(1-D$22)*D3*(1+D$5/SUM(D$2:D$4))*3*$H$29/1000*$H$39+D$22*D3*(1+D$5/SUM(D$2:D$4))*3*$G$33/1000*$H$39*1.5</f>
        <v>12386.423679527894</v>
      </c>
    </row>
    <row r="84" spans="1:43" ht="13.8" thickBot="1" x14ac:dyDescent="0.3">
      <c r="D84" s="2"/>
      <c r="E84" s="151"/>
      <c r="H84" s="2"/>
      <c r="I84" s="3"/>
      <c r="K84" s="8" t="str">
        <f>Lang!$A$161</f>
        <v>Share premium account</v>
      </c>
      <c r="L84" s="2"/>
      <c r="M84" s="19">
        <f ca="1">IF('63'!R34+(H38-100)*H41*10&gt;0,'63'!R34+(H38-100)*H41*10,0)</f>
        <v>0</v>
      </c>
      <c r="N84" s="504">
        <f>'73'!R34</f>
        <v>0</v>
      </c>
      <c r="P84" s="8" t="str">
        <f>Lang!$A$140</f>
        <v>Balance</v>
      </c>
      <c r="R84" s="19">
        <f ca="1">(R56+R57-R58-R59)+(R63+R64-R65)+(R72+R69)-(R71+R70)+'63'!X31-R79</f>
        <v>626109.58543778048</v>
      </c>
      <c r="S84" s="150"/>
      <c r="AH84" s="1094"/>
      <c r="AI84" s="1095"/>
      <c r="AJ84" s="9"/>
      <c r="AK84" s="10"/>
      <c r="AL84" s="10"/>
      <c r="AM84" s="11"/>
      <c r="AN84" s="9"/>
      <c r="AO84" s="10">
        <f ca="1">(1-B$22)*B4*(1+B$5/SUM(B$2:B$4))*$H$29/1000*$H$39+B$22*B4*(1+B$5/SUM(B$2:B$4))*$G$33/1000*$H$39*1.5</f>
        <v>42187.146067010268</v>
      </c>
      <c r="AP84" s="10">
        <f ca="1">(1-C$22)*C4*(1+C$5/SUM(C$2:C$4))*2*$H$29/1000*$H$39+C$22*C4*(1+C$5/SUM(C$2:C$4))*2*$G$33/1000*$H$39*1.5</f>
        <v>57096.05013638988</v>
      </c>
      <c r="AQ84" s="11">
        <f ca="1">(1-D$22)*D4*(1+D$5/SUM(D$2:D$4))*3*$H$29/1000*$H$39+D$22*D4*(1+D$5/SUM(D$2:D$4))*3*$G$33/1000*$H$39*1.5</f>
        <v>55960.092695009953</v>
      </c>
    </row>
    <row r="85" spans="1:43" ht="12.9" customHeight="1" x14ac:dyDescent="0.25">
      <c r="D85" s="2"/>
      <c r="E85" s="3"/>
      <c r="H85" s="2"/>
      <c r="I85" s="3"/>
      <c r="K85" s="20" t="str">
        <f>Lang!$A$141</f>
        <v xml:space="preserve">Retained earnings </v>
      </c>
      <c r="L85" s="20"/>
      <c r="M85" s="19">
        <f ca="1">H83</f>
        <v>-55528.994853441254</v>
      </c>
      <c r="N85" s="504">
        <f>'73'!R35</f>
        <v>-236078</v>
      </c>
      <c r="P85" s="8" t="str">
        <f>Lang!$A$142</f>
        <v>Credit</v>
      </c>
      <c r="R85" s="19">
        <f ca="1">IF(R84&lt;0,-R84,)</f>
        <v>0</v>
      </c>
      <c r="S85" s="504"/>
      <c r="AH85" s="1082" t="str">
        <f>Lang!$A$298</f>
        <v>Assembly wages</v>
      </c>
      <c r="AI85" s="1083"/>
      <c r="AJ85" s="5"/>
      <c r="AK85" s="6"/>
      <c r="AL85" s="6"/>
      <c r="AM85" s="7"/>
      <c r="AN85" s="5"/>
      <c r="AO85" s="6"/>
      <c r="AP85" s="6"/>
      <c r="AQ85" s="7"/>
    </row>
    <row r="86" spans="1:43" ht="12.9" customHeight="1" x14ac:dyDescent="0.25">
      <c r="K86" s="20" t="str">
        <f>Lang!$A$143</f>
        <v>Total equity</v>
      </c>
      <c r="L86" s="20"/>
      <c r="M86" s="19">
        <f ca="1">M83+M84+M85</f>
        <v>3944471.0051465589</v>
      </c>
      <c r="N86" s="504">
        <f>'73'!R36</f>
        <v>3763922</v>
      </c>
      <c r="AH86" s="1084"/>
      <c r="AI86" s="1085"/>
      <c r="AJ86" s="5"/>
      <c r="AK86" s="6"/>
      <c r="AL86" s="6"/>
      <c r="AM86" s="7"/>
      <c r="AN86" s="5"/>
      <c r="AO86" s="6">
        <f t="shared" ref="AO86:AQ88" ca="1" si="14">$H$63/$H$15*B2*(1+B$5/SUM(B$2:B$4))*B$20/60</f>
        <v>31300.066839428469</v>
      </c>
      <c r="AP86" s="6">
        <f t="shared" ca="1" si="14"/>
        <v>32629.89726485917</v>
      </c>
      <c r="AQ86" s="7">
        <f t="shared" ca="1" si="14"/>
        <v>37221.519991378576</v>
      </c>
    </row>
    <row r="87" spans="1:43" ht="12.9" customHeight="1" x14ac:dyDescent="0.25">
      <c r="P87" s="150"/>
      <c r="AH87" s="1084"/>
      <c r="AI87" s="1085"/>
      <c r="AJ87" s="5"/>
      <c r="AK87" s="6"/>
      <c r="AL87" s="6"/>
      <c r="AM87" s="7"/>
      <c r="AN87" s="5"/>
      <c r="AO87" s="6">
        <f t="shared" ca="1" si="14"/>
        <v>1868.2317213616627</v>
      </c>
      <c r="AP87" s="6">
        <f t="shared" ca="1" si="14"/>
        <v>4295.5814120827254</v>
      </c>
      <c r="AQ87" s="7">
        <f t="shared" ca="1" si="14"/>
        <v>4561.061530672212</v>
      </c>
    </row>
    <row r="88" spans="1:43" ht="12.9" customHeight="1" thickBot="1" x14ac:dyDescent="0.3">
      <c r="S88" s="3"/>
      <c r="U88" s="2"/>
      <c r="AH88" s="1086"/>
      <c r="AI88" s="1087"/>
      <c r="AJ88" s="9"/>
      <c r="AK88" s="10"/>
      <c r="AL88" s="10"/>
      <c r="AM88" s="11"/>
      <c r="AN88" s="9"/>
      <c r="AO88" s="10">
        <f t="shared" ca="1" si="14"/>
        <v>18164.960736931862</v>
      </c>
      <c r="AP88" s="10">
        <f t="shared" ca="1" si="14"/>
        <v>17636.6659899935</v>
      </c>
      <c r="AQ88" s="11">
        <f t="shared" ca="1" si="14"/>
        <v>20606.224415358382</v>
      </c>
    </row>
    <row r="89" spans="1:43" ht="12.9" customHeight="1" x14ac:dyDescent="0.25">
      <c r="A89" s="95"/>
      <c r="E89" s="3"/>
      <c r="M89" s="3"/>
      <c r="Q89" s="25"/>
      <c r="R89" s="3"/>
      <c r="S89" s="3"/>
      <c r="T89" s="2"/>
      <c r="U89" s="2"/>
      <c r="AH89" s="1082" t="str">
        <f>Lang!$A$299</f>
        <v>Machinists wages</v>
      </c>
      <c r="AI89" s="1083"/>
      <c r="AJ89" s="5">
        <f ca="1">IF($H$2=0,H62,0)</f>
        <v>0</v>
      </c>
      <c r="AK89" s="6"/>
      <c r="AL89" s="6"/>
      <c r="AM89" s="7"/>
      <c r="AN89" s="5"/>
      <c r="AO89" s="6"/>
      <c r="AP89" s="6"/>
      <c r="AQ89" s="7"/>
    </row>
    <row r="90" spans="1:43" ht="12.9" customHeight="1" x14ac:dyDescent="0.25">
      <c r="E90" s="3"/>
      <c r="M90" s="3"/>
      <c r="Q90" s="3"/>
      <c r="R90" s="3"/>
      <c r="S90" s="3"/>
      <c r="T90" s="2"/>
      <c r="U90" s="2"/>
      <c r="AH90" s="1084"/>
      <c r="AI90" s="1085"/>
      <c r="AJ90" s="5"/>
      <c r="AK90" s="6"/>
      <c r="AL90" s="6"/>
      <c r="AM90" s="7"/>
      <c r="AN90" s="5"/>
      <c r="AO90" s="6">
        <f ca="1">IF($H$2=0,0,$H$62/$H$2*B2*(1+B$5/SUM(B$2:B$4))*60/60/$H$10)</f>
        <v>54910.698971386511</v>
      </c>
      <c r="AP90" s="6">
        <f ca="1">IF($H$2=0,0,$H$62/$H$2*C2*(1+C$5/SUM(C$2:C$4))*75/60/$H$10)</f>
        <v>49871.372738186059</v>
      </c>
      <c r="AQ90" s="7">
        <f ca="1">IF($H$2=0,0,$H$62/$H$2*D2*(1+D$5/SUM(D$2:D$4))*120/60/$H$10)</f>
        <v>46211.523464397869</v>
      </c>
    </row>
    <row r="91" spans="1:43" ht="12.9" customHeight="1" thickBot="1" x14ac:dyDescent="0.3">
      <c r="S91" s="3"/>
      <c r="AH91" s="1084"/>
      <c r="AI91" s="1085"/>
      <c r="AJ91" s="5"/>
      <c r="AK91" s="6"/>
      <c r="AL91" s="6"/>
      <c r="AM91" s="7"/>
      <c r="AN91" s="5"/>
      <c r="AO91" s="6">
        <f ca="1">IF($H$2=0,0,$H$62/$H$2*B3*(1+B$5/SUM(B$2:B$4))*60/60/$H$10)</f>
        <v>3277.4981020570467</v>
      </c>
      <c r="AP91" s="6">
        <f ca="1">IF($H$2=0,0,$H$62/$H$2*C3*(1+C$5/SUM(C$2:C$4))*75/60/$H$10)</f>
        <v>6565.3452718624676</v>
      </c>
      <c r="AQ91" s="7">
        <f ca="1">IF($H$2=0,0,$H$62/$H$2*D3*(1+D$5/SUM(D$2:D$4))*120/60/$H$10)</f>
        <v>5662.6812122675728</v>
      </c>
    </row>
    <row r="92" spans="1:43" ht="12.9" customHeight="1" thickBot="1" x14ac:dyDescent="0.3">
      <c r="C92" s="1080" t="str">
        <f>Lang!$A$144</f>
        <v>Prices analysis</v>
      </c>
      <c r="D92" s="1081"/>
      <c r="E92" s="1081"/>
      <c r="F92" s="1081"/>
      <c r="G92" s="1081"/>
      <c r="H92" s="1081"/>
      <c r="I92" s="1081"/>
      <c r="J92" s="1081"/>
      <c r="K92" s="1081"/>
      <c r="L92" s="102">
        <v>0.01</v>
      </c>
      <c r="M92" s="3"/>
      <c r="Q92" s="3"/>
      <c r="R92" s="3"/>
      <c r="S92" s="2"/>
      <c r="AH92" s="1086"/>
      <c r="AI92" s="1087"/>
      <c r="AJ92" s="9"/>
      <c r="AK92" s="10"/>
      <c r="AL92" s="10"/>
      <c r="AM92" s="11"/>
      <c r="AN92" s="9"/>
      <c r="AO92" s="10">
        <f ca="1">IF($H$2=0,0,$H$62/$H$2*B4*(1+B$5/SUM(B$2:B$4))*60/60/$H$10)</f>
        <v>31867.366161539281</v>
      </c>
      <c r="AP92" s="10">
        <f ca="1">IF($H$2=0,0,$H$62/$H$2*C4*(1+C$5/SUM(C$2:C$4))*75/60/$H$10)</f>
        <v>26955.792606589173</v>
      </c>
      <c r="AQ92" s="11">
        <f ca="1">IF($H$2=0,0,$H$62/$H$2*D4*(1+D$5/SUM(D$2:D$4))*120/60/$H$10)</f>
        <v>25583.184762565998</v>
      </c>
    </row>
    <row r="93" spans="1:43" ht="12.9" customHeight="1" x14ac:dyDescent="0.25">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2" t="str">
        <f>Lang!$A$149</f>
        <v>Machine running costs</v>
      </c>
      <c r="AI93" s="1083"/>
      <c r="AJ93" s="5">
        <f>3500*H7+H11*12500</f>
        <v>42500</v>
      </c>
      <c r="AK93" s="6"/>
      <c r="AL93" s="6"/>
      <c r="AM93" s="7"/>
      <c r="AN93" s="5"/>
      <c r="AO93" s="6"/>
      <c r="AP93" s="6"/>
      <c r="AQ93" s="7"/>
    </row>
    <row r="94" spans="1:43" ht="12.9" customHeight="1" x14ac:dyDescent="0.25">
      <c r="C94" s="5">
        <v>41184.310071982443</v>
      </c>
      <c r="D94" s="56">
        <v>282</v>
      </c>
      <c r="E94" s="56">
        <v>461</v>
      </c>
      <c r="F94" s="56">
        <v>743</v>
      </c>
      <c r="G94" s="82"/>
      <c r="H94" s="56"/>
      <c r="I94" s="56"/>
      <c r="J94" s="56"/>
      <c r="K94" s="56"/>
      <c r="L94" s="57"/>
      <c r="M94" s="3"/>
      <c r="P94" s="2"/>
      <c r="R94" s="3"/>
      <c r="S94" s="2"/>
      <c r="AH94" s="1084"/>
      <c r="AI94" s="1085"/>
      <c r="AJ94" s="5"/>
      <c r="AK94" s="6"/>
      <c r="AL94" s="6"/>
      <c r="AM94" s="7"/>
      <c r="AN94" s="5"/>
      <c r="AO94" s="6">
        <f ca="1">B2*(1+B$5/SUM(B$2:B$4))*60/60/$H$10*8+B2*(1+B$5/SUM(B$2:B$4))</f>
        <v>10966.116335570772</v>
      </c>
      <c r="AP94" s="6">
        <f ca="1">C2*(1+C$5/SUM(C$2:C$4))*75/60/$H$10*8+C2*(1+C$5/SUM(C$2:C$4))</f>
        <v>9756.5003167985742</v>
      </c>
      <c r="AQ94" s="7">
        <f ca="1">D2*(1+D$5/SUM(D$2:D$4))*120/60/$H$10*8+D2*(1+D$5/SUM(D$2:D$4))</f>
        <v>8758.0503779798237</v>
      </c>
    </row>
    <row r="95" spans="1:43" ht="12.9" customHeight="1" x14ac:dyDescent="0.25">
      <c r="A95" s="25"/>
      <c r="C95" s="644">
        <v>43947.378143124282</v>
      </c>
      <c r="D95" s="82">
        <v>285</v>
      </c>
      <c r="E95" s="56">
        <v>466</v>
      </c>
      <c r="F95" s="56">
        <v>750</v>
      </c>
      <c r="G95" s="82"/>
      <c r="H95" s="56"/>
      <c r="I95" s="56"/>
      <c r="J95" s="56"/>
      <c r="K95" s="56"/>
      <c r="L95" s="57"/>
      <c r="M95" s="3"/>
      <c r="P95" s="2"/>
      <c r="R95" s="3"/>
      <c r="S95" s="2"/>
      <c r="AH95" s="1084"/>
      <c r="AI95" s="1085"/>
      <c r="AJ95" s="5"/>
      <c r="AK95" s="6"/>
      <c r="AL95" s="6"/>
      <c r="AM95" s="7"/>
      <c r="AN95" s="5"/>
      <c r="AO95" s="6">
        <f ca="1">B3*(1+B$5/SUM(B$2:B$4))*60/60/$H$10*8+B3*(1+B$5/SUM(B$2:B$4))</f>
        <v>654.54321562176335</v>
      </c>
      <c r="AP95" s="6">
        <f ca="1">C3*(1+C$5/SUM(C$2:C$4))*75/60/$H$10*8+C3*(1+C$5/SUM(C$2:C$4))</f>
        <v>1284.4000417051286</v>
      </c>
      <c r="AQ95" s="7">
        <f ca="1">D3*(1+D$5/SUM(D$2:D$4))*120/60/$H$10*8+D3*(1+D$5/SUM(D$2:D$4))</f>
        <v>1073.1965452229103</v>
      </c>
    </row>
    <row r="96" spans="1:43" ht="12.9" customHeight="1" thickBot="1" x14ac:dyDescent="0.3">
      <c r="C96" s="644">
        <v>46968.394092967035</v>
      </c>
      <c r="D96" s="82">
        <v>288</v>
      </c>
      <c r="E96" s="56">
        <v>470</v>
      </c>
      <c r="F96" s="56">
        <v>758</v>
      </c>
      <c r="G96" s="82"/>
      <c r="H96" s="56"/>
      <c r="I96" s="56"/>
      <c r="J96" s="56"/>
      <c r="K96" s="56"/>
      <c r="L96" s="57"/>
      <c r="M96" s="3"/>
      <c r="P96" s="2"/>
      <c r="AH96" s="1086"/>
      <c r="AI96" s="1087"/>
      <c r="AJ96" s="9"/>
      <c r="AK96" s="10"/>
      <c r="AL96" s="10"/>
      <c r="AM96" s="11"/>
      <c r="AN96" s="9"/>
      <c r="AO96" s="10">
        <f ca="1">B4*(1+B$5/SUM(B$2:B$4))*60/60/$H$10*8+B4*(1+B$5/SUM(B$2:B$4))</f>
        <v>6364.1740349685297</v>
      </c>
      <c r="AP96" s="10">
        <f ca="1">C4*(1+C$5/SUM(C$2:C$4))*75/60/$H$10*8+C4*(1+C$5/SUM(C$2:C$4))</f>
        <v>5273.4501712316342</v>
      </c>
      <c r="AQ96" s="11">
        <f ca="1">D4*(1+D$5/SUM(D$2:D$4))*120/60/$H$10*8+D4*(1+D$5/SUM(D$2:D$4))</f>
        <v>4848.5486775249346</v>
      </c>
    </row>
    <row r="97" spans="1:43" ht="12.9" customHeight="1" x14ac:dyDescent="0.25">
      <c r="C97" s="644">
        <v>49721.217840605415</v>
      </c>
      <c r="D97" s="82">
        <v>291</v>
      </c>
      <c r="E97" s="56">
        <v>475</v>
      </c>
      <c r="F97" s="56">
        <v>766</v>
      </c>
      <c r="G97" s="82"/>
      <c r="H97" s="56"/>
      <c r="I97" s="56"/>
      <c r="J97" s="56"/>
      <c r="K97" s="56"/>
      <c r="L97" s="57"/>
      <c r="M97" s="3"/>
      <c r="P97" s="2"/>
      <c r="AH97" s="1082" t="str">
        <f>Lang!$A$150</f>
        <v>Quality control</v>
      </c>
      <c r="AI97" s="1083"/>
      <c r="AJ97" s="5">
        <f ca="1">H64</f>
        <v>3983.1880181718316</v>
      </c>
      <c r="AK97" s="6"/>
      <c r="AL97" s="6"/>
      <c r="AM97" s="7"/>
      <c r="AN97" s="5"/>
      <c r="AO97" s="6"/>
      <c r="AP97" s="6"/>
      <c r="AQ97" s="7"/>
    </row>
    <row r="98" spans="1:43" ht="12.9" customHeight="1" x14ac:dyDescent="0.25">
      <c r="C98" s="644">
        <v>70969.670188934775</v>
      </c>
      <c r="D98" s="82">
        <v>294</v>
      </c>
      <c r="E98" s="82">
        <v>480</v>
      </c>
      <c r="F98" s="82">
        <v>774</v>
      </c>
      <c r="G98" s="82"/>
      <c r="H98" s="56"/>
      <c r="I98" s="56"/>
      <c r="J98" s="56"/>
      <c r="K98" s="56"/>
      <c r="L98" s="57"/>
      <c r="M98" s="3"/>
      <c r="P98" s="2"/>
      <c r="AH98" s="1084"/>
      <c r="AI98" s="1085"/>
      <c r="AJ98" s="5"/>
      <c r="AK98" s="6"/>
      <c r="AL98" s="6"/>
      <c r="AM98" s="7"/>
      <c r="AN98" s="5"/>
      <c r="AO98" s="6"/>
      <c r="AP98" s="6"/>
      <c r="AQ98" s="7"/>
    </row>
    <row r="99" spans="1:43" ht="12.9" customHeight="1" x14ac:dyDescent="0.25">
      <c r="A99" s="25"/>
      <c r="C99" s="644">
        <v>73133.529907704331</v>
      </c>
      <c r="D99" s="82">
        <v>297</v>
      </c>
      <c r="E99" s="56">
        <v>485</v>
      </c>
      <c r="F99" s="56">
        <v>782</v>
      </c>
      <c r="G99" s="56"/>
      <c r="H99" s="82"/>
      <c r="I99" s="56"/>
      <c r="J99" s="56"/>
      <c r="K99" s="56"/>
      <c r="L99" s="57"/>
      <c r="M99" s="3"/>
      <c r="P99" s="2"/>
      <c r="AH99" s="1084"/>
      <c r="AI99" s="1085"/>
      <c r="AJ99" s="5"/>
      <c r="AK99" s="6"/>
      <c r="AL99" s="6"/>
      <c r="AM99" s="7"/>
      <c r="AN99" s="5"/>
      <c r="AO99" s="6"/>
      <c r="AP99" s="6"/>
      <c r="AQ99" s="7"/>
    </row>
    <row r="100" spans="1:43" ht="12.9" customHeight="1" thickBot="1" x14ac:dyDescent="0.3">
      <c r="C100" s="646">
        <v>75159.252689480782</v>
      </c>
      <c r="D100" s="83">
        <v>300</v>
      </c>
      <c r="E100" s="83">
        <v>490</v>
      </c>
      <c r="F100" s="83">
        <v>790</v>
      </c>
      <c r="G100" s="83"/>
      <c r="H100" s="83"/>
      <c r="I100" s="83"/>
      <c r="J100" s="83"/>
      <c r="K100" s="83"/>
      <c r="L100" s="84"/>
      <c r="M100" s="3"/>
      <c r="P100" s="2"/>
      <c r="R100" s="685"/>
      <c r="AH100" s="1086"/>
      <c r="AI100" s="1087"/>
      <c r="AJ100" s="9"/>
      <c r="AK100" s="10"/>
      <c r="AL100" s="10"/>
      <c r="AM100" s="11"/>
      <c r="AN100" s="9"/>
      <c r="AO100" s="10"/>
      <c r="AP100" s="10"/>
      <c r="AQ100" s="11"/>
    </row>
    <row r="101" spans="1:43" ht="12.9" customHeight="1" x14ac:dyDescent="0.25">
      <c r="C101" s="644">
        <v>76997.140089637367</v>
      </c>
      <c r="D101" s="82">
        <v>303</v>
      </c>
      <c r="E101" s="82">
        <v>495</v>
      </c>
      <c r="F101" s="82">
        <v>798</v>
      </c>
      <c r="G101" s="82"/>
      <c r="H101" s="82"/>
      <c r="I101" s="82"/>
      <c r="J101" s="82"/>
      <c r="K101" s="82"/>
      <c r="L101" s="85"/>
      <c r="M101" s="3"/>
      <c r="P101" s="2"/>
      <c r="AH101" s="1082" t="str">
        <f>Lang!$A$151</f>
        <v>Depreciation</v>
      </c>
      <c r="AI101" s="1083"/>
      <c r="AJ101" s="5">
        <f>H71</f>
        <v>33415</v>
      </c>
      <c r="AK101" s="6"/>
      <c r="AL101" s="6"/>
      <c r="AM101" s="7"/>
      <c r="AN101" s="5"/>
      <c r="AO101" s="6"/>
      <c r="AP101" s="6"/>
      <c r="AQ101" s="7"/>
    </row>
    <row r="102" spans="1:43" ht="12.9" customHeight="1" x14ac:dyDescent="0.25">
      <c r="C102" s="644">
        <v>78646.3241813411</v>
      </c>
      <c r="D102" s="82">
        <v>306</v>
      </c>
      <c r="E102" s="56">
        <v>500</v>
      </c>
      <c r="F102" s="56">
        <v>806</v>
      </c>
      <c r="G102" s="56"/>
      <c r="H102" s="82"/>
      <c r="I102" s="56"/>
      <c r="J102" s="56"/>
      <c r="K102" s="56"/>
      <c r="L102" s="57"/>
      <c r="M102" s="3"/>
      <c r="AH102" s="1084"/>
      <c r="AI102" s="1085"/>
      <c r="AJ102" s="5"/>
      <c r="AK102" s="6"/>
      <c r="AL102" s="6"/>
      <c r="AM102" s="7"/>
      <c r="AN102" s="5"/>
      <c r="AO102" s="6"/>
      <c r="AP102" s="6"/>
      <c r="AQ102" s="7"/>
    </row>
    <row r="103" spans="1:43" ht="12.9" customHeight="1" x14ac:dyDescent="0.25">
      <c r="B103" s="8"/>
      <c r="C103" s="644">
        <v>99135.099721809383</v>
      </c>
      <c r="D103" s="82">
        <v>309</v>
      </c>
      <c r="E103" s="82">
        <v>505</v>
      </c>
      <c r="F103" s="82">
        <v>814</v>
      </c>
      <c r="G103" s="82"/>
      <c r="H103" s="82"/>
      <c r="I103" s="82"/>
      <c r="J103" s="82"/>
      <c r="K103" s="82"/>
      <c r="L103" s="85"/>
      <c r="M103" s="3"/>
      <c r="AH103" s="1084"/>
      <c r="AI103" s="1085"/>
      <c r="AJ103" s="5"/>
      <c r="AK103" s="6"/>
      <c r="AL103" s="6"/>
      <c r="AM103" s="7"/>
      <c r="AN103" s="5"/>
      <c r="AO103" s="6"/>
      <c r="AP103" s="6"/>
      <c r="AQ103" s="7"/>
    </row>
    <row r="104" spans="1:43" ht="12.9" customHeight="1" thickBot="1" x14ac:dyDescent="0.3">
      <c r="C104" s="644">
        <v>100412.85841703811</v>
      </c>
      <c r="D104" s="82">
        <v>312</v>
      </c>
      <c r="E104" s="82">
        <v>510</v>
      </c>
      <c r="F104" s="82">
        <v>822</v>
      </c>
      <c r="G104" s="82"/>
      <c r="H104" s="82"/>
      <c r="I104" s="82"/>
      <c r="J104" s="82"/>
      <c r="K104" s="82"/>
      <c r="L104" s="85"/>
      <c r="M104" s="3"/>
      <c r="AH104" s="1086"/>
      <c r="AI104" s="1087"/>
      <c r="AJ104" s="9"/>
      <c r="AK104" s="10"/>
      <c r="AL104" s="10"/>
      <c r="AM104" s="11"/>
      <c r="AN104" s="9"/>
      <c r="AO104" s="10"/>
      <c r="AP104" s="10"/>
      <c r="AQ104" s="11"/>
    </row>
    <row r="105" spans="1:43" ht="12.9" customHeight="1" x14ac:dyDescent="0.25">
      <c r="C105" s="644">
        <v>101682.78300562617</v>
      </c>
      <c r="D105" s="82">
        <v>315</v>
      </c>
      <c r="E105" s="56">
        <v>514</v>
      </c>
      <c r="F105" s="56">
        <v>830</v>
      </c>
      <c r="G105" s="56"/>
      <c r="H105" s="56"/>
      <c r="I105" s="56"/>
      <c r="J105" s="56"/>
      <c r="K105" s="56"/>
      <c r="L105" s="57"/>
      <c r="M105" s="3"/>
      <c r="Q105" s="25"/>
      <c r="R105" s="3"/>
      <c r="S105" s="2"/>
    </row>
    <row r="106" spans="1:43" ht="12.9" customHeight="1" thickBot="1" x14ac:dyDescent="0.3">
      <c r="A106" s="150"/>
      <c r="C106" s="648">
        <v>102424.99834516202</v>
      </c>
      <c r="D106" s="152">
        <v>318</v>
      </c>
      <c r="E106" s="59">
        <v>519</v>
      </c>
      <c r="F106" s="59">
        <v>837</v>
      </c>
      <c r="G106" s="59"/>
      <c r="H106" s="59"/>
      <c r="I106" s="59"/>
      <c r="J106" s="59"/>
      <c r="K106" s="59"/>
      <c r="L106" s="60"/>
      <c r="M106" s="3"/>
      <c r="Q106" s="23"/>
      <c r="R106" s="3"/>
      <c r="S106" s="2"/>
    </row>
    <row r="107" spans="1:43" ht="12.9" customHeight="1" thickBot="1" x14ac:dyDescent="0.3">
      <c r="C107" s="2"/>
      <c r="D107" s="8"/>
      <c r="E107" s="3"/>
      <c r="I107" s="3"/>
      <c r="M107" s="3"/>
      <c r="Q107" s="3"/>
      <c r="R107" s="3"/>
      <c r="S107" s="3"/>
    </row>
    <row r="108" spans="1:43" ht="12.9" customHeight="1" x14ac:dyDescent="0.25">
      <c r="C108" s="1080" t="str">
        <f>Lang!$A$152</f>
        <v>Advertising analysis</v>
      </c>
      <c r="D108" s="1081"/>
      <c r="E108" s="1081"/>
      <c r="F108" s="1081"/>
      <c r="G108" s="1081"/>
      <c r="H108" s="1081"/>
      <c r="I108" s="1081"/>
      <c r="J108" s="1081"/>
      <c r="K108" s="1081"/>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263276.65306885727</v>
      </c>
      <c r="D110" s="56"/>
      <c r="E110" s="56"/>
      <c r="F110" s="56"/>
      <c r="G110" s="82"/>
      <c r="H110" s="56"/>
      <c r="I110" s="56"/>
      <c r="J110" s="56">
        <v>8</v>
      </c>
      <c r="K110" s="56">
        <v>8</v>
      </c>
      <c r="L110" s="57">
        <v>6</v>
      </c>
      <c r="M110" s="3"/>
      <c r="Q110" s="3"/>
      <c r="R110" s="3"/>
      <c r="S110" s="3"/>
    </row>
    <row r="111" spans="1:43" ht="12.9" customHeight="1" x14ac:dyDescent="0.25">
      <c r="C111" s="644">
        <v>260652.32515222207</v>
      </c>
      <c r="D111" s="82"/>
      <c r="E111" s="56"/>
      <c r="F111" s="56"/>
      <c r="G111" s="82"/>
      <c r="H111" s="56"/>
      <c r="I111" s="56"/>
      <c r="J111" s="56">
        <v>10</v>
      </c>
      <c r="K111" s="56">
        <v>10</v>
      </c>
      <c r="L111" s="57">
        <v>7</v>
      </c>
      <c r="M111" s="3"/>
      <c r="Q111" s="3"/>
      <c r="R111" s="3"/>
      <c r="S111" s="3"/>
    </row>
    <row r="112" spans="1:43" ht="12.9" customHeight="1" x14ac:dyDescent="0.25">
      <c r="C112" s="644">
        <v>258524.72258906788</v>
      </c>
      <c r="D112" s="82"/>
      <c r="E112" s="56"/>
      <c r="F112" s="56"/>
      <c r="G112" s="82"/>
      <c r="H112" s="56"/>
      <c r="I112" s="56"/>
      <c r="J112" s="56">
        <v>11</v>
      </c>
      <c r="K112" s="56">
        <v>12</v>
      </c>
      <c r="L112" s="57">
        <v>8</v>
      </c>
      <c r="M112" s="3"/>
      <c r="Q112" s="3"/>
      <c r="R112" s="3"/>
      <c r="S112" s="3"/>
    </row>
    <row r="113" spans="1:19" ht="12.9" customHeight="1" x14ac:dyDescent="0.25">
      <c r="C113" s="644">
        <v>255307.91694177059</v>
      </c>
      <c r="D113" s="82"/>
      <c r="E113" s="56"/>
      <c r="F113" s="56"/>
      <c r="G113" s="82"/>
      <c r="H113" s="56"/>
      <c r="I113" s="56"/>
      <c r="J113" s="56">
        <v>13</v>
      </c>
      <c r="K113" s="56">
        <v>14</v>
      </c>
      <c r="L113" s="57">
        <v>10</v>
      </c>
      <c r="M113" s="3"/>
      <c r="Q113" s="3"/>
      <c r="R113" s="3"/>
      <c r="S113" s="3"/>
    </row>
    <row r="114" spans="1:19" ht="12.9" customHeight="1" x14ac:dyDescent="0.25">
      <c r="C114" s="644">
        <v>252686.58902513469</v>
      </c>
      <c r="D114" s="82"/>
      <c r="E114" s="82"/>
      <c r="F114" s="82"/>
      <c r="G114" s="82"/>
      <c r="H114" s="56"/>
      <c r="I114" s="56"/>
      <c r="J114" s="56">
        <v>15</v>
      </c>
      <c r="K114" s="56">
        <v>16</v>
      </c>
      <c r="L114" s="57">
        <v>11</v>
      </c>
      <c r="M114" s="3"/>
      <c r="Q114" s="3"/>
      <c r="R114" s="3"/>
      <c r="S114" s="3"/>
    </row>
    <row r="115" spans="1:19" ht="12.9" customHeight="1" x14ac:dyDescent="0.25">
      <c r="C115" s="644">
        <v>249469.78337783716</v>
      </c>
      <c r="D115" s="82"/>
      <c r="E115" s="56"/>
      <c r="F115" s="56"/>
      <c r="G115" s="56"/>
      <c r="H115" s="82"/>
      <c r="I115" s="56"/>
      <c r="J115" s="56">
        <v>17</v>
      </c>
      <c r="K115" s="56">
        <v>18</v>
      </c>
      <c r="L115" s="57">
        <v>13</v>
      </c>
      <c r="M115" s="3"/>
      <c r="Q115" s="3"/>
      <c r="R115" s="3"/>
      <c r="S115" s="3"/>
    </row>
    <row r="116" spans="1:19" ht="12.9" customHeight="1" x14ac:dyDescent="0.25">
      <c r="C116" s="646">
        <v>246845.45546120219</v>
      </c>
      <c r="D116" s="83"/>
      <c r="E116" s="83"/>
      <c r="F116" s="83"/>
      <c r="G116" s="83"/>
      <c r="H116" s="83"/>
      <c r="I116" s="83"/>
      <c r="J116" s="83">
        <v>19</v>
      </c>
      <c r="K116" s="83">
        <v>20</v>
      </c>
      <c r="L116" s="84">
        <v>14</v>
      </c>
      <c r="M116" s="3"/>
      <c r="Q116" s="3"/>
      <c r="R116" s="3"/>
      <c r="S116" s="3"/>
    </row>
    <row r="117" spans="1:19" ht="12.9" customHeight="1" x14ac:dyDescent="0.25">
      <c r="A117" s="2"/>
      <c r="B117" s="2"/>
      <c r="C117" s="644">
        <v>244221.12754456606</v>
      </c>
      <c r="D117" s="82"/>
      <c r="E117" s="82"/>
      <c r="F117" s="82"/>
      <c r="G117" s="82"/>
      <c r="H117" s="82"/>
      <c r="I117" s="82"/>
      <c r="J117" s="82">
        <v>21</v>
      </c>
      <c r="K117" s="82">
        <v>22</v>
      </c>
      <c r="L117" s="85">
        <v>15</v>
      </c>
      <c r="M117" s="3"/>
      <c r="Q117" s="3"/>
      <c r="R117" s="3"/>
      <c r="S117" s="3"/>
    </row>
    <row r="118" spans="1:19" ht="12.9" customHeight="1" x14ac:dyDescent="0.25">
      <c r="C118" s="644">
        <v>241004.32189726783</v>
      </c>
      <c r="D118" s="82"/>
      <c r="E118" s="56"/>
      <c r="F118" s="56"/>
      <c r="G118" s="56"/>
      <c r="H118" s="82"/>
      <c r="I118" s="56"/>
      <c r="J118" s="56">
        <v>23</v>
      </c>
      <c r="K118" s="56">
        <v>24</v>
      </c>
      <c r="L118" s="57">
        <v>17</v>
      </c>
      <c r="M118" s="3"/>
      <c r="Q118" s="3"/>
      <c r="R118" s="3"/>
      <c r="S118" s="3"/>
    </row>
    <row r="119" spans="1:19" ht="12.9" customHeight="1" x14ac:dyDescent="0.25">
      <c r="C119" s="644">
        <v>238379.99398063286</v>
      </c>
      <c r="D119" s="82"/>
      <c r="E119" s="82"/>
      <c r="F119" s="82"/>
      <c r="G119" s="82"/>
      <c r="H119" s="82"/>
      <c r="I119" s="82"/>
      <c r="J119" s="82">
        <v>25</v>
      </c>
      <c r="K119" s="82">
        <v>26</v>
      </c>
      <c r="L119" s="85">
        <v>18</v>
      </c>
      <c r="M119" s="3"/>
      <c r="Q119" s="3"/>
      <c r="R119" s="3"/>
      <c r="S119" s="3"/>
    </row>
    <row r="120" spans="1:19" ht="12.9" customHeight="1" x14ac:dyDescent="0.25">
      <c r="C120" s="644">
        <v>235166.18833333533</v>
      </c>
      <c r="D120" s="82"/>
      <c r="E120" s="82"/>
      <c r="F120" s="82"/>
      <c r="G120" s="82"/>
      <c r="H120" s="82"/>
      <c r="I120" s="82"/>
      <c r="J120" s="82">
        <v>27</v>
      </c>
      <c r="K120" s="82">
        <v>28</v>
      </c>
      <c r="L120" s="85">
        <v>20</v>
      </c>
      <c r="M120" s="3"/>
      <c r="Q120" s="3"/>
      <c r="R120" s="3"/>
      <c r="S120" s="3"/>
    </row>
    <row r="121" spans="1:19" ht="12.9" customHeight="1" x14ac:dyDescent="0.25">
      <c r="C121" s="644">
        <v>233041.58577018068</v>
      </c>
      <c r="D121" s="82"/>
      <c r="E121" s="56"/>
      <c r="F121" s="56"/>
      <c r="G121" s="56"/>
      <c r="H121" s="56"/>
      <c r="I121" s="56"/>
      <c r="J121" s="56">
        <v>28</v>
      </c>
      <c r="K121" s="56">
        <v>30</v>
      </c>
      <c r="L121" s="57">
        <v>21</v>
      </c>
      <c r="M121" s="3"/>
      <c r="Q121" s="3"/>
      <c r="R121" s="3"/>
      <c r="S121" s="3"/>
    </row>
    <row r="122" spans="1:19" ht="12.9" customHeight="1" thickBot="1" x14ac:dyDescent="0.3">
      <c r="C122" s="648">
        <v>230414.25785354595</v>
      </c>
      <c r="D122" s="152"/>
      <c r="E122" s="59"/>
      <c r="F122" s="59"/>
      <c r="G122" s="59"/>
      <c r="H122" s="59"/>
      <c r="I122" s="59"/>
      <c r="J122" s="59">
        <v>30</v>
      </c>
      <c r="K122" s="59">
        <v>32</v>
      </c>
      <c r="L122" s="60">
        <v>22</v>
      </c>
      <c r="M122" s="3"/>
      <c r="Q122" s="3"/>
      <c r="R122" s="3"/>
      <c r="S122" s="3"/>
    </row>
    <row r="123" spans="1:19" ht="12.9" customHeight="1" thickBot="1" x14ac:dyDescent="0.3">
      <c r="E123" s="3"/>
      <c r="I123" s="3"/>
      <c r="M123" s="3"/>
      <c r="Q123" s="3"/>
      <c r="R123" s="3"/>
      <c r="S123" s="3"/>
    </row>
    <row r="124" spans="1:19" ht="12.9" customHeight="1" x14ac:dyDescent="0.25">
      <c r="C124" s="1080" t="str">
        <f>Lang!$A$45</f>
        <v>Premium materials</v>
      </c>
      <c r="D124" s="1081"/>
      <c r="E124" s="1081"/>
      <c r="F124" s="102">
        <v>0.05</v>
      </c>
      <c r="I124" s="3"/>
      <c r="J124" s="2"/>
      <c r="M124" s="3"/>
      <c r="Q124" s="3"/>
      <c r="R124" s="3"/>
      <c r="S124" s="3"/>
    </row>
    <row r="125" spans="1:19" ht="12.9" customHeight="1" x14ac:dyDescent="0.25">
      <c r="C125" s="872" t="str">
        <f>Lang!$A$145</f>
        <v>Profit</v>
      </c>
      <c r="D125" s="873">
        <v>1</v>
      </c>
      <c r="E125" s="873">
        <v>2</v>
      </c>
      <c r="F125" s="874">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2:19" ht="12.9" customHeight="1" x14ac:dyDescent="0.25">
      <c r="C129" s="644"/>
      <c r="D129" s="129"/>
      <c r="E129" s="63"/>
      <c r="F129" s="64"/>
      <c r="I129" s="3"/>
      <c r="J129" s="2"/>
      <c r="M129" s="3"/>
      <c r="Q129" s="3"/>
      <c r="R129" s="3"/>
      <c r="S129" s="3"/>
    </row>
    <row r="130" spans="2:19" ht="12.9" customHeight="1" x14ac:dyDescent="0.25">
      <c r="C130" s="644"/>
      <c r="D130" s="129"/>
      <c r="E130" s="129"/>
      <c r="F130" s="131"/>
      <c r="I130" s="3"/>
      <c r="J130" s="2"/>
      <c r="M130" s="3"/>
      <c r="Q130" s="3"/>
      <c r="R130" s="3"/>
      <c r="S130" s="3"/>
    </row>
    <row r="131" spans="2:19" ht="12.9" customHeight="1" x14ac:dyDescent="0.25">
      <c r="C131" s="644"/>
      <c r="D131" s="129"/>
      <c r="E131" s="63"/>
      <c r="F131" s="64"/>
      <c r="I131" s="3"/>
      <c r="J131" s="2"/>
      <c r="M131" s="3"/>
      <c r="Q131" s="3"/>
      <c r="R131" s="3"/>
      <c r="S131" s="3"/>
    </row>
    <row r="132" spans="2:19" ht="12.9" customHeight="1" x14ac:dyDescent="0.25">
      <c r="C132" s="646">
        <v>-22671.013839009218</v>
      </c>
      <c r="D132" s="130">
        <v>0</v>
      </c>
      <c r="E132" s="130"/>
      <c r="F132" s="132"/>
      <c r="I132" s="3"/>
      <c r="J132" s="2"/>
      <c r="M132" s="3"/>
      <c r="Q132" s="3"/>
      <c r="R132" s="3"/>
      <c r="S132" s="3"/>
    </row>
    <row r="133" spans="2:19" ht="12.9" customHeight="1" x14ac:dyDescent="0.25">
      <c r="C133" s="644">
        <v>-21191.628785667475</v>
      </c>
      <c r="D133" s="129">
        <v>0.05</v>
      </c>
      <c r="E133" s="129"/>
      <c r="F133" s="131"/>
      <c r="I133" s="3"/>
      <c r="J133" s="2"/>
      <c r="M133" s="3"/>
      <c r="Q133" s="3"/>
      <c r="R133" s="3"/>
      <c r="S133" s="3"/>
    </row>
    <row r="134" spans="2:19" ht="12.9" customHeight="1" x14ac:dyDescent="0.25">
      <c r="C134" s="644">
        <v>-19708.131163914455</v>
      </c>
      <c r="D134" s="129">
        <v>0.1</v>
      </c>
      <c r="E134" s="63"/>
      <c r="F134" s="64"/>
      <c r="I134" s="3"/>
      <c r="J134" s="2"/>
      <c r="M134" s="3"/>
      <c r="Q134" s="3"/>
      <c r="R134" s="3"/>
      <c r="S134" s="3"/>
    </row>
    <row r="135" spans="2:19" ht="12.9" customHeight="1" x14ac:dyDescent="0.25">
      <c r="C135" s="644">
        <v>-18220.520972100552</v>
      </c>
      <c r="D135" s="129">
        <v>0.15000000000000002</v>
      </c>
      <c r="E135" s="129"/>
      <c r="F135" s="131"/>
      <c r="I135" s="3"/>
      <c r="J135" s="2"/>
      <c r="M135" s="3"/>
      <c r="Q135" s="3"/>
      <c r="R135" s="3"/>
      <c r="S135" s="3"/>
    </row>
    <row r="136" spans="2:19" ht="12.9" customHeight="1" x14ac:dyDescent="0.25">
      <c r="C136" s="644">
        <v>-12728.798208592692</v>
      </c>
      <c r="D136" s="129">
        <v>0.2</v>
      </c>
      <c r="E136" s="129"/>
      <c r="F136" s="131"/>
      <c r="I136" s="3"/>
      <c r="J136" s="2"/>
      <c r="M136" s="3"/>
      <c r="Q136" s="3"/>
      <c r="R136" s="3"/>
      <c r="S136" s="3"/>
    </row>
    <row r="137" spans="2:19" ht="12.9" customHeight="1" x14ac:dyDescent="0.25">
      <c r="C137" s="644">
        <v>-11232.962871774333</v>
      </c>
      <c r="D137" s="129">
        <v>0.25</v>
      </c>
      <c r="E137" s="63"/>
      <c r="F137" s="64"/>
      <c r="I137" s="3"/>
      <c r="J137" s="2"/>
      <c r="M137" s="3"/>
      <c r="Q137" s="3"/>
      <c r="R137" s="3"/>
      <c r="S137" s="3"/>
    </row>
    <row r="138" spans="2:19" ht="12.9" customHeight="1" thickBot="1" x14ac:dyDescent="0.3">
      <c r="C138" s="648">
        <v>-9733.0149600391742</v>
      </c>
      <c r="D138" s="604">
        <v>0.30000000000000004</v>
      </c>
      <c r="E138" s="65"/>
      <c r="F138" s="66"/>
      <c r="I138" s="3"/>
      <c r="J138" s="2"/>
      <c r="M138" s="3"/>
      <c r="Q138" s="3"/>
      <c r="R138" s="3"/>
      <c r="S138" s="3"/>
    </row>
    <row r="139" spans="2:19" x14ac:dyDescent="0.25">
      <c r="B139" s="2"/>
      <c r="E139" s="3"/>
      <c r="F139" s="2"/>
      <c r="I139" s="3"/>
      <c r="J139" s="2"/>
      <c r="K139" s="2"/>
      <c r="L139" s="8"/>
      <c r="M139" s="3"/>
      <c r="Q139" s="3"/>
      <c r="R139" s="3"/>
      <c r="S139" s="3"/>
    </row>
    <row r="140" spans="2:19" x14ac:dyDescent="0.25">
      <c r="B140" s="2"/>
      <c r="E140" s="3"/>
      <c r="F140" s="2"/>
      <c r="I140" s="3"/>
      <c r="J140" s="2"/>
      <c r="K140" s="2"/>
      <c r="L140" s="8"/>
      <c r="M140" s="3"/>
      <c r="Q140" s="3"/>
      <c r="R140" s="3"/>
      <c r="S140" s="3"/>
    </row>
    <row r="141" spans="2:19" x14ac:dyDescent="0.25">
      <c r="B141" s="2"/>
      <c r="E141" s="3"/>
      <c r="F141" s="2"/>
      <c r="I141" s="3"/>
      <c r="J141" s="2"/>
      <c r="K141" s="2"/>
      <c r="L141" s="8"/>
      <c r="M141" s="3"/>
      <c r="Q141" s="3"/>
      <c r="R141" s="3"/>
      <c r="S141" s="3"/>
    </row>
    <row r="142" spans="2:19" x14ac:dyDescent="0.25">
      <c r="B142" s="2"/>
      <c r="E142" s="3"/>
      <c r="F142" s="2"/>
      <c r="I142" s="3"/>
      <c r="J142" s="2"/>
      <c r="K142" s="2"/>
      <c r="L142" s="8"/>
      <c r="M142" s="3"/>
      <c r="Q142" s="3"/>
      <c r="R142" s="3"/>
      <c r="S142" s="3"/>
    </row>
  </sheetData>
  <mergeCells count="135">
    <mergeCell ref="A1:C1"/>
    <mergeCell ref="F1:H1"/>
    <mergeCell ref="J1:L1"/>
    <mergeCell ref="N1:P1"/>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20:G20"/>
    <mergeCell ref="R26:T26"/>
    <mergeCell ref="V26:W26"/>
    <mergeCell ref="Y26:Y29"/>
    <mergeCell ref="A27:D27"/>
    <mergeCell ref="F27:G27"/>
    <mergeCell ref="F28:H28"/>
    <mergeCell ref="A32:C32"/>
    <mergeCell ref="F32:G32"/>
    <mergeCell ref="N26:P26"/>
    <mergeCell ref="A42:C4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41:G41"/>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H53:AI56"/>
    <mergeCell ref="AH57:AI60"/>
    <mergeCell ref="AH61:AI64"/>
    <mergeCell ref="AH65:AI68"/>
    <mergeCell ref="N66:N67"/>
    <mergeCell ref="AH69:AI72"/>
    <mergeCell ref="A47:D47"/>
    <mergeCell ref="F47:G47"/>
    <mergeCell ref="F48:G48"/>
    <mergeCell ref="F49:G49"/>
    <mergeCell ref="AH49:AI52"/>
    <mergeCell ref="F50:G50"/>
    <mergeCell ref="C92:K92"/>
    <mergeCell ref="C108:K108"/>
    <mergeCell ref="C124:E124"/>
    <mergeCell ref="AH93:AI96"/>
    <mergeCell ref="AH97:AI100"/>
    <mergeCell ref="AH101:AI104"/>
    <mergeCell ref="AH73:AI76"/>
    <mergeCell ref="N75:N76"/>
    <mergeCell ref="AH77:AI80"/>
    <mergeCell ref="AH81:AI84"/>
    <mergeCell ref="AH85:AI88"/>
    <mergeCell ref="AH89:AI92"/>
  </mergeCells>
  <conditionalFormatting sqref="J7:L9">
    <cfRule type="cellIs" dxfId="534" priority="187" operator="greaterThan">
      <formula>0</formula>
    </cfRule>
  </conditionalFormatting>
  <conditionalFormatting sqref="D1">
    <cfRule type="cellIs" dxfId="533" priority="184" operator="greaterThan">
      <formula>0</formula>
    </cfRule>
  </conditionalFormatting>
  <conditionalFormatting sqref="AA53:AE54 Q50">
    <cfRule type="cellIs" dxfId="532" priority="182" operator="lessThan">
      <formula>0</formula>
    </cfRule>
    <cfRule type="cellIs" dxfId="531" priority="183" operator="greaterThan">
      <formula>0</formula>
    </cfRule>
  </conditionalFormatting>
  <conditionalFormatting sqref="B48:D50">
    <cfRule type="colorScale" priority="181">
      <colorScale>
        <cfvo type="min"/>
        <cfvo type="percentile" val="50"/>
        <cfvo type="max"/>
        <color rgb="FF63BE7B"/>
        <color rgb="FFFFEB84"/>
        <color rgb="FFF8696B"/>
      </colorScale>
    </cfRule>
  </conditionalFormatting>
  <conditionalFormatting sqref="AK2:AM4">
    <cfRule type="colorScale" priority="176">
      <colorScale>
        <cfvo type="min"/>
        <cfvo type="percentile" val="50"/>
        <cfvo type="max"/>
        <color rgb="FFF8696B"/>
        <color rgb="FFFFEB84"/>
        <color rgb="FF63BE7B"/>
      </colorScale>
    </cfRule>
  </conditionalFormatting>
  <conditionalFormatting sqref="AA55:AE55">
    <cfRule type="cellIs" dxfId="530" priority="173" operator="lessThan">
      <formula>0</formula>
    </cfRule>
    <cfRule type="cellIs" dxfId="529" priority="174" operator="greaterThan">
      <formula>0</formula>
    </cfRule>
  </conditionalFormatting>
  <conditionalFormatting sqref="AJ112">
    <cfRule type="colorScale" priority="200">
      <colorScale>
        <cfvo type="min"/>
        <cfvo type="percentile" val="50"/>
        <cfvo type="max"/>
        <color rgb="FFF8696B"/>
        <color rgb="FFFFEB84"/>
        <color rgb="FF63BE7B"/>
      </colorScale>
    </cfRule>
  </conditionalFormatting>
  <conditionalFormatting sqref="T46">
    <cfRule type="cellIs" dxfId="528" priority="163" operator="greaterThan">
      <formula>0</formula>
    </cfRule>
  </conditionalFormatting>
  <conditionalFormatting sqref="C28:C30">
    <cfRule type="cellIs" dxfId="527" priority="160" operator="lessThan">
      <formula>5</formula>
    </cfRule>
  </conditionalFormatting>
  <conditionalFormatting sqref="D35">
    <cfRule type="cellIs" dxfId="526" priority="202" operator="between">
      <formula>$D$40-$D$40*0.05</formula>
      <formula>$D$40+$D$40*0.05</formula>
    </cfRule>
  </conditionalFormatting>
  <conditionalFormatting sqref="B33:B34">
    <cfRule type="cellIs" dxfId="525" priority="203" operator="between">
      <formula>$B$38-$B$38*0.05</formula>
      <formula>$B$38+$B$38*0.05</formula>
    </cfRule>
  </conditionalFormatting>
  <conditionalFormatting sqref="B35">
    <cfRule type="cellIs" dxfId="524" priority="204" operator="between">
      <formula>$B$40-$B$40*0.05</formula>
      <formula>$B$40+$B$40*0.05</formula>
    </cfRule>
  </conditionalFormatting>
  <conditionalFormatting sqref="C33:C34">
    <cfRule type="cellIs" dxfId="523" priority="205" operator="between">
      <formula>$C$38-$C$38*0.05</formula>
      <formula>$C$38+$C$38*0.05</formula>
    </cfRule>
  </conditionalFormatting>
  <conditionalFormatting sqref="C35">
    <cfRule type="cellIs" dxfId="522" priority="206" operator="between">
      <formula>$C$40-$C$40*0.05</formula>
      <formula>$C$40+$C$40*0.05</formula>
    </cfRule>
  </conditionalFormatting>
  <conditionalFormatting sqref="D33:D34">
    <cfRule type="cellIs" dxfId="521" priority="207" operator="between">
      <formula>$D$38-$D$38*0.05</formula>
      <formula>$D$38+$D$38*0.05</formula>
    </cfRule>
  </conditionalFormatting>
  <conditionalFormatting sqref="M67">
    <cfRule type="cellIs" dxfId="520" priority="158" operator="lessThan">
      <formula>0</formula>
    </cfRule>
  </conditionalFormatting>
  <conditionalFormatting sqref="O67">
    <cfRule type="cellIs" dxfId="519" priority="157" operator="greaterThan">
      <formula>$P$72</formula>
    </cfRule>
  </conditionalFormatting>
  <conditionalFormatting sqref="I10">
    <cfRule type="cellIs" dxfId="518" priority="152" operator="equal">
      <formula>0</formula>
    </cfRule>
  </conditionalFormatting>
  <conditionalFormatting sqref="J37:L39">
    <cfRule type="cellIs" dxfId="517" priority="142" operator="lessThan">
      <formula>0</formula>
    </cfRule>
  </conditionalFormatting>
  <conditionalFormatting sqref="I26">
    <cfRule type="cellIs" dxfId="516" priority="141" operator="lessThan">
      <formula>$I$27</formula>
    </cfRule>
  </conditionalFormatting>
  <conditionalFormatting sqref="H19">
    <cfRule type="cellIs" dxfId="515" priority="140" operator="greaterThan">
      <formula>0</formula>
    </cfRule>
  </conditionalFormatting>
  <conditionalFormatting sqref="A13">
    <cfRule type="cellIs" dxfId="514" priority="131" operator="lessThan">
      <formula>0</formula>
    </cfRule>
  </conditionalFormatting>
  <conditionalFormatting sqref="M66">
    <cfRule type="cellIs" dxfId="513" priority="130" operator="lessThan">
      <formula>0</formula>
    </cfRule>
  </conditionalFormatting>
  <conditionalFormatting sqref="D55:D71 D74:D76 D80:D81">
    <cfRule type="cellIs" dxfId="512" priority="128" operator="between">
      <formula>C55-C55*0.01</formula>
      <formula>C55+C55*0.01</formula>
    </cfRule>
  </conditionalFormatting>
  <conditionalFormatting sqref="I56 I58:I78 I80:I83">
    <cfRule type="cellIs" dxfId="511" priority="127" operator="between">
      <formula>H56-H56*0.01</formula>
      <formula>H56+H56*0.01</formula>
    </cfRule>
  </conditionalFormatting>
  <conditionalFormatting sqref="N56:N59 N80 N83:N86 N70 N62:N66 N68 N73:N75 N77:N78">
    <cfRule type="cellIs" dxfId="510" priority="126" operator="between">
      <formula>M56-M56*0.01</formula>
      <formula>M56+M56*0.01</formula>
    </cfRule>
  </conditionalFormatting>
  <conditionalFormatting sqref="S56:S60 S76:S79 S69:S74 S63:S66">
    <cfRule type="cellIs" dxfId="509" priority="125" operator="between">
      <formula>R56-R56*0.01</formula>
      <formula>R56+R56*0.01</formula>
    </cfRule>
  </conditionalFormatting>
  <conditionalFormatting sqref="H31:H32">
    <cfRule type="cellIs" dxfId="508" priority="122" operator="lessThan">
      <formula>0</formula>
    </cfRule>
  </conditionalFormatting>
  <conditionalFormatting sqref="I15">
    <cfRule type="cellIs" dxfId="507" priority="7" operator="lessThan">
      <formula>1</formula>
    </cfRule>
    <cfRule type="cellIs" dxfId="506" priority="119" operator="greaterThan">
      <formula>$I$16</formula>
    </cfRule>
  </conditionalFormatting>
  <conditionalFormatting sqref="I2">
    <cfRule type="cellIs" dxfId="505" priority="113" operator="lessThan">
      <formula>$I$6</formula>
    </cfRule>
    <cfRule type="cellIs" dxfId="504" priority="114" operator="greaterThan">
      <formula>$I$3</formula>
    </cfRule>
  </conditionalFormatting>
  <conditionalFormatting sqref="B10:D10">
    <cfRule type="cellIs" dxfId="503" priority="111" operator="lessThan">
      <formula>B$11</formula>
    </cfRule>
  </conditionalFormatting>
  <conditionalFormatting sqref="I49">
    <cfRule type="cellIs" dxfId="502" priority="94" operator="lessThan">
      <formula>$I$50</formula>
    </cfRule>
  </conditionalFormatting>
  <conditionalFormatting sqref="B16:D17">
    <cfRule type="cellIs" dxfId="501" priority="89" operator="equal">
      <formula>"Major"</formula>
    </cfRule>
  </conditionalFormatting>
  <conditionalFormatting sqref="T108:T115">
    <cfRule type="colorScale" priority="41">
      <colorScale>
        <cfvo type="min"/>
        <cfvo type="percentile" val="50"/>
        <cfvo type="max"/>
        <color rgb="FFF8696B"/>
        <color rgb="FFFFEB84"/>
        <color rgb="FF63BE7B"/>
      </colorScale>
    </cfRule>
  </conditionalFormatting>
  <conditionalFormatting sqref="B13">
    <cfRule type="cellIs" dxfId="500" priority="30" operator="lessThan">
      <formula>0</formula>
    </cfRule>
  </conditionalFormatting>
  <conditionalFormatting sqref="E9">
    <cfRule type="cellIs" dxfId="499" priority="28" operator="greaterThan">
      <formula>0</formula>
    </cfRule>
    <cfRule type="cellIs" dxfId="498" priority="29" operator="lessThan">
      <formula>0</formula>
    </cfRule>
  </conditionalFormatting>
  <conditionalFormatting sqref="E7">
    <cfRule type="cellIs" dxfId="497" priority="26" operator="greaterThan">
      <formula>0</formula>
    </cfRule>
    <cfRule type="cellIs" dxfId="496" priority="27" operator="lessThan">
      <formula>0</formula>
    </cfRule>
  </conditionalFormatting>
  <conditionalFormatting sqref="H45">
    <cfRule type="cellIs" dxfId="495" priority="25" operator="lessThan">
      <formula>$I$45</formula>
    </cfRule>
  </conditionalFormatting>
  <conditionalFormatting sqref="O66">
    <cfRule type="cellIs" dxfId="494" priority="24" operator="greaterThan">
      <formula>$P$72</formula>
    </cfRule>
  </conditionalFormatting>
  <conditionalFormatting sqref="H42">
    <cfRule type="expression" dxfId="493" priority="21">
      <formula>AND(H42&gt;0,H82&lt;H80)</formula>
    </cfRule>
  </conditionalFormatting>
  <conditionalFormatting sqref="C110:C122">
    <cfRule type="colorScale" priority="20">
      <colorScale>
        <cfvo type="min"/>
        <cfvo type="percentile" val="50"/>
        <cfvo type="max"/>
        <color rgb="FFF8696B"/>
        <color rgb="FFFFEB84"/>
        <color rgb="FF63BE7B"/>
      </colorScale>
    </cfRule>
  </conditionalFormatting>
  <conditionalFormatting sqref="C94:C106">
    <cfRule type="colorScale" priority="19">
      <colorScale>
        <cfvo type="min"/>
        <cfvo type="percentile" val="50"/>
        <cfvo type="max"/>
        <color rgb="FFF8696B"/>
        <color rgb="FFFFEB84"/>
        <color rgb="FF63BE7B"/>
      </colorScale>
    </cfRule>
  </conditionalFormatting>
  <conditionalFormatting sqref="C126:C138">
    <cfRule type="colorScale" priority="17">
      <colorScale>
        <cfvo type="min"/>
        <cfvo type="percentile" val="50"/>
        <cfvo type="max"/>
        <color rgb="FFF8696B"/>
        <color rgb="FFFFEB84"/>
        <color rgb="FF63BE7B"/>
      </colorScale>
    </cfRule>
  </conditionalFormatting>
  <conditionalFormatting sqref="E13">
    <cfRule type="cellIs" dxfId="492" priority="11" operator="greaterThan">
      <formula>0</formula>
    </cfRule>
    <cfRule type="cellIs" dxfId="491" priority="12" operator="lessThan">
      <formula>0</formula>
    </cfRule>
  </conditionalFormatting>
  <conditionalFormatting sqref="B43:D45">
    <cfRule type="cellIs" dxfId="490" priority="10" operator="lessThan">
      <formula>1</formula>
    </cfRule>
  </conditionalFormatting>
  <conditionalFormatting sqref="I12">
    <cfRule type="cellIs" dxfId="489" priority="9" operator="lessThan">
      <formula>10</formula>
    </cfRule>
  </conditionalFormatting>
  <conditionalFormatting sqref="B18">
    <cfRule type="cellIs" dxfId="488" priority="5" operator="lessThan">
      <formula>E20</formula>
    </cfRule>
  </conditionalFormatting>
  <conditionalFormatting sqref="C18">
    <cfRule type="cellIs" dxfId="487" priority="4" operator="lessThan">
      <formula>E21</formula>
    </cfRule>
  </conditionalFormatting>
  <conditionalFormatting sqref="D18">
    <cfRule type="cellIs" dxfId="486" priority="3" operator="lessThan">
      <formula>E22</formula>
    </cfRule>
  </conditionalFormatting>
  <conditionalFormatting sqref="B8:D8">
    <cfRule type="cellIs" dxfId="485" priority="2" operator="lessThan">
      <formula>#REF!</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703" r:id="rId4" name="Button 263">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3705" r:id="rId5" name="Button 265">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3706" r:id="rId6" name="Button 266">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3707" r:id="rId7" name="Button 267">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3708" r:id="rId8" name="Button 268">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3709" r:id="rId9" name="Button 269">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3710" r:id="rId10" name="Button 270">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3711" r:id="rId11" name="Button 271">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3712" r:id="rId12" name="Button 272">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3713" r:id="rId13" name="Button 273">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3724" r:id="rId14" name="Button 284">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3725" r:id="rId15" name="Button 285">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3726" r:id="rId16" name="Button 286">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3727" r:id="rId17" name="Button 287">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3731" r:id="rId18" name="Button 291">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01D95D0E-B843-4E05-8818-AB2888BC0E4D}">
            <xm:f>'61'!$P$25*1.15</xm:f>
            <x14:dxf>
              <font>
                <color rgb="FF9C0006"/>
              </font>
              <fill>
                <patternFill>
                  <bgColor rgb="FFFFC7CE"/>
                </patternFill>
              </fill>
            </x14:dxf>
          </x14:cfRule>
          <xm:sqref>H26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8">
    <tabColor theme="9" tint="0.59999389629810485"/>
  </sheetPr>
  <dimension ref="A1:AQ150"/>
  <sheetViews>
    <sheetView topLeftCell="H17" zoomScale="80" zoomScaleNormal="80" workbookViewId="0">
      <selection activeCell="J42" sqref="J42:L44"/>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100" t="str">
        <f>Lang!$A$1</f>
        <v>Production plan</v>
      </c>
      <c r="B1" s="1101"/>
      <c r="C1" s="1101"/>
      <c r="D1" s="69">
        <v>1</v>
      </c>
      <c r="F1" s="1100" t="str">
        <f>Lang!$A$2</f>
        <v>Production details</v>
      </c>
      <c r="G1" s="1101"/>
      <c r="H1" s="1102"/>
      <c r="J1" s="1131" t="str">
        <f>Lang!$A$3</f>
        <v>Stocks previous quarter</v>
      </c>
      <c r="K1" s="1139"/>
      <c r="L1" s="1140"/>
      <c r="N1" s="1141" t="str">
        <f>Lang!$A$4</f>
        <v>Total demand</v>
      </c>
      <c r="O1" s="1142"/>
      <c r="P1" s="1143"/>
      <c r="Q1" s="3"/>
      <c r="R1" s="1100" t="str">
        <f>Lang!$A$5</f>
        <v>A&amp;D - commission</v>
      </c>
      <c r="S1" s="1101"/>
      <c r="T1" s="1102"/>
      <c r="U1" s="2"/>
      <c r="V1" s="1131" t="str">
        <f>IF(X1=4,"Taxes","")</f>
        <v/>
      </c>
      <c r="W1" s="1132"/>
      <c r="X1" s="631">
        <f>'11'!S9</f>
        <v>2</v>
      </c>
      <c r="Y1" s="1114">
        <f>SUM(V2:X4)</f>
        <v>0</v>
      </c>
      <c r="AH1" s="1082" t="str">
        <f>Lang!$A$6</f>
        <v>Revenues, marginal costs</v>
      </c>
      <c r="AI1" s="1083"/>
      <c r="AJ1" s="136">
        <f ca="1">SUM(AK2:AM4)</f>
        <v>2429606</v>
      </c>
      <c r="AK1" s="26"/>
      <c r="AL1" s="26"/>
      <c r="AM1" s="27"/>
      <c r="AN1" s="138">
        <f ca="1">SUM(AO2:AQ4)</f>
        <v>0.59853303009574699</v>
      </c>
      <c r="AO1" s="26"/>
      <c r="AP1" s="26"/>
      <c r="AQ1" s="27"/>
    </row>
    <row r="2" spans="1:43" ht="12.9" customHeight="1" x14ac:dyDescent="0.25">
      <c r="A2" s="888" t="str">
        <f>Lang!$A$7</f>
        <v>Europe</v>
      </c>
      <c r="B2" s="391">
        <f ca="1">MAX(IF($D$1=2,'82'!U12,IF($D$1=1,J22,IF($M22&gt;0,FLOOR(J22/$M22*CEILING($J22/500+$K22/250+$L22/125,1),1),0))),0)</f>
        <v>1174</v>
      </c>
      <c r="C2" s="391">
        <f ca="1">MAX(IF($D$1=2,'82'!W12,IF($D$1=1,K22,IF($M22&gt;0,FLOOR(K22/$M22*CEILING($J22/500+$K22/250+$L22/125,1),1),0))),0)</f>
        <v>787</v>
      </c>
      <c r="D2" s="392">
        <f ca="1">MAX(IF($D$1=2,'82'!Y12,IF($D$1=1,L22,IF($M22&gt;0,FLOOR(L22/$M22*CEILING($J22/500+$K22/250+$L22/125,1),1),0))),0)</f>
        <v>415</v>
      </c>
      <c r="E2" s="447">
        <f ca="1">B2/500+C2/250+D2/125</f>
        <v>8.8160000000000007</v>
      </c>
      <c r="F2" s="1124" t="str">
        <f>Lang!$A$8</f>
        <v>Hours for details</v>
      </c>
      <c r="G2" s="1125"/>
      <c r="H2" s="394">
        <f ca="1">IF(ISNUMBER(H10),IF(H10&gt;0,MAX(((SUM(B2:B5)*60+SUM(C2:C5)*75+SUM(D2:D5)*120)-(IF(SUM(B2:B5)&lt;B7,SUM(B2:B5),B7)*60+IF(SUM(C2:C5)&lt;C7,SUM(C2:C5),C7)*75+IF(SUM(D2:D5)&lt;D7,SUM(D2:D5),D7)*120))/60/H10,0),0),0)</f>
        <v>5193.957000526987</v>
      </c>
      <c r="I2" s="455">
        <f ca="1">(H2+H6)/H5</f>
        <v>1.2488469048873778</v>
      </c>
      <c r="J2" s="397">
        <f>'72'!U31</f>
        <v>0</v>
      </c>
      <c r="K2" s="398">
        <f>'72'!W31</f>
        <v>0</v>
      </c>
      <c r="L2" s="399">
        <f>'72'!Y31</f>
        <v>0</v>
      </c>
      <c r="M2" s="482">
        <f ca="1">SUM(J2:L2)/SUM(J12:L12)</f>
        <v>0</v>
      </c>
      <c r="N2" s="900">
        <f ca="1">R17+N7+N12+N22+N27+N32+N37+N17+R2+R7+R12+R22+R27+R32+R37+R42</f>
        <v>0.2007385513981895</v>
      </c>
      <c r="O2" s="901">
        <f t="shared" ref="O2:P4" ca="1" si="0">S17+O7+O12+O22+O27+O32+O37+O17+S2+S7+S12+S22+S27+S32+S37+S42</f>
        <v>0.22003138568174141</v>
      </c>
      <c r="P2" s="902">
        <f t="shared" ca="1" si="0"/>
        <v>0.15888114215222787</v>
      </c>
      <c r="Q2" s="113"/>
      <c r="R2" s="900">
        <f ca="1">($D28*100+OFFSET(History!$C$45,$B$52,0)*Config!$H9+OFFSET(History!$C$44,$B$52,0)*Config!$H9^2+OFFSET(History!$C$43,$B$52,0)*Config!$H9^3+1)^Config!$G9-(OFFSET(History!$C$45,$B$52,0)+OFFSET(History!$C$44,$B$52,0)*Config!$H9+OFFSET(History!$C$43,$B$52,0)*Config!$H9^2+OFFSET(History!$C$42,$B$52,0)*Config!$H9^3+1)^Config!$G9</f>
        <v>4.2234173140495157E-2</v>
      </c>
      <c r="S2" s="901">
        <f ca="1">($D28*100+OFFSET(History!$C$45,$B$52,0)*Config!$H9+OFFSET(History!$C$44,$B$52,0)*Config!$H9^2+OFFSET(History!$C$43,$B$52,0)*Config!$H9^3+1)^Config!$G9-(OFFSET(History!$C$45,$B$52,0)+OFFSET(History!$C$44,$B$52,0)*Config!$H9+OFFSET(History!$C$43,$B$52,0)*Config!$H9^2+OFFSET(History!$C$42,$B$52,0)*Config!$H9^3+1)^Config!$G9</f>
        <v>4.2234173140495157E-2</v>
      </c>
      <c r="T2" s="902">
        <f ca="1">($D28*100+OFFSET(History!$C$45,$B$52,0)*Config!$H9+OFFSET(History!$C$44,$B$52,0)*Config!$H9^2+OFFSET(History!$C$43,$B$52,0)*Config!$H9^3+1)^Config!$G9-(OFFSET(History!$C$45,$B$52,0)+OFFSET(History!$C$44,$B$52,0)*Config!$H9+OFFSET(History!$C$43,$B$52,0)*Config!$H9^2+OFFSET(History!$C$42,$B$52,0)*Config!$H9^3+1)^Config!$G9</f>
        <v>4.2234173140495157E-2</v>
      </c>
      <c r="U2" s="2"/>
      <c r="V2" s="638">
        <f>'12'!$U$17</f>
        <v>0</v>
      </c>
      <c r="W2" s="639">
        <f>'12'!$W$17</f>
        <v>0</v>
      </c>
      <c r="X2" s="640">
        <f>'12'!$Y$17</f>
        <v>0</v>
      </c>
      <c r="Y2" s="1114"/>
      <c r="AH2" s="1084"/>
      <c r="AI2" s="1085"/>
      <c r="AJ2" s="5"/>
      <c r="AK2" s="34">
        <f t="shared" ref="AK2:AM4" ca="1" si="1">J17*J42</f>
        <v>402682</v>
      </c>
      <c r="AL2" s="34">
        <f t="shared" ca="1" si="1"/>
        <v>387204</v>
      </c>
      <c r="AM2" s="35">
        <f t="shared" ca="1" si="1"/>
        <v>295480</v>
      </c>
      <c r="AN2" s="5"/>
      <c r="AO2" s="63">
        <f t="shared" ref="AO2:AQ4" ca="1" si="2">B48/SUM($AO$6:$AQ$8)*AO6</f>
        <v>8.4457485571967209E-2</v>
      </c>
      <c r="AP2" s="63">
        <f t="shared" ca="1" si="2"/>
        <v>9.5259475787762851E-2</v>
      </c>
      <c r="AQ2" s="64">
        <f t="shared" ca="1" si="2"/>
        <v>8.833776660883845E-2</v>
      </c>
    </row>
    <row r="3" spans="1:43" ht="12.9" customHeight="1" x14ac:dyDescent="0.25">
      <c r="A3" s="888" t="str">
        <f>Lang!$A$9</f>
        <v>Nafta</v>
      </c>
      <c r="B3" s="391">
        <f ca="1">MAX(IF($D$1=2,'82'!U13,IF($D$1=1,J23,IF($M23&gt;0,FLOOR(J23/$M23*CEILING($J23/500+$K23/250+$L23/125,1),1),0))),0)</f>
        <v>595</v>
      </c>
      <c r="C3" s="391">
        <f ca="1">MAX(IF($D$1=2,'82'!W13,IF($D$1=1,K23,IF($M23&gt;0,FLOOR(K23/$M23*CEILING($J23/500+$K23/250+$L23/125,1),1),0))),0)</f>
        <v>362</v>
      </c>
      <c r="D3" s="392">
        <f ca="1">MAX(IF($D$1=2,'82'!Y13,IF($D$1=1,L23,IF($M23&gt;0,FLOOR(L23/$M23*CEILING($J23/500+$K23/250+$L23/125,1),1),0))),0)</f>
        <v>190</v>
      </c>
      <c r="E3" s="447">
        <f ca="1">B3/500+C3/250+D3/125</f>
        <v>4.1579999999999995</v>
      </c>
      <c r="F3" s="1124" t="str">
        <f>Lang!$A$10</f>
        <v>7 days</v>
      </c>
      <c r="G3" s="1125"/>
      <c r="H3" s="454">
        <f>IF(H11=1,H7*(420+84+72),H7*H11*(420+42+72))</f>
        <v>5340</v>
      </c>
      <c r="I3" s="456">
        <f>H3/H5</f>
        <v>1.2714285714285714</v>
      </c>
      <c r="J3" s="397">
        <f>'72'!U32</f>
        <v>43</v>
      </c>
      <c r="K3" s="398">
        <f>'72'!W32</f>
        <v>45</v>
      </c>
      <c r="L3" s="399">
        <f>'72'!Y32</f>
        <v>17</v>
      </c>
      <c r="M3" s="482">
        <f ca="1">SUM(J3:L3)/SUM(J13:L13)</f>
        <v>9.1543156059285091E-2</v>
      </c>
      <c r="N3" s="900">
        <f ca="1">R18+N8+N13+N23+N28+N33+N38+N18+R3+R8+R13+R23+R28+R33+R38+R43</f>
        <v>0.6826711724536656</v>
      </c>
      <c r="O3" s="901">
        <f t="shared" ca="1" si="0"/>
        <v>0.41024550263068765</v>
      </c>
      <c r="P3" s="902">
        <f t="shared" ca="1" si="0"/>
        <v>0.3531756122721148</v>
      </c>
      <c r="Q3" s="113"/>
      <c r="R3" s="900">
        <f ca="1">($D29*100+OFFSET(History!$F$45,$B$52,0)*Config!$H10+OFFSET(History!$F$44,$B$52,0)*Config!$H10^2+OFFSET(History!$F$43,$B$52,0)*Config!$H10^3+1)^Config!$G10-(OFFSET(History!$F$45,$B$52,0)+OFFSET(History!$F$44,$B$52,0)*Config!$H10+OFFSET(History!$F$43,$B$52,0)*Config!$H10^2+OFFSET(History!$F$42,$B$52,0)*Config!$H10^3+1)^Config!$G10</f>
        <v>4.2398817317633286E-2</v>
      </c>
      <c r="S3" s="901">
        <f ca="1">($D29*100+OFFSET(History!$F$45,$B$52,0)*Config!$H10+OFFSET(History!$F$44,$B$52,0)*Config!$H10^2+OFFSET(History!$F$43,$B$52,0)*Config!$H10^3+1)^Config!$G10-(OFFSET(History!$F$45,$B$52,0)+OFFSET(History!$F$44,$B$52,0)*Config!$H10+OFFSET(History!$F$43,$B$52,0)*Config!$H10^2+OFFSET(History!$F$42,$B$52,0)*Config!$H10^3+1)^Config!$G10</f>
        <v>4.2398817317633286E-2</v>
      </c>
      <c r="T3" s="902">
        <f ca="1">($D29*100+OFFSET(History!$F$45,$B$52,0)*Config!$H10+OFFSET(History!$F$44,$B$52,0)*Config!$H10^2+OFFSET(History!$F$43,$B$52,0)*Config!$H10^3+1)^Config!$G10-(OFFSET(History!$F$45,$B$52,0)+OFFSET(History!$F$44,$B$52,0)*Config!$H10+OFFSET(History!$F$43,$B$52,0)*Config!$H10^2+OFFSET(History!$F$42,$B$52,0)*Config!$H10^3+1)^Config!$G10</f>
        <v>4.2398817317633286E-2</v>
      </c>
      <c r="U3" s="2"/>
      <c r="V3" s="638">
        <f>'12'!$U$18</f>
        <v>0</v>
      </c>
      <c r="W3" s="639">
        <f>'12'!$W$18</f>
        <v>0</v>
      </c>
      <c r="X3" s="640">
        <f>'12'!$Y$18</f>
        <v>0</v>
      </c>
      <c r="Y3" s="1114"/>
      <c r="AH3" s="1084"/>
      <c r="AI3" s="1085"/>
      <c r="AJ3" s="5"/>
      <c r="AK3" s="34">
        <f t="shared" ca="1" si="1"/>
        <v>196350</v>
      </c>
      <c r="AL3" s="34">
        <f t="shared" ca="1" si="1"/>
        <v>177380</v>
      </c>
      <c r="AM3" s="35">
        <f t="shared" ca="1" si="1"/>
        <v>136800</v>
      </c>
      <c r="AN3" s="5"/>
      <c r="AO3" s="63">
        <f t="shared" ca="1" si="2"/>
        <v>5.4415228952932646E-2</v>
      </c>
      <c r="AP3" s="63">
        <f t="shared" ca="1" si="2"/>
        <v>5.4352862788243382E-2</v>
      </c>
      <c r="AQ3" s="64">
        <f t="shared" ca="1" si="2"/>
        <v>4.960021221048385E-2</v>
      </c>
    </row>
    <row r="4" spans="1:43" ht="12.9" customHeight="1" thickBot="1" x14ac:dyDescent="0.3">
      <c r="A4" s="888" t="str">
        <f>Lang!$A$11</f>
        <v>Internet</v>
      </c>
      <c r="B4" s="391">
        <f ca="1">MAX(IF($D$1=2,'82'!U14,IF($D$1=1,J24,IF($M24&gt;0,FLOOR(J24/$M24*CEILING($J24/500+$K24/250+$L24/125,1),1),0))),0)</f>
        <v>928</v>
      </c>
      <c r="C4" s="391">
        <f ca="1">MAX(IF($D$1=2,'82'!W14,IF($D$1=1,K24,IF($M24&gt;0,FLOOR(K24/$M24*CEILING($J24/500+$K24/250+$L24/125,1),1),0))),0)</f>
        <v>479</v>
      </c>
      <c r="D4" s="392">
        <f ca="1">MAX(IF($D$1=2,'82'!Y14,IF($D$1=1,L24,IF($M24&gt;0,FLOOR(L24/$M24*CEILING($J24/500+$K24/250+$L24/125,1),1),0))),0)</f>
        <v>253.99999999999997</v>
      </c>
      <c r="E4" s="447">
        <f ca="1">B4/500+C4/250+D4/125</f>
        <v>5.8040000000000003</v>
      </c>
      <c r="F4" s="1133" t="str">
        <f>Lang!$A$12</f>
        <v>6 days</v>
      </c>
      <c r="G4" s="1134"/>
      <c r="H4" s="399">
        <f>IF(H11=1,H7*(420+84),H7*H11*(420+42))</f>
        <v>4620</v>
      </c>
      <c r="I4" s="456">
        <f>H4/H5</f>
        <v>1.1000000000000001</v>
      </c>
      <c r="J4" s="400">
        <f>'72'!U33</f>
        <v>0</v>
      </c>
      <c r="K4" s="401">
        <f>'72'!W33</f>
        <v>0</v>
      </c>
      <c r="L4" s="402">
        <f>'72'!Y33</f>
        <v>0</v>
      </c>
      <c r="M4" s="482">
        <f ca="1">SUM(J4:L4)/SUM(J14:L14)</f>
        <v>0</v>
      </c>
      <c r="N4" s="903">
        <f ca="1">R19+N9+N14+N24+N29+N34+N39+N19+R4+R9+R14+R24+R29+R34+R39+R44</f>
        <v>0.36270217698464274</v>
      </c>
      <c r="O4" s="904">
        <f t="shared" ca="1" si="0"/>
        <v>0.13559108327085184</v>
      </c>
      <c r="P4" s="905">
        <f t="shared" ca="1" si="0"/>
        <v>9.8763956819270665E-3</v>
      </c>
      <c r="Q4" s="113"/>
      <c r="R4" s="903">
        <f ca="1">($D30*100+OFFSET(History!$I$45,$B$52,0)*Config!$H11+OFFSET(History!$I$44,$B$52,0)*Config!$H11^2+OFFSET(History!$I$43,$B$52,0)*Config!$H11^3+1)^Config!$G11-(OFFSET(History!$I$45,$B$52,0)+OFFSET(History!$I$44,$B$52,0)*Config!$H11+OFFSET(History!$I$43,$B$52,0)*Config!$H11^2+OFFSET(History!$I$42,$B$52,0)*Config!$H11^3+1)^Config!$G11</f>
        <v>1.2608086122257278E-2</v>
      </c>
      <c r="S4" s="904">
        <f ca="1">($D30*100+OFFSET(History!$I$45,$B$52,0)*Config!$H11+OFFSET(History!$I$44,$B$52,0)*Config!$H11^2+OFFSET(History!$I$43,$B$52,0)*Config!$H11^3+1)^Config!$G11-(OFFSET(History!$I$45,$B$52,0)+OFFSET(History!$I$44,$B$52,0)*Config!$H11+OFFSET(History!$I$43,$B$52,0)*Config!$H11^2+OFFSET(History!$I$42,$B$52,0)*Config!$H11^3+1)^Config!$G11</f>
        <v>1.2608086122257278E-2</v>
      </c>
      <c r="T4" s="905">
        <f ca="1">($D30*100+OFFSET(History!$I$45,$B$52,0)*Config!$H11+OFFSET(History!$I$44,$B$52,0)*Config!$H11^2+OFFSET(History!$I$43,$B$52,0)*Config!$H11^3+1)^Config!$G11-(OFFSET(History!$I$45,$B$52,0)+OFFSET(History!$I$44,$B$52,0)*Config!$H11+OFFSET(History!$I$43,$B$52,0)*Config!$H11^2+OFFSET(History!$I$42,$B$52,0)*Config!$H11^3+1)^Config!$G11</f>
        <v>1.2608086122257278E-2</v>
      </c>
      <c r="U4" s="2"/>
      <c r="V4" s="641">
        <f>'12'!$U$19</f>
        <v>0</v>
      </c>
      <c r="W4" s="642">
        <f>'12'!$W$19</f>
        <v>0</v>
      </c>
      <c r="X4" s="643">
        <f>'12'!$Y$19</f>
        <v>0</v>
      </c>
      <c r="Y4" s="1114"/>
      <c r="AH4" s="1086"/>
      <c r="AI4" s="1087"/>
      <c r="AJ4" s="9"/>
      <c r="AK4" s="36">
        <f t="shared" ca="1" si="1"/>
        <v>338720</v>
      </c>
      <c r="AL4" s="36">
        <f t="shared" ca="1" si="1"/>
        <v>277820</v>
      </c>
      <c r="AM4" s="37">
        <f t="shared" ca="1" si="1"/>
        <v>217169.99999999997</v>
      </c>
      <c r="AN4" s="9"/>
      <c r="AO4" s="65">
        <f t="shared" ca="1" si="2"/>
        <v>6.7718295832124062E-2</v>
      </c>
      <c r="AP4" s="65">
        <f t="shared" ca="1" si="2"/>
        <v>5.4695668585597816E-2</v>
      </c>
      <c r="AQ4" s="66">
        <f t="shared" ca="1" si="2"/>
        <v>4.969603375779677E-2</v>
      </c>
    </row>
    <row r="5" spans="1:43" ht="12.9" customHeight="1" thickBot="1" x14ac:dyDescent="0.3">
      <c r="A5" s="888" t="str">
        <f>Lang!$A$13</f>
        <v>Rejected</v>
      </c>
      <c r="B5" s="386">
        <f ca="1">IF($D$1=2,'82'!U8+'82'!U9,(B2+B3+B4)*AVERAGEIF(OFFSET(History!J2:J6,$B52,),"&gt;0"))</f>
        <v>76.303971859629726</v>
      </c>
      <c r="C5" s="386">
        <f ca="1">IF($D$1=2,'82'!W8+'82'!W9,(C2+C3+C4)*AVERAGEIF(OFFSET(History!K2:K6,$B52,),"&gt;0"))</f>
        <v>48.551637967761948</v>
      </c>
      <c r="D5" s="387">
        <f ca="1">IF($D$1=2,'82'!Y8+'82'!Y9,(D2+D3+D4)*AVERAGEIF(OFFSET(History!L2:L6,$B52,),"&gt;0"))</f>
        <v>26.562580273376824</v>
      </c>
      <c r="E5" s="18"/>
      <c r="F5" s="1133" t="str">
        <f>Lang!$A$14</f>
        <v>5 days</v>
      </c>
      <c r="G5" s="1134"/>
      <c r="H5" s="399">
        <f>H7*H11*420</f>
        <v>4200</v>
      </c>
      <c r="I5" s="456">
        <v>1</v>
      </c>
      <c r="J5" s="108">
        <f ca="1">SUM(J2:J4)/SUM(J12:J14)</f>
        <v>1.6437308868501529E-2</v>
      </c>
      <c r="K5" s="108">
        <f ca="1">SUM(K2:K4)/SUM(K12:K14)</f>
        <v>2.9182879377431907E-2</v>
      </c>
      <c r="L5" s="108">
        <f ca="1">SUM(L2:L4)/SUM(L12:L14)</f>
        <v>2.1065675340768277E-2</v>
      </c>
      <c r="Q5" s="3"/>
      <c r="R5" s="3"/>
      <c r="S5" s="3"/>
      <c r="U5" s="2"/>
      <c r="V5" s="2"/>
      <c r="W5" s="8"/>
      <c r="AH5" s="1082" t="str">
        <f>Lang!$A$15</f>
        <v>Costs per products</v>
      </c>
      <c r="AI5" s="1083"/>
      <c r="AJ5" s="136">
        <f ca="1">SUM(AJ9:AM12)</f>
        <v>672669.15930471011</v>
      </c>
      <c r="AK5" s="26"/>
      <c r="AL5" s="26"/>
      <c r="AM5" s="27"/>
      <c r="AN5" s="136">
        <f ca="1">SUM(AN9:AQ12)</f>
        <v>1484814.2200701595</v>
      </c>
      <c r="AO5" s="26"/>
      <c r="AP5" s="26"/>
      <c r="AQ5" s="27"/>
    </row>
    <row r="6" spans="1:43" ht="12.9" customHeight="1" x14ac:dyDescent="0.25">
      <c r="A6" s="888" t="str">
        <f>Lang!$A$16</f>
        <v>Guarantee</v>
      </c>
      <c r="B6" s="393">
        <f ca="1">IF($D$1=2,'82'!U36,AVERAGE(OFFSET(History!N2:N6,$B52,)))</f>
        <v>40.799999999999997</v>
      </c>
      <c r="C6" s="393">
        <f ca="1">IF($D$1=2,'82'!W36,AVERAGE(OFFSET(History!O2:O6,$B52,)))</f>
        <v>17</v>
      </c>
      <c r="D6" s="394">
        <f ca="1">IF($D$1=2,'82'!Y36,AVERAGE(OFFSET(History!P2:P6,$B52,)))</f>
        <v>9.8000000000000007</v>
      </c>
      <c r="F6" s="1124" t="str">
        <f>Lang!$A$17</f>
        <v>Hours breakdown</v>
      </c>
      <c r="G6" s="1125"/>
      <c r="H6" s="454">
        <f ca="1">IF(D1=2,'82'!G24,AVERAGE(OFFSET(History!E2:E6,$B52,)))</f>
        <v>51.2</v>
      </c>
      <c r="I6" s="456">
        <f>(H7*H11*4)*360/4/H5</f>
        <v>0.8571428571428571</v>
      </c>
      <c r="J6" s="1131" t="str">
        <f>Lang!$A$18</f>
        <v>Backlog of orders</v>
      </c>
      <c r="K6" s="1139"/>
      <c r="L6" s="1140"/>
      <c r="N6" s="1116" t="str">
        <f>Lang!$A$18</f>
        <v>Backlog of orders</v>
      </c>
      <c r="O6" s="1117"/>
      <c r="P6" s="1118"/>
      <c r="Q6" s="113"/>
      <c r="R6" s="1100" t="str">
        <f>Lang!$A$19</f>
        <v>A&amp;D - support</v>
      </c>
      <c r="S6" s="1101"/>
      <c r="T6" s="1102"/>
      <c r="U6" s="2"/>
      <c r="V6" s="1131" t="str">
        <f>IF(X6=4,"Taxes","")</f>
        <v/>
      </c>
      <c r="W6" s="1132"/>
      <c r="X6" s="634">
        <f>IF(X1=4,1,X1+1)</f>
        <v>3</v>
      </c>
      <c r="Y6" s="1114">
        <f>SUM(V7:X9)</f>
        <v>1175</v>
      </c>
      <c r="AH6" s="1084"/>
      <c r="AI6" s="1085"/>
      <c r="AJ6" s="5"/>
      <c r="AK6" s="6"/>
      <c r="AL6" s="6"/>
      <c r="AM6" s="7"/>
      <c r="AN6" s="5"/>
      <c r="AO6" s="6">
        <f t="shared" ref="AO6:AQ8" ca="1" si="3">AO10+$AN$9/SUM($AO$10:$AQ$12)*AO10+$AN10/SUM($AO10:$AQ10)*AO10</f>
        <v>227953.77358506271</v>
      </c>
      <c r="AP6" s="6">
        <f t="shared" ca="1" si="3"/>
        <v>237616.37725355086</v>
      </c>
      <c r="AQ6" s="7">
        <f t="shared" ca="1" si="3"/>
        <v>199859.51749942385</v>
      </c>
    </row>
    <row r="7" spans="1:43" ht="12.9" customHeight="1" x14ac:dyDescent="0.25">
      <c r="A7" s="888" t="str">
        <f>Lang!$A$20</f>
        <v>Components</v>
      </c>
      <c r="B7" s="393">
        <f>'72'!U45</f>
        <v>800</v>
      </c>
      <c r="C7" s="393">
        <f>'72'!W45</f>
        <v>800</v>
      </c>
      <c r="D7" s="394">
        <f>'72'!Y45</f>
        <v>0</v>
      </c>
      <c r="E7" s="473">
        <f ca="1">C13-(C13*0.25+(H7+H8)*25+(H20+H21)*10+FLOOR(IF(H31&gt;0,H31/1000*5,0),1)+(FLOOR(B7*0.25/6,1)+FLOOR(C7*0.5/6,1)+FLOOR(D7/6,1)))</f>
        <v>18</v>
      </c>
      <c r="F7" s="1124" t="str">
        <f>Lang!$A$21</f>
        <v>Machines</v>
      </c>
      <c r="G7" s="1125"/>
      <c r="H7" s="454">
        <f>'72'!G21-H9</f>
        <v>5</v>
      </c>
      <c r="J7" s="397">
        <f>'72'!U27</f>
        <v>81</v>
      </c>
      <c r="K7" s="398">
        <f>'72'!W27</f>
        <v>86</v>
      </c>
      <c r="L7" s="399">
        <f>'72'!Y27</f>
        <v>52</v>
      </c>
      <c r="N7" s="900">
        <f>IF('72'!U22&lt;'72'!U17,('72'!U17-'72'!U22)/'72'!U17*Config!$H$27,0)</f>
        <v>-4.6668891203449553E-2</v>
      </c>
      <c r="O7" s="901">
        <f>IF('72'!W22&lt;'72'!W17,('72'!W17-'72'!W22)/'72'!W17*Config!$H$27,0)</f>
        <v>-6.8628831606842799E-2</v>
      </c>
      <c r="P7" s="902">
        <f>IF('72'!Y22&lt;'72'!Y17,('72'!Y17-'72'!Y22)/'72'!Y17*Config!$H$27,0)</f>
        <v>-5.8002470822679827E-2</v>
      </c>
      <c r="Q7" s="113"/>
      <c r="R7" s="900"/>
      <c r="S7" s="901"/>
      <c r="T7" s="902"/>
      <c r="U7" s="2"/>
      <c r="V7" s="638">
        <f>'22'!$U$17</f>
        <v>592</v>
      </c>
      <c r="W7" s="639">
        <f>'22'!$W$17</f>
        <v>363</v>
      </c>
      <c r="X7" s="640">
        <f>'22'!$Y$17</f>
        <v>220</v>
      </c>
      <c r="Y7" s="1114"/>
      <c r="AH7" s="1084"/>
      <c r="AI7" s="1085"/>
      <c r="AJ7" s="5"/>
      <c r="AK7" s="6"/>
      <c r="AL7" s="6"/>
      <c r="AM7" s="7"/>
      <c r="AN7" s="5"/>
      <c r="AO7" s="6">
        <f t="shared" ca="1" si="3"/>
        <v>127768.05595731393</v>
      </c>
      <c r="AP7" s="6">
        <f t="shared" ca="1" si="3"/>
        <v>121483.10850301824</v>
      </c>
      <c r="AQ7" s="7">
        <f t="shared" ca="1" si="3"/>
        <v>101899.58091785082</v>
      </c>
    </row>
    <row r="8" spans="1:43" ht="12.9" customHeight="1" thickBot="1" x14ac:dyDescent="0.3">
      <c r="A8" s="888" t="str">
        <f>Lang!$A$22</f>
        <v>Subcontracting</v>
      </c>
      <c r="B8" s="428">
        <v>1000</v>
      </c>
      <c r="C8" s="428">
        <v>1000</v>
      </c>
      <c r="D8" s="429">
        <v>500</v>
      </c>
      <c r="F8" s="1124" t="str">
        <f>Lang!$A$295</f>
        <v>Machines to buy</v>
      </c>
      <c r="G8" s="1125"/>
      <c r="H8" s="458">
        <v>0</v>
      </c>
      <c r="I8" s="650"/>
      <c r="J8" s="397">
        <f>'72'!U28</f>
        <v>0</v>
      </c>
      <c r="K8" s="398">
        <f>'72'!W28</f>
        <v>0</v>
      </c>
      <c r="L8" s="399">
        <f>'72'!Y28</f>
        <v>0</v>
      </c>
      <c r="N8" s="900">
        <f>IF('72'!U23&lt;'72'!U18,('72'!U18-'72'!U23)/'72'!U18*Config!$H$27,0)</f>
        <v>0</v>
      </c>
      <c r="O8" s="901">
        <f>IF('72'!W23&lt;'72'!W18,('72'!W18-'72'!W23)/'72'!W18*Config!$H$27,0)</f>
        <v>0</v>
      </c>
      <c r="P8" s="902">
        <f>IF('72'!Y23&lt;'72'!Y18,('72'!Y18-'72'!Y23)/'72'!Y18*Config!$H$27,0)</f>
        <v>0</v>
      </c>
      <c r="Q8" s="113"/>
      <c r="R8" s="900"/>
      <c r="S8" s="901"/>
      <c r="T8" s="902"/>
      <c r="U8" s="2"/>
      <c r="V8" s="638">
        <f>'22'!$U$18</f>
        <v>0</v>
      </c>
      <c r="W8" s="639">
        <f>'22'!$W$18</f>
        <v>0</v>
      </c>
      <c r="X8" s="640">
        <f>'22'!$Y$18</f>
        <v>0</v>
      </c>
      <c r="Y8" s="1114"/>
      <c r="AH8" s="1086"/>
      <c r="AI8" s="1087"/>
      <c r="AJ8" s="9"/>
      <c r="AK8" s="10"/>
      <c r="AL8" s="10"/>
      <c r="AM8" s="11"/>
      <c r="AN8" s="9"/>
      <c r="AO8" s="10">
        <f t="shared" ca="1" si="3"/>
        <v>187206.11651052869</v>
      </c>
      <c r="AP8" s="10">
        <f t="shared" ca="1" si="3"/>
        <v>152514.30508195452</v>
      </c>
      <c r="AQ8" s="11">
        <f t="shared" ca="1" si="3"/>
        <v>128513.38476145572</v>
      </c>
    </row>
    <row r="9" spans="1:43" ht="12.9" customHeight="1" thickBot="1" x14ac:dyDescent="0.3">
      <c r="A9" s="888" t="str">
        <f>Lang!$A$23</f>
        <v>Components next quarter</v>
      </c>
      <c r="B9" s="393">
        <f ca="1">IF(SUM(B2:B5)&lt;B7,B7-SUM(B2:B5)+B8,B8)</f>
        <v>1000</v>
      </c>
      <c r="C9" s="393">
        <f ca="1">IF(SUM(C2:C5)&lt;C7,C7-SUM(C2:C5)+C8,C8)</f>
        <v>1000</v>
      </c>
      <c r="D9" s="394">
        <f ca="1">IF(SUM(D2:D5)&lt;D7,D7-SUM(D2:D5)+D8,D8)</f>
        <v>500</v>
      </c>
      <c r="E9" s="473">
        <f ca="1">C13-(C13*0.25+(H7+H8)*25+(H20+H21)*10+FLOOR(IF(H31&gt;0,H31/1000*5,0),1)+(FLOOR(B9*0.25/6,1)+FLOOR(C9*0.5/6,1)+FLOOR(D9/6,1)))</f>
        <v>-90</v>
      </c>
      <c r="F9" s="1124" t="str">
        <f>Lang!$A$24</f>
        <v>Machines to sell</v>
      </c>
      <c r="G9" s="1125"/>
      <c r="H9" s="480">
        <v>0</v>
      </c>
      <c r="I9" s="380"/>
      <c r="J9" s="400">
        <f>'72'!U29</f>
        <v>0</v>
      </c>
      <c r="K9" s="401">
        <f>'72'!W29</f>
        <v>0</v>
      </c>
      <c r="L9" s="402">
        <f>'72'!Y29</f>
        <v>0</v>
      </c>
      <c r="N9" s="903">
        <f>IF('72'!U24&lt;'72'!U19,('72'!U19-'72'!U24)/'72'!U19*Config!$H$27,0)</f>
        <v>-2.9054601005022605E-3</v>
      </c>
      <c r="O9" s="904">
        <f>IF('72'!W24&lt;'72'!W19,('72'!W19-'72'!W24)/'72'!W19*Config!$H$27,0)</f>
        <v>-9.2786419979179038E-2</v>
      </c>
      <c r="P9" s="905">
        <f>IF('72'!Y24&lt;'72'!Y19,('72'!Y19-'72'!Y24)/'72'!Y19*Config!$H$27,0)</f>
        <v>-0.10731825957547496</v>
      </c>
      <c r="Q9" s="113"/>
      <c r="R9" s="903">
        <f ca="1">($C30+OFFSET(History!$H$45,$B$52,0)*Config!$H2+OFFSET(History!$H$44,$B$52,0)*Config!$H2^2+OFFSET(History!$H$43,$B$52,0)*Config!$H2^3)^Config!$G2-(OFFSET(History!$H$45,$B$52,0)+OFFSET(History!$H$44,$B$52,0)*Config!$H2+OFFSET(History!$H$43,$B$52,0)*Config!$H2^2+OFFSET(History!$H$42,$B$52,0)*Config!$H2^3)^Config!$G2</f>
        <v>4.0610132850512182E-2</v>
      </c>
      <c r="S9" s="904">
        <f ca="1">($C30+OFFSET(History!$H$45,$B$52,0)*Config!$H2+OFFSET(History!$H$44,$B$52,0)*Config!$H2^2+OFFSET(History!$H$43,$B$52,0)*Config!$H2^3)^Config!$G2-(OFFSET(History!$H$45,$B$52,0)+OFFSET(History!$H$44,$B$52,0)*Config!$H2+OFFSET(History!$H$43,$B$52,0)*Config!$H2^2+OFFSET(History!$H$42,$B$52,0)*Config!$H2^3)^Config!$G2</f>
        <v>4.0610132850512182E-2</v>
      </c>
      <c r="T9" s="905">
        <f ca="1">($C30+OFFSET(History!$H$45,$B$52,0)*Config!$H2+OFFSET(History!$H$44,$B$52,0)*Config!$H2^2+OFFSET(History!$H$43,$B$52,0)*Config!$H2^3)^Config!$G2-(OFFSET(History!$H$45,$B$52,0)+OFFSET(History!$H$44,$B$52,0)*Config!$H2+OFFSET(History!$H$43,$B$52,0)*Config!$H2^2+OFFSET(History!$H$42,$B$52,0)*Config!$H2^3)^Config!$G2</f>
        <v>4.0610132850512182E-2</v>
      </c>
      <c r="U9" s="2"/>
      <c r="V9" s="641">
        <f>'22'!$U$19</f>
        <v>0</v>
      </c>
      <c r="W9" s="642">
        <f>'22'!$W$19</f>
        <v>0</v>
      </c>
      <c r="X9" s="643">
        <f>'22'!$Y$19</f>
        <v>0</v>
      </c>
      <c r="Y9" s="1114"/>
      <c r="AH9" s="1082" t="str">
        <f>Lang!$A$25</f>
        <v>Costs per items</v>
      </c>
      <c r="AI9" s="1083"/>
      <c r="AJ9" s="5">
        <f t="shared" ref="AJ9:AQ12" ca="1" si="4">AJ13+AJ17+AJ21+AJ25+AJ29+AJ33+AJ37+AJ41+AJ45+AJ49+AJ53+AJ57+AJ61+AJ65+AJ69+AJ73+AJ77+AJ81+AJ85+AJ89+AJ93+AJ97+AJ101</f>
        <v>306221.15930471005</v>
      </c>
      <c r="AK9" s="6">
        <f t="shared" ca="1" si="4"/>
        <v>47448</v>
      </c>
      <c r="AL9" s="6">
        <f t="shared" ca="1" si="4"/>
        <v>37550</v>
      </c>
      <c r="AM9" s="7">
        <f t="shared" ca="1" si="4"/>
        <v>32450</v>
      </c>
      <c r="AN9" s="5">
        <f t="shared" si="4"/>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127.24</v>
      </c>
      <c r="C10" s="398">
        <f ca="1">IF(H39&gt;0,INT(2*G33*H39/1000)+75,0)+(IF(H39&gt;0,INT(2*G33*1.5*H39/1000)+75,0)-IF(H39&gt;0,INT(2*G33*H39/1000)+75,0))*C22</f>
        <v>209.55</v>
      </c>
      <c r="D10" s="399">
        <f ca="1">IF(H39&gt;0,INT(3*G33*H39/1000)+120,0)+(IF(H39&gt;0,INT(3*G33*1.5*H39/1000)+120,0)-IF(H39&gt;0,INT(3*G33*H39/1000)+120,0))*D22</f>
        <v>324.7</v>
      </c>
      <c r="F10" s="1124" t="str">
        <f>Lang!$A$27</f>
        <v>Efficiency, %</v>
      </c>
      <c r="G10" s="1125"/>
      <c r="H10" s="922">
        <f>IF(D1=2,IF('82'!G$27=0,(I10*'72'!G19+1*'72'!G20)/'72'!G21,'82'!G$27/100),I10)</f>
        <v>0.93187500000000001</v>
      </c>
      <c r="I10" s="923">
        <f>(INDEX(Config!$AH$2:$ED$52,101-ROUND('72'!G27,0),ROUND(IF(I11&gt;100,100,I11),0)+1)/100)</f>
        <v>0.93187500000000001</v>
      </c>
      <c r="J10" s="8"/>
      <c r="K10" s="8"/>
      <c r="L10" s="8"/>
      <c r="Q10" s="3"/>
      <c r="R10" s="3"/>
      <c r="S10" s="3"/>
      <c r="U10" s="2"/>
      <c r="V10" s="2"/>
      <c r="W10" s="8"/>
      <c r="AH10" s="1084"/>
      <c r="AI10" s="1085"/>
      <c r="AJ10" s="5">
        <f t="shared" si="4"/>
        <v>80000</v>
      </c>
      <c r="AK10" s="6">
        <f t="shared" si="4"/>
        <v>6000</v>
      </c>
      <c r="AL10" s="6">
        <f t="shared" si="4"/>
        <v>6000</v>
      </c>
      <c r="AM10" s="7">
        <f t="shared" si="4"/>
        <v>5000</v>
      </c>
      <c r="AN10" s="5">
        <f t="shared" ca="1" si="4"/>
        <v>23400</v>
      </c>
      <c r="AO10" s="6">
        <f t="shared" ca="1" si="4"/>
        <v>219937.72236929284</v>
      </c>
      <c r="AP10" s="6">
        <f t="shared" ca="1" si="4"/>
        <v>229260.53817348671</v>
      </c>
      <c r="AQ10" s="7">
        <f t="shared" ca="1" si="4"/>
        <v>192831.40779525787</v>
      </c>
    </row>
    <row r="11" spans="1:43" ht="12.9" customHeight="1" x14ac:dyDescent="0.25">
      <c r="A11" s="13" t="str">
        <f>Lang!$A$28</f>
        <v>Price production</v>
      </c>
      <c r="B11" s="398">
        <f ca="1">((SUM(AO82:AO84)+SUM(AO90:AO92)+SUM(AO94:AO96))+($AJ53+$AJ93+$AJ97)/$AN5*SUM(AO6:AO8))/SUM(B2:B5)</f>
        <v>133.37990750620489</v>
      </c>
      <c r="C11" s="398">
        <f ca="1">((SUM(AP82:AP84)+SUM(AP90:AP92)+SUM(AP94:AP96))+($AJ53+$AJ93+$AJ97)/$AN5*SUM(AP6:AP8))/SUM(C2:C5)</f>
        <v>214.81687201748437</v>
      </c>
      <c r="D11" s="399">
        <f ca="1">((SUM(AQ82:AQ84)+SUM(AQ90:AQ92)+SUM(AQ94:AQ96))+($AJ53+$AJ93+$AJ97)/$AN5*SUM(AQ6:AQ8))/SUM(D2:D5)</f>
        <v>334.26974355786598</v>
      </c>
      <c r="F11" s="1124" t="str">
        <f>Lang!$A$29</f>
        <v>Shift level</v>
      </c>
      <c r="G11" s="1125"/>
      <c r="H11" s="458">
        <v>2</v>
      </c>
      <c r="I11" s="481">
        <f>IF('72'!G$23=0,0,'71'!P20/'71'!W20/('72'!G$25/'72'!G$23*IF('71'!W20=1,1.37,1.27)))</f>
        <v>16.152137405688457</v>
      </c>
      <c r="J11" s="1078" t="str">
        <f>Lang!$A$30</f>
        <v>Orders next quarter</v>
      </c>
      <c r="K11" s="1079"/>
      <c r="L11" s="1088"/>
      <c r="N11" s="1128" t="str">
        <f>Lang!$A$31</f>
        <v>Seasonality</v>
      </c>
      <c r="O11" s="1129"/>
      <c r="P11" s="1130"/>
      <c r="Q11" s="113"/>
      <c r="R11" s="1100" t="str">
        <f>Lang!$A$32</f>
        <v>A&amp;D - recruit</v>
      </c>
      <c r="S11" s="1101"/>
      <c r="T11" s="1102"/>
      <c r="U11" s="2"/>
      <c r="V11" s="1131" t="str">
        <f>IF(X11=4,"Taxes","")</f>
        <v>Taxes</v>
      </c>
      <c r="W11" s="1132"/>
      <c r="X11" s="634">
        <f>IF(X6=4,1,X6+1)</f>
        <v>4</v>
      </c>
      <c r="Y11" s="1114">
        <f>SUM(V12:X14)</f>
        <v>2576</v>
      </c>
      <c r="AH11" s="1084"/>
      <c r="AI11" s="1085"/>
      <c r="AJ11" s="5">
        <f t="shared" si="4"/>
        <v>55000</v>
      </c>
      <c r="AK11" s="6">
        <f t="shared" si="4"/>
        <v>6000</v>
      </c>
      <c r="AL11" s="6">
        <f t="shared" si="4"/>
        <v>7000</v>
      </c>
      <c r="AM11" s="7">
        <f t="shared" si="4"/>
        <v>7000</v>
      </c>
      <c r="AN11" s="5">
        <f t="shared" ca="1" si="4"/>
        <v>46500</v>
      </c>
      <c r="AO11" s="6">
        <f t="shared" ca="1" si="4"/>
        <v>110848.78501680512</v>
      </c>
      <c r="AP11" s="6">
        <f t="shared" ca="1" si="4"/>
        <v>105396.10137077788</v>
      </c>
      <c r="AQ11" s="7">
        <f t="shared" ca="1" si="4"/>
        <v>88405.858990599983</v>
      </c>
    </row>
    <row r="12" spans="1:43" ht="12.9" customHeight="1" thickBot="1" x14ac:dyDescent="0.3">
      <c r="A12" s="885" t="str">
        <f>Lang!$A$33</f>
        <v>CO2</v>
      </c>
      <c r="B12" s="886" t="str">
        <f>Lang!$A$34</f>
        <v>Available space</v>
      </c>
      <c r="C12" s="886" t="str">
        <f>Lang!$A$35</f>
        <v>Factory</v>
      </c>
      <c r="D12" s="493" t="str">
        <f>Lang!$A$36</f>
        <v>Space</v>
      </c>
      <c r="F12" s="1135" t="str">
        <f>Lang!$A$37</f>
        <v>Maintenance hours</v>
      </c>
      <c r="G12" s="1136"/>
      <c r="H12" s="396">
        <v>25</v>
      </c>
      <c r="I12" s="481">
        <f ca="1">H12/H11/(H2/H3*IF(H11=1,1.37,1.27))</f>
        <v>10.11927035837561</v>
      </c>
      <c r="J12" s="385">
        <f ca="1">'72'!U17*(1+N2+IF($T$46=1,R47,0))</f>
        <v>1093</v>
      </c>
      <c r="K12" s="386">
        <f ca="1">'72'!W17*(1+O2+IF($T$46=1,S47,0))</f>
        <v>701</v>
      </c>
      <c r="L12" s="387">
        <f ca="1">'72'!Y17*(1+P2+IF($T$46=1,T47,0))</f>
        <v>363</v>
      </c>
      <c r="N12" s="900">
        <f ca="1">IF(ISNUMBER(OFFSET(Config!G30,($B$52-1)*3,)),OFFSET(Config!G30,($B$52-1)*3,),IF(OFFSET(V7,($B$52-1)*5,)&gt;0,OFFSET(V7,($B$52-1)*5,)/OFFSET(V2,($B$52-1)*5,)-1,0))</f>
        <v>-2.7946050194379048E-2</v>
      </c>
      <c r="O12" s="901">
        <f ca="1">IF(ISNUMBER(OFFSET(Config!H30,($B$52-1)*3,)),OFFSET(Config!H30,($B$52-1)*3,),IF(OFFSET(W7,($B$52-1)*5,)&gt;0,OFFSET(W7,($B$52-1)*5,)/OFFSET(W2,($B$52-1)*5,)-1,0))</f>
        <v>-2.7946050194379048E-2</v>
      </c>
      <c r="P12" s="902">
        <f ca="1">IF(ISNUMBER(OFFSET(Config!I30,($B$52-1)*3,)),OFFSET(Config!I30,($B$52-1)*3,),IF(OFFSET(X7,($B$52-1)*5,)&gt;0,OFFSET(X7,($B$52-1)*5,)/OFFSET(X2,($B$52-1)*5,)-1,0))</f>
        <v>-2.7946050194379048E-2</v>
      </c>
      <c r="Q12" s="113"/>
      <c r="R12" s="900">
        <f ca="1">($E28+OFFSET(History!$A$45,$B$52,0)*Config!$H5+OFFSET(History!$A$44,$B$52,0)*Config!$H5^2+OFFSET(History!$A$43,$B$52,0)*Config!$H5^3)^Config!$G5-(OFFSET(History!$A$45,$B$52,0)+OFFSET(History!$A$44,$B$52,0)*Config!$H5+OFFSET(History!$A$43,$B$52,0)*Config!$H5^2+OFFSET(History!$A$42,$B$52,0)*Config!$H5^3)^Config!$G5</f>
        <v>0.14602810621735096</v>
      </c>
      <c r="S12" s="901">
        <f ca="1">($E28+OFFSET(History!$A$45,$B$52,0)*Config!$H5+OFFSET(History!$A$44,$B$52,0)*Config!$H5^2+OFFSET(History!$A$43,$B$52,0)*Config!$H5^3)^Config!$G5-(OFFSET(History!$A$45,$B$52,0)+OFFSET(History!$A$44,$B$52,0)*Config!$H5+OFFSET(History!$A$43,$B$52,0)*Config!$H5^2+OFFSET(History!$A$42,$B$52,0)*Config!$H5^3)^Config!$G5</f>
        <v>0.14602810621735096</v>
      </c>
      <c r="T12" s="902">
        <f ca="1">($E28+OFFSET(History!$A$45,$B$52,0)*Config!$H5+OFFSET(History!$A$44,$B$52,0)*Config!$H5^2+OFFSET(History!$A$43,$B$52,0)*Config!$H5^3)^Config!$G5-(OFFSET(History!$A$45,$B$52,0)+OFFSET(History!$A$44,$B$52,0)*Config!$H5+OFFSET(History!$A$43,$B$52,0)*Config!$H5^2+OFFSET(History!$A$42,$B$52,0)*Config!$H5^3)^Config!$G5</f>
        <v>0.14602810621735096</v>
      </c>
      <c r="U12" s="2"/>
      <c r="V12" s="638">
        <f>'32'!$U$17</f>
        <v>1367</v>
      </c>
      <c r="W12" s="639">
        <f>'32'!$W$17</f>
        <v>772</v>
      </c>
      <c r="X12" s="640">
        <f>'32'!$Y$17</f>
        <v>437</v>
      </c>
      <c r="Y12" s="1114"/>
      <c r="AH12" s="1086"/>
      <c r="AI12" s="1087"/>
      <c r="AJ12" s="9">
        <f t="shared" si="4"/>
        <v>56000</v>
      </c>
      <c r="AK12" s="10">
        <f t="shared" si="4"/>
        <v>7000</v>
      </c>
      <c r="AL12" s="10">
        <f t="shared" si="4"/>
        <v>7000</v>
      </c>
      <c r="AM12" s="11">
        <f t="shared" si="4"/>
        <v>7000</v>
      </c>
      <c r="AN12" s="9">
        <f t="shared" ca="1" si="4"/>
        <v>3900</v>
      </c>
      <c r="AO12" s="10">
        <f t="shared" ca="1" si="4"/>
        <v>185646.84453041205</v>
      </c>
      <c r="AP12" s="10">
        <f t="shared" ca="1" si="4"/>
        <v>151243.98717293533</v>
      </c>
      <c r="AQ12" s="11">
        <f t="shared" ca="1" si="4"/>
        <v>127442.97465059154</v>
      </c>
    </row>
    <row r="13" spans="1:43" ht="12.9" customHeight="1" thickBot="1" x14ac:dyDescent="0.3">
      <c r="A13" s="525">
        <f ca="1">0.00019*50*C13+0.00052*(6*H2+H15)</f>
        <v>31.692210365232576</v>
      </c>
      <c r="B13" s="505">
        <f>'72'!G7-'72'!G8-'72'!G10-D13</f>
        <v>0</v>
      </c>
      <c r="C13" s="401">
        <f>'72'!G10+D13</f>
        <v>800</v>
      </c>
      <c r="D13" s="396">
        <v>50</v>
      </c>
      <c r="E13" s="473">
        <f ca="1">C13-(C13*0.25+(H7+H8)*25+(H20+H21+H22)*10+FLOOR(IF(H31&gt;0,H31/1000*5,0),1))</f>
        <v>67</v>
      </c>
      <c r="J13" s="385">
        <f ca="1">'72'!U18*(1+N3+IF($T$46=1,R48,0))</f>
        <v>595</v>
      </c>
      <c r="K13" s="386">
        <f ca="1">'72'!W18*(1+O3+IF($T$46=1,S48,0))</f>
        <v>362</v>
      </c>
      <c r="L13" s="387">
        <f ca="1">'72'!Y18*(1+P3+IF($T$46=1,T48,0))</f>
        <v>190</v>
      </c>
      <c r="M13" s="32"/>
      <c r="N13" s="900">
        <f ca="1">IF(ISNUMBER(OFFSET(Config!G31,($B$52-1)*3,)),OFFSET(Config!G31,($B$52-1)*3,),IF(OFFSET(V8,($B$52-1)*5,)&gt;0,OFFSET(V8,($B$52-1)*5,)/OFFSET(V3,($B$52-1)*5,)-1,0))</f>
        <v>-0.10194051598803941</v>
      </c>
      <c r="O13" s="901">
        <f ca="1">IF(ISNUMBER(OFFSET(Config!H31,($B$52-1)*3,)),OFFSET(Config!H31,($B$52-1)*3,),IF(OFFSET(W8,($B$52-1)*5,)&gt;0,OFFSET(W8,($B$52-1)*5,)/OFFSET(W3,($B$52-1)*5,)-1,0))</f>
        <v>-0.10194051598803941</v>
      </c>
      <c r="P13" s="902">
        <f ca="1">IF(ISNUMBER(OFFSET(Config!I31,($B$52-1)*3,)),OFFSET(Config!I31,($B$52-1)*3,),IF(OFFSET(X8,($B$52-1)*5,)&gt;0,OFFSET(X8,($B$52-1)*5,)/OFFSET(X3,($B$52-1)*5,)-1,0))</f>
        <v>-0.10194051598803941</v>
      </c>
      <c r="Q13" s="113"/>
      <c r="R13" s="900">
        <f ca="1">($E29+OFFSET(History!$D$45,$B$52,0)*Config!$H6+OFFSET(History!$D$44,$B$52,0)*Config!$H6^2+OFFSET(History!$D$43,$B$52,0)*Config!$H6^3)^Config!$G6-(OFFSET(History!$D$45,$B$52,0)+OFFSET(History!$D$44,$B$52,0)*Config!$H6+OFFSET(History!$D$43,$B$52,0)*Config!$H6^2+OFFSET(History!$D$42,$B$52,0)*Config!$H6^3)^Config!$G6</f>
        <v>0.26414486114756675</v>
      </c>
      <c r="S13" s="901">
        <f ca="1">($E29+OFFSET(History!$D$45,$B$52,0)*Config!$H6+OFFSET(History!$D$44,$B$52,0)*Config!$H6^2+OFFSET(History!$D$43,$B$52,0)*Config!$H6^3)^Config!$G6-(OFFSET(History!$D$45,$B$52,0)+OFFSET(History!$D$44,$B$52,0)*Config!$H6+OFFSET(History!$D$43,$B$52,0)*Config!$H6^2+OFFSET(History!$D$42,$B$52,0)*Config!$H6^3)^Config!$G6</f>
        <v>0.26414486114756675</v>
      </c>
      <c r="T13" s="902">
        <f ca="1">($E29+OFFSET(History!$D$45,$B$52,0)*Config!$H6+OFFSET(History!$D$44,$B$52,0)*Config!$H6^2+OFFSET(History!$D$43,$B$52,0)*Config!$H6^3)^Config!$G6-(OFFSET(History!$D$45,$B$52,0)+OFFSET(History!$D$44,$B$52,0)*Config!$H6+OFFSET(History!$D$43,$B$52,0)*Config!$H6^2+OFFSET(History!$D$42,$B$52,0)*Config!$H6^3)^Config!$G6</f>
        <v>0.26414486114756675</v>
      </c>
      <c r="U13" s="2"/>
      <c r="V13" s="638">
        <f>'32'!$U$18</f>
        <v>0</v>
      </c>
      <c r="W13" s="639">
        <f>'32'!$W$18</f>
        <v>0</v>
      </c>
      <c r="X13" s="640">
        <f>'32'!$Y$18</f>
        <v>0</v>
      </c>
      <c r="Y13" s="1114"/>
      <c r="AH13" s="1082" t="str">
        <f>Lang!$A$38</f>
        <v>Advertising</v>
      </c>
      <c r="AI13" s="1083"/>
      <c r="AJ13" s="5"/>
      <c r="AK13" s="6"/>
      <c r="AL13" s="6"/>
      <c r="AM13" s="7"/>
      <c r="AN13" s="5"/>
      <c r="AO13" s="6"/>
      <c r="AP13" s="6"/>
      <c r="AQ13" s="7"/>
    </row>
    <row r="14" spans="1:43" ht="12.9" customHeight="1" thickBot="1" x14ac:dyDescent="0.3">
      <c r="F14" s="1100" t="str">
        <f>Lang!$A$39</f>
        <v>Assembly details</v>
      </c>
      <c r="G14" s="1101"/>
      <c r="H14" s="1102"/>
      <c r="J14" s="388">
        <f ca="1">'72'!U19*(1+N4+IF($T$46=1,R49,0))</f>
        <v>928</v>
      </c>
      <c r="K14" s="389">
        <f ca="1">'72'!W19*(1+O4+IF($T$46=1,S49,0))</f>
        <v>479</v>
      </c>
      <c r="L14" s="390">
        <f ca="1">'72'!Y19*(1+P4+IF($T$46=1,T49,0))</f>
        <v>253.99999999999997</v>
      </c>
      <c r="M14" s="128"/>
      <c r="N14" s="903">
        <f ca="1">IF(ISNUMBER(OFFSET(Config!G32,($B$52-1)*3,)),OFFSET(Config!G32,($B$52-1)*3,),IF(OFFSET(V9,($B$52-1)*5,)&gt;0,OFFSET(V9,($B$52-1)*5,)/OFFSET(V4,($B$52-1)*5,)-1,0))</f>
        <v>-2.3904585577019306E-2</v>
      </c>
      <c r="O14" s="904">
        <f ca="1">IF(ISNUMBER(OFFSET(Config!H32,($B$52-1)*3,)),OFFSET(Config!H32,($B$52-1)*3,),IF(OFFSET(W9,($B$52-1)*5,)&gt;0,OFFSET(W9,($B$52-1)*5,)/OFFSET(W4,($B$52-1)*5,)-1,0))</f>
        <v>-2.3904585577019306E-2</v>
      </c>
      <c r="P14" s="905">
        <f ca="1">IF(ISNUMBER(OFFSET(Config!I32,($B$52-1)*3,)),OFFSET(Config!I32,($B$52-1)*3,),IF(OFFSET(X9,($B$52-1)*5,)&gt;0,OFFSET(X9,($B$52-1)*5,)/OFFSET(X4,($B$52-1)*5,)-1,0))</f>
        <v>-2.3904585577019306E-2</v>
      </c>
      <c r="Q14" s="113"/>
      <c r="R14" s="903"/>
      <c r="S14" s="904"/>
      <c r="T14" s="905"/>
      <c r="U14" s="2"/>
      <c r="V14" s="641">
        <f>'32'!$U$19</f>
        <v>0</v>
      </c>
      <c r="W14" s="642">
        <f>'32'!$W$19</f>
        <v>0</v>
      </c>
      <c r="X14" s="643">
        <f>'32'!$Y$19</f>
        <v>0</v>
      </c>
      <c r="Y14" s="1114"/>
      <c r="AH14" s="1084"/>
      <c r="AI14" s="1085"/>
      <c r="AJ14" s="5">
        <f t="shared" ref="AJ14:AM15" si="5">A38*1000</f>
        <v>20000</v>
      </c>
      <c r="AK14" s="6">
        <f t="shared" si="5"/>
        <v>6000</v>
      </c>
      <c r="AL14" s="6">
        <f t="shared" si="5"/>
        <v>6000</v>
      </c>
      <c r="AM14" s="7">
        <f t="shared" si="5"/>
        <v>5000</v>
      </c>
      <c r="AN14" s="5"/>
      <c r="AO14" s="6"/>
      <c r="AP14" s="6"/>
      <c r="AQ14" s="7"/>
    </row>
    <row r="15" spans="1:43" ht="12.9" customHeight="1" thickBot="1" x14ac:dyDescent="0.3">
      <c r="A15" s="1100" t="str">
        <f>Lang!$A$40</f>
        <v>Quality</v>
      </c>
      <c r="B15" s="1101"/>
      <c r="C15" s="1101"/>
      <c r="D15" s="1102"/>
      <c r="F15" s="1124" t="str">
        <f>Lang!$A$41</f>
        <v>Hours for assembly</v>
      </c>
      <c r="G15" s="1125"/>
      <c r="H15" s="394">
        <f ca="1">(SUM(B2:B5)*B20+SUM(C2:C5)*C20+SUM(D2:D5)*D20)/60</f>
        <v>15167.431776131492</v>
      </c>
      <c r="I15" s="923">
        <f ca="1">(H15+I19)/H18</f>
        <v>1.1046126822605695</v>
      </c>
      <c r="Q15" s="3"/>
      <c r="U15" s="2"/>
      <c r="V15" s="2"/>
      <c r="W15" s="8"/>
      <c r="AH15" s="1084"/>
      <c r="AI15" s="1085"/>
      <c r="AJ15" s="5">
        <f t="shared" si="5"/>
        <v>15000</v>
      </c>
      <c r="AK15" s="6">
        <f t="shared" si="5"/>
        <v>6000</v>
      </c>
      <c r="AL15" s="6">
        <f t="shared" si="5"/>
        <v>7000</v>
      </c>
      <c r="AM15" s="7">
        <f t="shared" si="5"/>
        <v>7000</v>
      </c>
      <c r="AN15" s="5"/>
      <c r="AO15" s="6"/>
      <c r="AP15" s="6"/>
      <c r="AQ15" s="7"/>
    </row>
    <row r="16" spans="1:43" ht="12.9" customHeight="1" thickBot="1" x14ac:dyDescent="0.3">
      <c r="A16" s="13" t="str">
        <f>Lang!$A$42</f>
        <v>Next quarter</v>
      </c>
      <c r="B16" s="494" t="str">
        <f ca="1">TRIM(OFFSET(History!AA7,$B$52-1,))</f>
        <v>Major</v>
      </c>
      <c r="C16" s="494" t="str">
        <f ca="1">TRIM(OFFSET(History!AA17,$B$52-1,))</f>
        <v>Minor</v>
      </c>
      <c r="D16" s="495" t="str">
        <f ca="1">TRIM(OFFSET(History!AA27,$B$52-1,))</f>
        <v>Minor</v>
      </c>
      <c r="E16" s="483"/>
      <c r="F16" s="1124" t="str">
        <f>Lang!$A$10</f>
        <v>7 days</v>
      </c>
      <c r="G16" s="1125"/>
      <c r="H16" s="454">
        <f>H20*(420+84+72)</f>
        <v>19008</v>
      </c>
      <c r="I16" s="943">
        <f>H16/H18</f>
        <v>1.3714285714285714</v>
      </c>
      <c r="J16" s="1078" t="str">
        <f>Lang!$A$43</f>
        <v>Sales next quarter</v>
      </c>
      <c r="K16" s="1079"/>
      <c r="L16" s="1088"/>
      <c r="N16" s="1128" t="str">
        <f>Lang!$A$44</f>
        <v>Assembly time</v>
      </c>
      <c r="O16" s="1129"/>
      <c r="P16" s="1130"/>
      <c r="Q16" s="113"/>
      <c r="R16" s="1128" t="str">
        <f>Lang!$A$45</f>
        <v>Premium materials</v>
      </c>
      <c r="S16" s="1129"/>
      <c r="T16" s="1130"/>
      <c r="U16" s="2"/>
      <c r="V16" s="1131" t="str">
        <f>IF(X16=4,"Taxes","")</f>
        <v/>
      </c>
      <c r="W16" s="1132"/>
      <c r="X16" s="634">
        <f>IF(X11=4,1,X11+1)</f>
        <v>1</v>
      </c>
      <c r="Y16" s="1114">
        <f>SUM(V17:X19)</f>
        <v>2543</v>
      </c>
      <c r="AH16" s="1086"/>
      <c r="AI16" s="1087"/>
      <c r="AJ16" s="9">
        <f>A40*1000</f>
        <v>20000</v>
      </c>
      <c r="AK16" s="10">
        <f>B40*1000</f>
        <v>7000</v>
      </c>
      <c r="AL16" s="10">
        <f>C40*1000</f>
        <v>7000</v>
      </c>
      <c r="AM16" s="11">
        <f>D40*1000</f>
        <v>7000</v>
      </c>
      <c r="AN16" s="9"/>
      <c r="AO16" s="10"/>
      <c r="AP16" s="10"/>
      <c r="AQ16" s="11"/>
    </row>
    <row r="17" spans="1:43" ht="12.9" customHeight="1" x14ac:dyDescent="0.25">
      <c r="A17" s="13" t="str">
        <f>Lang!$A$46</f>
        <v>Previous quarter</v>
      </c>
      <c r="B17" s="494" t="str">
        <f>TRIM('72'!U39)</f>
        <v>Major</v>
      </c>
      <c r="C17" s="494" t="str">
        <f>TRIM('72'!W39)</f>
        <v>Major</v>
      </c>
      <c r="D17" s="495" t="str">
        <f>TRIM('72'!Y39)</f>
        <v>Major</v>
      </c>
      <c r="E17" s="457">
        <f ca="1">B18*B10*SUM(J2:J4)+C18*C10*SUM(K2:K4)+D18*D10*SUM(L2:L4)</f>
        <v>20420.97</v>
      </c>
      <c r="F17" s="1133" t="str">
        <f>Lang!$A$12</f>
        <v>6 days</v>
      </c>
      <c r="G17" s="1134"/>
      <c r="H17" s="399">
        <f>H20*(420+84)</f>
        <v>16632</v>
      </c>
      <c r="I17" s="456">
        <f>H17/H18</f>
        <v>1.2</v>
      </c>
      <c r="J17" s="385">
        <f ca="1">J7+J12+IF(J37&lt;0,J37,0)</f>
        <v>1174</v>
      </c>
      <c r="K17" s="386">
        <f ca="1">K7+K12+IF(K37&lt;0,K37,0)</f>
        <v>787</v>
      </c>
      <c r="L17" s="387">
        <f ca="1">L7+L12+IF(L37&lt;0,L37,0)</f>
        <v>415</v>
      </c>
      <c r="N17" s="900">
        <f ca="1">((OFFSET(History!G$19,$B$52,0)/1-100+1)^Config!J17-(OFFSET(History!G$18,$B$52,0)/1-100+1)^Config!J17)*(100-'2'!B43)/(100-Config!M27)</f>
        <v>0</v>
      </c>
      <c r="O17" s="901">
        <f ca="1">((OFFSET(History!H$19,$B$52,0)/1.5-100+1)^Config!K17-(OFFSET(History!H$18,$B$52,0)/1.5-100+1)^Config!K17)*(100-'2'!C43)/(100-Config!N27)</f>
        <v>0</v>
      </c>
      <c r="P17" s="902">
        <f ca="1">((OFFSET(History!I$19,$B$52,0)/3-100+1)^Config!L17-(OFFSET(History!I$18,$B$52,0)/3-100+1)^Config!L17)*(100-'2'!D43)/(100-Config!O27)</f>
        <v>0</v>
      </c>
      <c r="Q17" s="113"/>
      <c r="R17" s="900">
        <f ca="1">((B$22*100)-OFFSET(History!N$19,$B$52,0))*(Config!J2+('2'!B43-Config!M27)*Config!M2)</f>
        <v>6.5752043591751354E-19</v>
      </c>
      <c r="S17" s="901">
        <f ca="1">((C$22*100)-OFFSET(History!O$19,$B$52,0))*(Config!K2+('2'!C43-Config!N27)*Config!N2)</f>
        <v>5.6971591539044197E-19</v>
      </c>
      <c r="T17" s="902">
        <f ca="1">((D$22*100)-OFFSET(History!P$19,$B$52,0))*(Config!L2+('2'!D43-Config!O27)*Config!O2)</f>
        <v>-6.7838709618368107E-3</v>
      </c>
      <c r="U17" s="2"/>
      <c r="V17" s="638">
        <f>'42'!$U$17</f>
        <v>1112</v>
      </c>
      <c r="W17" s="639">
        <f>'42'!$W$17</f>
        <v>686</v>
      </c>
      <c r="X17" s="640">
        <f>'42'!$Y$17</f>
        <v>381</v>
      </c>
      <c r="Y17" s="1114"/>
      <c r="AH17" s="1082" t="str">
        <f>Lang!$A$47</f>
        <v>Internet distributor</v>
      </c>
      <c r="AI17" s="1083"/>
      <c r="AJ17" s="5"/>
      <c r="AK17" s="6"/>
      <c r="AL17" s="6"/>
      <c r="AM17" s="7"/>
      <c r="AN17" s="5"/>
      <c r="AO17" s="6"/>
      <c r="AP17" s="6"/>
      <c r="AQ17" s="7"/>
    </row>
    <row r="18" spans="1:43" ht="12.9" customHeight="1" x14ac:dyDescent="0.25">
      <c r="A18" s="1137" t="str">
        <f>Lang!$A$48</f>
        <v>R&amp;D</v>
      </c>
      <c r="B18" s="488">
        <v>1</v>
      </c>
      <c r="C18" s="488">
        <v>1</v>
      </c>
      <c r="D18" s="489">
        <v>1</v>
      </c>
      <c r="E18" s="457">
        <f>B18*(J2*J42+J3*J43+J4*J44)+C18*(K2*K42+K3*K43+K4*K44)+D18*(L2*L42+L3*L43+L4*L44)</f>
        <v>48480</v>
      </c>
      <c r="F18" s="1133" t="str">
        <f>Lang!$A$14</f>
        <v>5 days</v>
      </c>
      <c r="G18" s="1134"/>
      <c r="H18" s="399">
        <f>H20*420</f>
        <v>13860</v>
      </c>
      <c r="I18" s="456">
        <v>1</v>
      </c>
      <c r="J18" s="385">
        <f t="shared" ref="J18:L19" ca="1" si="6">J8+J13+IF(J38&lt;0,J38,0)</f>
        <v>595</v>
      </c>
      <c r="K18" s="386">
        <f t="shared" ca="1" si="6"/>
        <v>362</v>
      </c>
      <c r="L18" s="387">
        <f t="shared" ca="1" si="6"/>
        <v>190</v>
      </c>
      <c r="N18" s="900">
        <f ca="1">((OFFSET(History!G$19,$B$52,0)/1-100+1)^Config!J18-(OFFSET(History!G$18,$B$52,0)/1-100+1)^Config!J18)*(100-'2'!B44)/(100-Config!M28)</f>
        <v>0</v>
      </c>
      <c r="O18" s="901">
        <f ca="1">((OFFSET(History!H$19,$B$52,0)/1.5-100+1)^Config!K18-(OFFSET(History!H$18,$B$52,0)/1.5-100+1)^Config!K18)*(100-'2'!C44)/(100-Config!N28)</f>
        <v>0</v>
      </c>
      <c r="P18" s="902">
        <f ca="1">((OFFSET(History!I$19,$B$52,0)/3-100+1)^Config!L18-(OFFSET(History!I$18,$B$52,0)/3-100+1)^Config!L18)*(100-'2'!D44)/(100-Config!O28)</f>
        <v>0</v>
      </c>
      <c r="Q18" s="113"/>
      <c r="R18" s="900">
        <f ca="1">((B$22*100)-OFFSET(History!N$19,$B$52,0))*(Config!J3+('2'!B44-Config!M28)*Config!M3)</f>
        <v>9.8967356860389765E-19</v>
      </c>
      <c r="S18" s="901">
        <f ca="1">((C$22*100)-OFFSET(History!O$19,$B$52,0))*(Config!K3+('2'!C44-Config!N28)*Config!N3)</f>
        <v>8.9335004140139857E-19</v>
      </c>
      <c r="T18" s="902">
        <f ca="1">((D$22*100)-OFFSET(History!P$19,$B$52,0))*(Config!L3+('2'!D44-Config!O28)*Config!O3)</f>
        <v>-1.3626327544870713E-2</v>
      </c>
      <c r="U18" s="2"/>
      <c r="V18" s="638">
        <f>'42'!$U$18</f>
        <v>172</v>
      </c>
      <c r="W18" s="639">
        <f>'42'!$W$18</f>
        <v>123</v>
      </c>
      <c r="X18" s="640">
        <f>'42'!$Y$18</f>
        <v>69</v>
      </c>
      <c r="Y18" s="1114"/>
      <c r="AH18" s="1084"/>
      <c r="AI18" s="1085"/>
      <c r="AJ18" s="5"/>
      <c r="AK18" s="6"/>
      <c r="AL18" s="6"/>
      <c r="AM18" s="7"/>
      <c r="AN18" s="5"/>
      <c r="AO18" s="6"/>
      <c r="AP18" s="6"/>
      <c r="AQ18" s="7"/>
    </row>
    <row r="19" spans="1:43" ht="12.9" customHeight="1" thickBot="1" x14ac:dyDescent="0.3">
      <c r="A19" s="1138"/>
      <c r="B19" s="700">
        <f ca="1">IF($D$1=2,OFFSET(History!$T$6,$B$52,0),OFFSET(Config!$B$27,$B$52,0))</f>
        <v>45</v>
      </c>
      <c r="C19" s="700">
        <f ca="1">IF($D$1=2,OFFSET(History!$T$16,$B$52,0),OFFSET(Config!$B$32,$B$52,0))</f>
        <v>35</v>
      </c>
      <c r="D19" s="477">
        <f ca="1">IF($D$1=2,OFFSET(History!$T$26,$B$52,0),OFFSET(Config!$B$37,$B$52,0))</f>
        <v>30</v>
      </c>
      <c r="E19" s="457">
        <f ca="1">E17-E18</f>
        <v>-28059.03</v>
      </c>
      <c r="F19" s="1124" t="str">
        <f>Lang!$A$49</f>
        <v>Weeks of strike</v>
      </c>
      <c r="G19" s="1125"/>
      <c r="H19" s="454">
        <f>'72'!O20</f>
        <v>0</v>
      </c>
      <c r="I19" s="457">
        <f ca="1">H19*48*H20+AVERAGE(OFFSET(History!E16:E19,$B52,))</f>
        <v>142.5</v>
      </c>
      <c r="J19" s="388">
        <f t="shared" ca="1" si="6"/>
        <v>928</v>
      </c>
      <c r="K19" s="389">
        <f t="shared" ca="1" si="6"/>
        <v>479</v>
      </c>
      <c r="L19" s="390">
        <f t="shared" ca="1" si="6"/>
        <v>253.99999999999997</v>
      </c>
      <c r="N19" s="903">
        <f ca="1">((OFFSET(History!G$19,$B$52,0)/1-100+1)^Config!J19-(OFFSET(History!G$18,$B$52,0)/1-100+1)^Config!J19)*(100-'2'!B45)/(100-Config!M29)</f>
        <v>0</v>
      </c>
      <c r="O19" s="904">
        <f ca="1">((OFFSET(History!H$19,$B$52,0)/1.5-100+1)^Config!K19-(OFFSET(History!H$18,$B$52,0)/1.5-100+1)^Config!K19)*(100-'2'!C45)/(100-Config!N29)</f>
        <v>0</v>
      </c>
      <c r="P19" s="905">
        <f ca="1">((OFFSET(History!I$19,$B$52,0)/3-100+1)^Config!L19-(OFFSET(History!I$18,$B$52,0)/3-100+1)^Config!L19)*(100-'2'!D45)/(100-Config!O29)</f>
        <v>0</v>
      </c>
      <c r="Q19" s="113"/>
      <c r="R19" s="903">
        <f ca="1">((B$22*100)-OFFSET(History!N$19,$B$52,0))*(Config!J4+('2'!B45-Config!M29)*Config!M4)</f>
        <v>6.8560378206133436E-19</v>
      </c>
      <c r="S19" s="904">
        <f ca="1">((C$22*100)-OFFSET(History!O$19,$B$52,0))*(Config!K4+('2'!C45-Config!N29)*Config!N4)</f>
        <v>6.312877705342168E-19</v>
      </c>
      <c r="T19" s="905">
        <f ca="1">((D$22*100)-OFFSET(History!P$19,$B$52,0))*(Config!L4+('2'!D45-Config!O29)*Config!O4)</f>
        <v>-7.4010375170894781E-3</v>
      </c>
      <c r="U19" s="2"/>
      <c r="V19" s="641">
        <f>'42'!$U$19</f>
        <v>0</v>
      </c>
      <c r="W19" s="642">
        <f>'42'!$W$19</f>
        <v>0</v>
      </c>
      <c r="X19" s="643">
        <f>'42'!$Y$19</f>
        <v>0</v>
      </c>
      <c r="Y19" s="1114"/>
      <c r="AH19" s="1084"/>
      <c r="AI19" s="1085"/>
      <c r="AJ19" s="5"/>
      <c r="AK19" s="6"/>
      <c r="AL19" s="6"/>
      <c r="AM19" s="7"/>
      <c r="AN19" s="5"/>
      <c r="AO19" s="6"/>
      <c r="AP19" s="6"/>
      <c r="AQ19" s="7"/>
    </row>
    <row r="20" spans="1:43" ht="12.9" customHeight="1" thickBot="1" x14ac:dyDescent="0.3">
      <c r="A20" s="539" t="str">
        <f>Lang!$A$44</f>
        <v>Assembly time</v>
      </c>
      <c r="B20" s="463">
        <v>120</v>
      </c>
      <c r="C20" s="463">
        <v>170</v>
      </c>
      <c r="D20" s="458">
        <v>330</v>
      </c>
      <c r="E20" s="868">
        <f>IF(B17="Major",1,0)+'2'!E20*IF('2'!B18=0,1,0)</f>
        <v>2</v>
      </c>
      <c r="F20" s="1124" t="str">
        <f>Lang!$A$50</f>
        <v>Workers next quarter</v>
      </c>
      <c r="G20" s="1125"/>
      <c r="H20" s="474">
        <f>'72'!N12</f>
        <v>33</v>
      </c>
      <c r="I20" s="472">
        <f>(H20+H21)*0.055</f>
        <v>1.925</v>
      </c>
      <c r="Q20" s="3"/>
      <c r="R20" s="3"/>
      <c r="S20" s="3"/>
      <c r="U20" s="2"/>
      <c r="V20" s="2"/>
      <c r="W20" s="8"/>
      <c r="AH20" s="1086"/>
      <c r="AI20" s="1087"/>
      <c r="AJ20" s="9">
        <f>C30*1000</f>
        <v>12000</v>
      </c>
      <c r="AK20" s="10"/>
      <c r="AL20" s="10"/>
      <c r="AM20" s="11"/>
      <c r="AN20" s="9"/>
      <c r="AO20" s="10">
        <f ca="1">(J19*J44)*$D$30</f>
        <v>27097.600000000002</v>
      </c>
      <c r="AP20" s="10">
        <f ca="1">(K19*K44)*$D$30</f>
        <v>22225.600000000002</v>
      </c>
      <c r="AQ20" s="11">
        <f ca="1">(L19*L44)*$D$30</f>
        <v>17373.599999999999</v>
      </c>
    </row>
    <row r="21" spans="1:43" ht="12.9" customHeight="1" x14ac:dyDescent="0.25">
      <c r="A21" s="699">
        <v>1.06</v>
      </c>
      <c r="B21" s="700">
        <f>100*A21</f>
        <v>106</v>
      </c>
      <c r="C21" s="702">
        <f>150*A21</f>
        <v>159</v>
      </c>
      <c r="D21" s="477">
        <f>300*A21</f>
        <v>318</v>
      </c>
      <c r="E21" s="868">
        <f>IF(C17="Major",1,0)+'2'!E21*IF('2'!C18=0,1,0)</f>
        <v>1</v>
      </c>
      <c r="F21" s="1124" t="str">
        <f>Lang!$A$51</f>
        <v>Recruit workers</v>
      </c>
      <c r="G21" s="1125"/>
      <c r="H21" s="458">
        <v>2</v>
      </c>
      <c r="I21" s="472">
        <f ca="1">ROUNDUP((H20+H21)*AVERAGE(OFFSET(History!C15:C19,B52,)),0)</f>
        <v>2</v>
      </c>
      <c r="J21" s="1078" t="str">
        <f>Lang!$A$52</f>
        <v>Production plan next quarter</v>
      </c>
      <c r="K21" s="1079"/>
      <c r="L21" s="1088"/>
      <c r="N21" s="1128" t="str">
        <f>Lang!$A$48</f>
        <v>R&amp;D</v>
      </c>
      <c r="O21" s="1129"/>
      <c r="P21" s="1130"/>
      <c r="Q21" s="113"/>
      <c r="R21" s="1116" t="str">
        <f>Lang!$A$53</f>
        <v>Training</v>
      </c>
      <c r="S21" s="1117"/>
      <c r="T21" s="1118"/>
      <c r="U21" s="2"/>
      <c r="V21" s="1131" t="str">
        <f>IF(X21=4,"Taxes","")</f>
        <v/>
      </c>
      <c r="W21" s="1132"/>
      <c r="X21" s="634">
        <f>IF(X16=4,1,X16+1)</f>
        <v>2</v>
      </c>
      <c r="Y21" s="1114">
        <f>SUM(V22:X24)</f>
        <v>2892</v>
      </c>
      <c r="AH21" s="1082" t="str">
        <f>Lang!$A$54</f>
        <v>Internet service provider</v>
      </c>
      <c r="AI21" s="1083"/>
      <c r="AJ21" s="5"/>
      <c r="AK21" s="6"/>
      <c r="AL21" s="6"/>
      <c r="AM21" s="7"/>
      <c r="AN21" s="5"/>
      <c r="AO21" s="6"/>
      <c r="AP21" s="6"/>
      <c r="AQ21" s="7"/>
    </row>
    <row r="22" spans="1:43" ht="12.9" customHeight="1" x14ac:dyDescent="0.25">
      <c r="A22" s="888" t="str">
        <f>Lang!$A$45</f>
        <v>Premium materials</v>
      </c>
      <c r="B22" s="490">
        <v>7.0000000000000007E-2</v>
      </c>
      <c r="C22" s="490">
        <v>7.0000000000000007E-2</v>
      </c>
      <c r="D22" s="475">
        <v>0.1</v>
      </c>
      <c r="E22" s="868">
        <f>IF(D17="Major",1,0)+'2'!E22*IF('2'!D18=0,1,0)</f>
        <v>1</v>
      </c>
      <c r="F22" s="1124" t="str">
        <f>Lang!$A$55</f>
        <v>Train workers</v>
      </c>
      <c r="G22" s="1125"/>
      <c r="H22" s="458">
        <v>5</v>
      </c>
      <c r="J22" s="385">
        <f t="shared" ref="J22:L23" ca="1" si="7">J7+J12+J27-J2*(1-B$18)</f>
        <v>1174</v>
      </c>
      <c r="K22" s="386">
        <f t="shared" ca="1" si="7"/>
        <v>787</v>
      </c>
      <c r="L22" s="387">
        <f t="shared" ca="1" si="7"/>
        <v>415</v>
      </c>
      <c r="M22" s="446">
        <f ca="1">J22/500+K22/250+L22/125</f>
        <v>8.8160000000000007</v>
      </c>
      <c r="N22" s="900">
        <f ca="1">((B$23*20+60)-OFFSET(History!$W$6,$B$52-1,))*(Config!J7+('2'!B43-Config!M27)*Config!M7)</f>
        <v>0.21135861331456463</v>
      </c>
      <c r="O22" s="901">
        <f ca="1">((C$23*20+60)-OFFSET(History!$W$16,$B$52-1,))*(Config!K7+('2'!C43-Config!N27)*Config!N7)</f>
        <v>8.9219141800417096E-2</v>
      </c>
      <c r="P22" s="902">
        <f ca="1">((D$23*20+60)-OFFSET(History!$W$26,$B$52-1,))*(Config!L7+('2'!D43-Config!O27)*Config!O7)</f>
        <v>6.2905153396870306E-2</v>
      </c>
      <c r="Q22" s="113"/>
      <c r="R22" s="900">
        <f ca="1">($H$23+OFFSET(History!$P$32,$B$52,0)*Config!$H$22+OFFSET(History!$P$31,$B$52,0)*Config!$H$22^2+OFFSET(History!$P$30,$B$52,0)*Config!$H$22^3+1)^Config!$G$22-(OFFSET(History!$P$32,$B$52,0)+OFFSET(History!$P$31,$B$52,0)*Config!$H$22+OFFSET(History!$P$30,$B$52,0)*Config!$H$22^2+OFFSET(History!$P$29,$B$52,0)*Config!$H$22^3+1)^Config!$G$22</f>
        <v>3.873853428435714E-3</v>
      </c>
      <c r="S22" s="901">
        <f ca="1">($H$23+OFFSET(History!$P$32,$B$52,0)*Config!$H$22+OFFSET(History!$P$31,$B$52,0)*Config!$H$22^2+OFFSET(History!$P$30,$B$52,0)*Config!$H$22^3+1)^Config!$G$22-(OFFSET(History!$P$32,$B$52,0)+OFFSET(History!$P$31,$B$52,0)*Config!$H$22+OFFSET(History!$P$30,$B$52,0)*Config!$H$22^2+OFFSET(History!$P$29,$B$52,0)*Config!$H$22^3+1)^Config!$G$22</f>
        <v>3.873853428435714E-3</v>
      </c>
      <c r="T22" s="902">
        <f ca="1">($H$23+OFFSET(History!$P$32,$B$52,0)*Config!$H$22+OFFSET(History!$P$31,$B$52,0)*Config!$H$22^2+OFFSET(History!$P$30,$B$52,0)*Config!$H$22^3+1)^Config!$G$22-(OFFSET(History!$P$32,$B$52,0)+OFFSET(History!$P$31,$B$52,0)*Config!$H$22+OFFSET(History!$P$30,$B$52,0)*Config!$H$22^2+OFFSET(History!$P$29,$B$52,0)*Config!$H$22^3+1)^Config!$G$22</f>
        <v>3.873853428435714E-3</v>
      </c>
      <c r="U22" s="2"/>
      <c r="V22" s="638">
        <f>'52'!$U$17</f>
        <v>1016</v>
      </c>
      <c r="W22" s="639">
        <f>'52'!$W$17</f>
        <v>670</v>
      </c>
      <c r="X22" s="640">
        <f>'52'!$Y$17</f>
        <v>396</v>
      </c>
      <c r="Y22" s="1114"/>
      <c r="AH22" s="1084"/>
      <c r="AI22" s="1085"/>
      <c r="AJ22" s="5"/>
      <c r="AK22" s="6"/>
      <c r="AL22" s="6"/>
      <c r="AM22" s="7"/>
      <c r="AN22" s="5"/>
      <c r="AO22" s="6"/>
      <c r="AP22" s="6"/>
      <c r="AQ22" s="7"/>
    </row>
    <row r="23" spans="1:43" ht="12.9" customHeight="1" x14ac:dyDescent="0.25">
      <c r="A23" s="539" t="str">
        <f>Lang!$A$48</f>
        <v>R&amp;D</v>
      </c>
      <c r="B23" s="491">
        <f ca="1">(OFFSET(History!W6,$B$52-1,)+E23+INDEX(Config!$M59:$O258,(OFFSET(History!W6,$B$52-1,)+E23)-60,2)-60)/20</f>
        <v>3.4</v>
      </c>
      <c r="C23" s="491">
        <f ca="1">(OFFSET(History!W16,$B$52-1,)+E24+INDEX(Config!$M59:$O258,(OFFSET(History!W16,$B$52-1,)+E24)-60,2)-60)/20</f>
        <v>3.55</v>
      </c>
      <c r="D23" s="492">
        <f ca="1">(OFFSET(History!W26,$B$52-1,)+E25+INDEX(Config!$M59:$O258,(OFFSET(History!W26,$B$52-1,)+E25)-60,2)-60)/20</f>
        <v>2.7</v>
      </c>
      <c r="E23" s="476">
        <f ca="1">Config!$O55*B$18*E$20+IF(B$16="Major",Config!$O56,0)+IF(B$16="Minor",Config!$O54,0)</f>
        <v>46</v>
      </c>
      <c r="F23" s="1124" t="str">
        <f>Lang!$A$53</f>
        <v>Training</v>
      </c>
      <c r="G23" s="1125"/>
      <c r="H23" s="458">
        <v>10</v>
      </c>
      <c r="I23" s="526"/>
      <c r="J23" s="385">
        <f t="shared" ca="1" si="7"/>
        <v>595</v>
      </c>
      <c r="K23" s="386">
        <f t="shared" ca="1" si="7"/>
        <v>362</v>
      </c>
      <c r="L23" s="387">
        <f t="shared" ca="1" si="7"/>
        <v>190</v>
      </c>
      <c r="M23" s="446">
        <f ca="1">J23/500+K23/250+L23/125</f>
        <v>4.1579999999999995</v>
      </c>
      <c r="N23" s="900">
        <f ca="1">((B$23*20+60)-OFFSET(History!$W$6,$B$52-1,))*(Config!J8+('2'!B44-Config!M28)*Config!M8)</f>
        <v>0.31812856554383623</v>
      </c>
      <c r="O23" s="901">
        <f ca="1">((C$23*20+60)-OFFSET(History!$W$16,$B$52-1,))*(Config!K8+('2'!C44-Config!N28)*Config!N8)</f>
        <v>0.13990117156298257</v>
      </c>
      <c r="P23" s="902">
        <f ca="1">((D$23*20+60)-OFFSET(History!$W$26,$B$52-1,))*(Config!L8+('2'!D44-Config!O28)*Config!O8)</f>
        <v>0.12635355673304313</v>
      </c>
      <c r="Q23" s="113"/>
      <c r="R23" s="900">
        <f ca="1">($H$23+OFFSET(History!$P$32,$B$52,0)*Config!$H$22+OFFSET(History!$P$31,$B$52,0)*Config!$H$22^2+OFFSET(History!$P$30,$B$52,0)*Config!$H$22^3+1)^Config!$G$22-(OFFSET(History!$P$32,$B$52,0)+OFFSET(History!$P$31,$B$52,0)*Config!$H$22+OFFSET(History!$P$30,$B$52,0)*Config!$H$22^2+OFFSET(History!$P$29,$B$52,0)*Config!$H$22^3+1)^Config!$G$22</f>
        <v>3.873853428435714E-3</v>
      </c>
      <c r="S23" s="901">
        <f ca="1">($H$23+OFFSET(History!$P$32,$B$52,0)*Config!$H$22+OFFSET(History!$P$31,$B$52,0)*Config!$H$22^2+OFFSET(History!$P$30,$B$52,0)*Config!$H$22^3+1)^Config!$G$22-(OFFSET(History!$P$32,$B$52,0)+OFFSET(History!$P$31,$B$52,0)*Config!$H$22+OFFSET(History!$P$30,$B$52,0)*Config!$H$22^2+OFFSET(History!$P$29,$B$52,0)*Config!$H$22^3+1)^Config!$G$22</f>
        <v>3.873853428435714E-3</v>
      </c>
      <c r="T23" s="902">
        <f ca="1">($H$23+OFFSET(History!$P$32,$B$52,0)*Config!$H$22+OFFSET(History!$P$31,$B$52,0)*Config!$H$22^2+OFFSET(History!$P$30,$B$52,0)*Config!$H$22^3+1)^Config!$G$22-(OFFSET(History!$P$32,$B$52,0)+OFFSET(History!$P$31,$B$52,0)*Config!$H$22+OFFSET(History!$P$30,$B$52,0)*Config!$H$22^2+OFFSET(History!$P$29,$B$52,0)*Config!$H$22^3+1)^Config!$G$22</f>
        <v>3.873853428435714E-3</v>
      </c>
      <c r="U23" s="2"/>
      <c r="V23" s="638">
        <f>'52'!$U$18</f>
        <v>122</v>
      </c>
      <c r="W23" s="639">
        <f>'52'!$W$18</f>
        <v>120</v>
      </c>
      <c r="X23" s="640">
        <f>'52'!$Y$18</f>
        <v>63</v>
      </c>
      <c r="Y23" s="1114"/>
      <c r="AH23" s="1084"/>
      <c r="AI23" s="1085"/>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6.3E-2</v>
      </c>
      <c r="C24" s="546">
        <f>(C20-150)/150*IF(C20&lt;150*1.21,0.315,IF(C20&lt;150*1.41,0.31,IF(C20&lt;150*1.61,0.305,IF(C20&lt;150*1.81,0.3,0.295))))</f>
        <v>4.2000000000000003E-2</v>
      </c>
      <c r="D24" s="545">
        <f>(D20-300)/300*IF(D20&lt;300*1.21,0.315,IF(D20&lt;300*1.41,0.31,IF(D20&lt;300*1.61,0.305,IF(D20&lt;300*1.81,0.3,0.295))))</f>
        <v>3.15E-2</v>
      </c>
      <c r="E24" s="476">
        <f ca="1">Config!$O55*C$18*E$21+IF(C$16="Major",Config!$O56,0)+IF(C$16="Minor",Config!$O54,0)</f>
        <v>26</v>
      </c>
      <c r="F24" s="1124" t="str">
        <f>Lang!$A$56</f>
        <v>Mechanics next quarter</v>
      </c>
      <c r="G24" s="1125"/>
      <c r="H24" s="503">
        <f>'72'!O12-I24</f>
        <v>35</v>
      </c>
      <c r="I24" s="768">
        <f>CEILING(IF(H7*4*H11&lt;'72'!O12,('72'!O12-H7*4*H11)/2,0),1)</f>
        <v>0</v>
      </c>
      <c r="J24" s="388">
        <f ca="1">J14+J29-J4*(1-B$18)</f>
        <v>928</v>
      </c>
      <c r="K24" s="389">
        <f ca="1">K14+K29-K4*(1-C$18)</f>
        <v>479</v>
      </c>
      <c r="L24" s="390">
        <f ca="1">L14+L29-L4*(1-D$18)</f>
        <v>253.99999999999997</v>
      </c>
      <c r="M24" s="446">
        <f ca="1">J24/500+K24/250+L24/125</f>
        <v>5.8040000000000003</v>
      </c>
      <c r="N24" s="903">
        <f ca="1">((B$23*20+60)-OFFSET(History!$W$6,$B$52-1,))*(Config!J9+('2'!B45-Config!M29)*Config!M9)</f>
        <v>0.22038594809224077</v>
      </c>
      <c r="O24" s="904">
        <f ca="1">((C$23*20+60)-OFFSET(History!$W$16,$B$52-1,))*(Config!K9+('2'!C45-Config!N29)*Config!N9)</f>
        <v>9.8861470418220257E-2</v>
      </c>
      <c r="P24" s="905">
        <f ca="1">((D$23*20+60)-OFFSET(History!$W$26,$B$52-1,))*(Config!L9+('2'!D45-Config!O29)*Config!O9)</f>
        <v>6.8627985839879405E-2</v>
      </c>
      <c r="Q24" s="113"/>
      <c r="R24" s="903">
        <f ca="1">($H$23+OFFSET(History!$P$32,$B$52,0)*Config!$H$22+OFFSET(History!$P$31,$B$52,0)*Config!$H$22^2+OFFSET(History!$P$30,$B$52,0)*Config!$H$22^3+1)^Config!$G$22-(OFFSET(History!$P$32,$B$52,0)+OFFSET(History!$P$31,$B$52,0)*Config!$H$22+OFFSET(History!$P$30,$B$52,0)*Config!$H$22^2+OFFSET(History!$P$29,$B$52,0)*Config!$H$22^3+1)^Config!$G$22</f>
        <v>3.873853428435714E-3</v>
      </c>
      <c r="S24" s="904">
        <f ca="1">($H$23+OFFSET(History!$P$32,$B$52,0)*Config!$H$22+OFFSET(History!$P$31,$B$52,0)*Config!$H$22^2+OFFSET(History!$P$30,$B$52,0)*Config!$H$22^3+1)^Config!$G$22-(OFFSET(History!$P$32,$B$52,0)+OFFSET(History!$P$31,$B$52,0)*Config!$H$22+OFFSET(History!$P$30,$B$52,0)*Config!$H$22^2+OFFSET(History!$P$29,$B$52,0)*Config!$H$22^3+1)^Config!$G$22</f>
        <v>3.873853428435714E-3</v>
      </c>
      <c r="T24" s="905">
        <f ca="1">($H$23+OFFSET(History!$P$32,$B$52,0)*Config!$H$22+OFFSET(History!$P$31,$B$52,0)*Config!$H$22^2+OFFSET(History!$P$30,$B$52,0)*Config!$H$22^3+1)^Config!$G$22-(OFFSET(History!$P$32,$B$52,0)+OFFSET(History!$P$31,$B$52,0)*Config!$H$22+OFFSET(History!$P$30,$B$52,0)*Config!$H$22^2+OFFSET(History!$P$29,$B$52,0)*Config!$H$22^3+1)^Config!$G$22</f>
        <v>3.873853428435714E-3</v>
      </c>
      <c r="U24" s="2"/>
      <c r="V24" s="641">
        <f>'52'!$U$19</f>
        <v>243</v>
      </c>
      <c r="W24" s="642">
        <f>'52'!$W$19</f>
        <v>167</v>
      </c>
      <c r="X24" s="643">
        <f>'52'!$Y$19</f>
        <v>95</v>
      </c>
      <c r="Y24" s="1114"/>
      <c r="AH24" s="1086"/>
      <c r="AI24" s="1087"/>
      <c r="AJ24" s="366">
        <f>'72'!G42*1000</f>
        <v>6000</v>
      </c>
      <c r="AK24" s="10"/>
      <c r="AL24" s="10"/>
      <c r="AM24" s="11"/>
      <c r="AN24" s="9"/>
      <c r="AO24" s="10">
        <f ca="1">(J19*J44)*0.03</f>
        <v>10161.6</v>
      </c>
      <c r="AP24" s="10">
        <f ca="1">(K19*K44)*0.03</f>
        <v>8334.6</v>
      </c>
      <c r="AQ24" s="11">
        <f ca="1">(L19*L44)*0.03</f>
        <v>6515.0999999999985</v>
      </c>
    </row>
    <row r="25" spans="1:43" ht="12.9" customHeight="1" thickBot="1" x14ac:dyDescent="0.3">
      <c r="A25" s="540" t="str">
        <f>Lang!$A$45</f>
        <v>Premium materials</v>
      </c>
      <c r="B25" s="541">
        <f>B22*IF(B22&lt;21,0.165,IF(B22&lt;41,0.16,IF(B22&lt;61,0.155,IF(B22&lt;81,0.15,0.145))))</f>
        <v>1.1550000000000001E-2</v>
      </c>
      <c r="C25" s="541">
        <f>C22*IF(C22&lt;21,0.165,IF(C22&lt;41,0.16,IF(C22&lt;61,0.155,IF(C22&lt;81,0.15,0.145))))</f>
        <v>1.1550000000000001E-2</v>
      </c>
      <c r="D25" s="542">
        <f>D22*IF(D22&lt;21,0.165,IF(D22&lt;41,0.16,IF(D22&lt;61,0.155,IF(D22&lt;81,0.15,0.145))))</f>
        <v>1.6500000000000001E-2</v>
      </c>
      <c r="E25" s="476">
        <f ca="1">Config!$O55*D$18*E$22+IF(D$16="Major",Config!$O56,0)+IF(D$16="Minor",Config!$O54,0)</f>
        <v>26</v>
      </c>
      <c r="F25" s="1124" t="str">
        <f>Lang!$A$57</f>
        <v>Recruit mechanics</v>
      </c>
      <c r="G25" s="1125"/>
      <c r="H25" s="477">
        <f>IF(H7*4*H11-H24&lt;0,0,H7*4*H11-H24)</f>
        <v>5</v>
      </c>
      <c r="I25" s="768">
        <f ca="1">ROUNDUP((H24+H25)*AVERAGEIF(OFFSET(History!C2:C6,B52,),"&gt;0"),0)</f>
        <v>4</v>
      </c>
      <c r="N25" s="17"/>
      <c r="O25" s="17"/>
      <c r="P25" s="17"/>
      <c r="Q25" s="3"/>
      <c r="R25" s="1"/>
      <c r="S25" s="1"/>
      <c r="T25" s="1"/>
      <c r="U25" s="2"/>
      <c r="V25" s="2"/>
      <c r="W25" s="8"/>
      <c r="AH25" s="1082" t="str">
        <f>Lang!$A$58</f>
        <v>Agents and distributors</v>
      </c>
      <c r="AI25" s="1083"/>
      <c r="AJ25" s="5"/>
      <c r="AK25" s="6"/>
      <c r="AL25" s="6"/>
      <c r="AM25" s="7"/>
      <c r="AN25" s="5"/>
      <c r="AO25" s="6"/>
      <c r="AP25" s="6"/>
      <c r="AQ25" s="7"/>
    </row>
    <row r="26" spans="1:43" ht="12.9" customHeight="1" thickBot="1" x14ac:dyDescent="0.3">
      <c r="A26" s="20"/>
      <c r="B26" s="544">
        <f ca="1">ROUND(SUM(B23:B25),2)</f>
        <v>3.47</v>
      </c>
      <c r="C26" s="544">
        <f ca="1">ROUND(SUM(C23:C25),2)</f>
        <v>3.6</v>
      </c>
      <c r="D26" s="544">
        <f ca="1">ROUND(SUM(D23:D25),2)</f>
        <v>2.75</v>
      </c>
      <c r="E26" s="483"/>
      <c r="F26" s="1124" t="str">
        <f>Lang!$A$59</f>
        <v>Workers wage rate</v>
      </c>
      <c r="G26" s="1125"/>
      <c r="H26" s="478">
        <v>12.8</v>
      </c>
      <c r="I26" s="457">
        <f ca="1">IF(H15&gt;H17,H26*H18+H26*1.5*(H17-H18)+H26*2*(H15-H17),IF(H15&gt;H18,H26*H18+H26*1.5*(H15-H18),H26*H15))/H20</f>
        <v>6136.6875788401403</v>
      </c>
      <c r="J26" s="1078" t="str">
        <f>Lang!$A$60</f>
        <v>Stocks next quarter</v>
      </c>
      <c r="K26" s="1079"/>
      <c r="L26" s="1088"/>
      <c r="N26" s="1116" t="str">
        <f>Lang!$A$61</f>
        <v>Corporate advertising</v>
      </c>
      <c r="O26" s="1117"/>
      <c r="P26" s="1118"/>
      <c r="Q26" s="113"/>
      <c r="R26" s="1116" t="str">
        <f>Lang!$A$115</f>
        <v>Management budget</v>
      </c>
      <c r="S26" s="1117"/>
      <c r="T26" s="1118"/>
      <c r="U26" s="2"/>
      <c r="V26" s="1080" t="str">
        <f>IF(X26=4,"Taxes","")</f>
        <v/>
      </c>
      <c r="W26" s="1104"/>
      <c r="X26" s="634">
        <f>IF(X21=4,1,X21+1)</f>
        <v>3</v>
      </c>
      <c r="Y26" s="1114">
        <f>SUM(V27:X29)</f>
        <v>3376</v>
      </c>
      <c r="AH26" s="1084"/>
      <c r="AI26" s="1085"/>
      <c r="AJ26" s="5">
        <f>(E28*C28)*1000+(B28-E28)*7500</f>
        <v>60000</v>
      </c>
      <c r="AK26" s="6"/>
      <c r="AL26" s="6"/>
      <c r="AM26" s="7"/>
      <c r="AN26" s="5"/>
      <c r="AO26" s="6">
        <f t="shared" ref="AO26:AQ27" ca="1" si="8">(J17*J42)*$D$28</f>
        <v>32214.560000000001</v>
      </c>
      <c r="AP26" s="6">
        <f t="shared" ca="1" si="8"/>
        <v>30976.32</v>
      </c>
      <c r="AQ26" s="7">
        <f t="shared" ca="1" si="8"/>
        <v>23638.400000000001</v>
      </c>
    </row>
    <row r="27" spans="1:43" ht="12.9" customHeight="1" thickBot="1" x14ac:dyDescent="0.3">
      <c r="A27" s="1100" t="str">
        <f>Lang!$A$58</f>
        <v>Agents and distributors</v>
      </c>
      <c r="B27" s="1101"/>
      <c r="C27" s="1101"/>
      <c r="D27" s="1102"/>
      <c r="E27" s="483"/>
      <c r="F27" s="1126" t="str">
        <f>Lang!$A$62</f>
        <v>Machinists wage rate</v>
      </c>
      <c r="G27" s="1127"/>
      <c r="H27" s="479">
        <f>H26*0.65</f>
        <v>8.32</v>
      </c>
      <c r="I27" s="457">
        <f ca="1">IF(H24+H25=0,0,H62/(H24+H25))</f>
        <v>6631.4992651692082</v>
      </c>
      <c r="J27" s="404">
        <f t="shared" ref="J27:L29" ca="1" si="9">J12*$M32+J12*J$35+J12*J32</f>
        <v>0</v>
      </c>
      <c r="K27" s="405">
        <f t="shared" ca="1" si="9"/>
        <v>0</v>
      </c>
      <c r="L27" s="408">
        <f t="shared" ca="1" si="9"/>
        <v>0</v>
      </c>
      <c r="N27" s="900">
        <f ca="1">Config!$G17*(OFFSET(History!$A$32,$B$52,0)+OFFSET(History!$A$31,$B$52,0)*Config!$H17+OFFSET(History!$A$30,$B$52,0)*Config!$H17^2+OFFSET(History!$A$29,$B$52,0)*Config!$H17^3)-Config!$G17*(OFFSET(History!$A$31,$B$52,0)+OFFSET(History!$A$30,$B$52,0)*Config!$H17+OFFSET(History!$A$29,$B$52,0)*Config!$H17^2+OFFSET(History!$A$28,$B$52,0)*Config!$H17^3)</f>
        <v>5.1829942400588255E-4</v>
      </c>
      <c r="O27" s="901">
        <f ca="1">Config!$G17*(OFFSET(History!$A$32,$B$52,0)+OFFSET(History!$A$31,$B$52,0)*Config!$H17+OFFSET(History!$A$30,$B$52,0)*Config!$H17^2+OFFSET(History!$A$29,$B$52,0)*Config!$H17^3)-Config!$G17*(OFFSET(History!$A$31,$B$52,0)+OFFSET(History!$A$30,$B$52,0)*Config!$H17+OFFSET(History!$A$29,$B$52,0)*Config!$H17^2+OFFSET(History!$A$28,$B$52,0)*Config!$H17^3)</f>
        <v>5.1829942400588255E-4</v>
      </c>
      <c r="P27" s="902">
        <f ca="1">Config!$G17*(OFFSET(History!$A$32,$B$52,0)+OFFSET(History!$A$31,$B$52,0)*Config!$H17+OFFSET(History!$A$30,$B$52,0)*Config!$H17^2+OFFSET(History!$A$29,$B$52,0)*Config!$H17^3)-Config!$G17*(OFFSET(History!$A$31,$B$52,0)+OFFSET(History!$A$30,$B$52,0)*Config!$H17+OFFSET(History!$A$29,$B$52,0)*Config!$H17^2+OFFSET(History!$A$28,$B$52,0)*Config!$H17^3)</f>
        <v>5.1829942400588255E-4</v>
      </c>
      <c r="Q27" s="113"/>
      <c r="R27" s="900">
        <f ca="1">($H$47+OFFSET(History!$Q$19,$B$52,0)*Config!$H$25+OFFSET(History!$Q$18,$B$52,0)*Config!$H$25^2+OFFSET(History!$Q$17,$B$52,0)*Config!$H$25^3+1)^Config!$G$25-(OFFSET(History!$Q$19,$B$52,0)+OFFSET(History!$Q$18,$B$52,0)*Config!$H$25+OFFSET(History!$Q$17,$B$52,0)*Config!$H$25^2+OFFSET(History!$Q$16,$B$52,0)*Config!$H$25^3+1)^Config!$G$25</f>
        <v>7.4846616540182875E-3</v>
      </c>
      <c r="S27" s="901">
        <f ca="1">($H$47+OFFSET(History!$Q$19,$B$52,0)*Config!$H$25+OFFSET(History!$Q$18,$B$52,0)*Config!$H$25^2+OFFSET(History!$Q$17,$B$52,0)*Config!$H$25^3+1)^Config!$G$25-(OFFSET(History!$Q$19,$B$52,0)+OFFSET(History!$Q$18,$B$52,0)*Config!$H$25+OFFSET(History!$Q$17,$B$52,0)*Config!$H$25^2+OFFSET(History!$Q$16,$B$52,0)*Config!$H$25^3+1)^Config!$G$25</f>
        <v>7.4846616540182875E-3</v>
      </c>
      <c r="T27" s="902">
        <f ca="1">($H$47+OFFSET(History!$Q$19,$B$52,0)*Config!$H$25+OFFSET(History!$Q$18,$B$52,0)*Config!$H$25^2+OFFSET(History!$Q$17,$B$52,0)*Config!$H$25^3+1)^Config!$G$25-(OFFSET(History!$Q$19,$B$52,0)+OFFSET(History!$Q$18,$B$52,0)*Config!$H$25+OFFSET(History!$Q$17,$B$52,0)*Config!$H$25^2+OFFSET(History!$Q$16,$B$52,0)*Config!$H$25^3+1)^Config!$G$25</f>
        <v>7.4846616540182875E-3</v>
      </c>
      <c r="U27" s="2"/>
      <c r="V27" s="638">
        <f>'62'!$U$17</f>
        <v>970</v>
      </c>
      <c r="W27" s="639">
        <f>'62'!$W$17</f>
        <v>663</v>
      </c>
      <c r="X27" s="640">
        <f>'62'!$Y$17</f>
        <v>399</v>
      </c>
      <c r="Y27" s="1114"/>
      <c r="AH27" s="1084"/>
      <c r="AI27" s="1085"/>
      <c r="AJ27" s="5">
        <f>(E29*C29)*1000+(B29-E29)*7500</f>
        <v>40000</v>
      </c>
      <c r="AK27" s="6"/>
      <c r="AL27" s="6"/>
      <c r="AM27" s="7"/>
      <c r="AN27" s="5"/>
      <c r="AO27" s="6">
        <f t="shared" ca="1" si="8"/>
        <v>15708</v>
      </c>
      <c r="AP27" s="6">
        <f t="shared" ca="1" si="8"/>
        <v>14190.4</v>
      </c>
      <c r="AQ27" s="7">
        <f t="shared" ca="1" si="8"/>
        <v>10944</v>
      </c>
    </row>
    <row r="28" spans="1:43" ht="12.9" customHeight="1" thickBot="1" x14ac:dyDescent="0.3">
      <c r="A28" s="603">
        <v>3</v>
      </c>
      <c r="B28" s="463">
        <v>6</v>
      </c>
      <c r="C28" s="463">
        <v>10</v>
      </c>
      <c r="D28" s="523">
        <v>0.08</v>
      </c>
      <c r="E28" s="457">
        <f>'72'!M30+A28</f>
        <v>6</v>
      </c>
      <c r="F28" s="1115">
        <f ca="1">H76+H81</f>
        <v>275724.66710876732</v>
      </c>
      <c r="G28" s="1115"/>
      <c r="H28" s="1115"/>
      <c r="J28" s="404">
        <f t="shared" ca="1" si="9"/>
        <v>0</v>
      </c>
      <c r="K28" s="405">
        <f t="shared" ca="1" si="9"/>
        <v>0</v>
      </c>
      <c r="L28" s="408">
        <f t="shared" ca="1" si="9"/>
        <v>0</v>
      </c>
      <c r="N28" s="900">
        <f ca="1">Config!$G18*(OFFSET(History!$E$32,$B$52,0)+OFFSET(History!$E$31,$B$52,0)*Config!$H18+OFFSET(History!$E$30,$B$52,0)*Config!$H18^2+OFFSET(History!$E$29,$B$52,0)*Config!$H18^3)-Config!$G18*(OFFSET(History!$E$31,$B$52,0)+OFFSET(History!$E$30,$B$52,0)*Config!$H18+OFFSET(History!$E$29,$B$52,0)*Config!$H18^2+OFFSET(History!$E$28,$B$52,0)*Config!$H18^3)</f>
        <v>5.1829942400588276E-4</v>
      </c>
      <c r="O28" s="901">
        <f ca="1">Config!$G18*(OFFSET(History!$E$32,$B$52,0)+OFFSET(History!$E$31,$B$52,0)*Config!$H18+OFFSET(History!$E$30,$B$52,0)*Config!$H18^2+OFFSET(History!$E$29,$B$52,0)*Config!$H18^3)-Config!$G18*(OFFSET(History!$E$31,$B$52,0)+OFFSET(History!$E$30,$B$52,0)*Config!$H18+OFFSET(History!$E$29,$B$52,0)*Config!$H18^2+OFFSET(History!$E$28,$B$52,0)*Config!$H18^3)</f>
        <v>5.1829942400588276E-4</v>
      </c>
      <c r="P28" s="902">
        <f ca="1">Config!$G18*(OFFSET(History!$E$32,$B$52,0)+OFFSET(History!$E$31,$B$52,0)*Config!$H18+OFFSET(History!$E$30,$B$52,0)*Config!$H18^2+OFFSET(History!$E$29,$B$52,0)*Config!$H18^3)-Config!$G18*(OFFSET(History!$E$31,$B$52,0)+OFFSET(History!$E$30,$B$52,0)*Config!$H18+OFFSET(History!$E$29,$B$52,0)*Config!$H18^2+OFFSET(History!$E$28,$B$52,0)*Config!$H18^3)</f>
        <v>5.1829942400588276E-4</v>
      </c>
      <c r="Q28" s="113"/>
      <c r="R28" s="900">
        <f ca="1">($H$47+OFFSET(History!$Q$19,$B$52,0)*Config!$H$25+OFFSET(History!$Q$18,$B$52,0)*Config!$H$25^2+OFFSET(History!$Q$17,$B$52,0)*Config!$H$25^3+1)^Config!$G$25-(OFFSET(History!$Q$19,$B$52,0)+OFFSET(History!$Q$18,$B$52,0)*Config!$H$25+OFFSET(History!$Q$17,$B$52,0)*Config!$H$25^2+OFFSET(History!$Q$16,$B$52,0)*Config!$H$25^3+1)^Config!$G$25</f>
        <v>7.4846616540182875E-3</v>
      </c>
      <c r="S28" s="901">
        <f ca="1">($H$47+OFFSET(History!$Q$19,$B$52,0)*Config!$H$25+OFFSET(History!$Q$18,$B$52,0)*Config!$H$25^2+OFFSET(History!$Q$17,$B$52,0)*Config!$H$25^3+1)^Config!$G$25-(OFFSET(History!$Q$19,$B$52,0)+OFFSET(History!$Q$18,$B$52,0)*Config!$H$25+OFFSET(History!$Q$17,$B$52,0)*Config!$H$25^2+OFFSET(History!$Q$16,$B$52,0)*Config!$H$25^3+1)^Config!$G$25</f>
        <v>7.4846616540182875E-3</v>
      </c>
      <c r="T28" s="902">
        <f ca="1">($H$47+OFFSET(History!$Q$19,$B$52,0)*Config!$H$25+OFFSET(History!$Q$18,$B$52,0)*Config!$H$25^2+OFFSET(History!$Q$17,$B$52,0)*Config!$H$25^3+1)^Config!$G$25-(OFFSET(History!$Q$19,$B$52,0)+OFFSET(History!$Q$18,$B$52,0)*Config!$H$25+OFFSET(History!$Q$17,$B$52,0)*Config!$H$25^2+OFFSET(History!$Q$16,$B$52,0)*Config!$H$25^3+1)^Config!$G$25</f>
        <v>7.4846616540182875E-3</v>
      </c>
      <c r="U28" s="2"/>
      <c r="V28" s="638">
        <f>'62'!$U$18</f>
        <v>155</v>
      </c>
      <c r="W28" s="639">
        <f>'62'!$W$18</f>
        <v>152</v>
      </c>
      <c r="X28" s="640">
        <f>'62'!$Y$18</f>
        <v>77</v>
      </c>
      <c r="Y28" s="1114"/>
      <c r="AH28" s="1086"/>
      <c r="AI28" s="1087"/>
      <c r="AJ28" s="9"/>
      <c r="AK28" s="10"/>
      <c r="AL28" s="10"/>
      <c r="AM28" s="11"/>
      <c r="AN28" s="9"/>
      <c r="AO28" s="10"/>
      <c r="AP28" s="10"/>
      <c r="AQ28" s="11"/>
    </row>
    <row r="29" spans="1:43" ht="12.9" customHeight="1" thickBot="1" x14ac:dyDescent="0.3">
      <c r="A29" s="603">
        <v>2</v>
      </c>
      <c r="B29" s="463">
        <v>4</v>
      </c>
      <c r="C29" s="463">
        <v>10</v>
      </c>
      <c r="D29" s="523">
        <v>0.08</v>
      </c>
      <c r="E29" s="457">
        <f>'72'!N30+A29</f>
        <v>4</v>
      </c>
      <c r="F29" s="1080" t="str">
        <f>Lang!$A$63</f>
        <v>Raw materials</v>
      </c>
      <c r="G29" s="1081"/>
      <c r="H29" s="453">
        <f ca="1">IF(B52=1,G33,IF(B52=2,G34,G35))</f>
        <v>71403</v>
      </c>
      <c r="J29" s="407">
        <f t="shared" ca="1" si="9"/>
        <v>0</v>
      </c>
      <c r="K29" s="406">
        <f t="shared" ca="1" si="9"/>
        <v>0</v>
      </c>
      <c r="L29" s="403">
        <f t="shared" ca="1" si="9"/>
        <v>0</v>
      </c>
      <c r="N29" s="903">
        <f ca="1">Config!$G19*(OFFSET(History!$I$32,$B$52,0)+OFFSET(History!$I$31,$B$52,0)*Config!$H19+OFFSET(History!$I$30,$B$52,0)*Config!$H19^2+OFFSET(History!$I$29,$B$52,0)*Config!$H19^3)-Config!$G19*(OFFSET(History!$I$31,$B$52,0)+OFFSET(History!$I$30,$B$52,0)*Config!$H19+OFFSET(History!$I$29,$B$52,0)*Config!$H19^2+OFFSET(History!$I$28,$B$52,0)*Config!$H19^3)</f>
        <v>6.017081109391453E-4</v>
      </c>
      <c r="O29" s="904">
        <f ca="1">Config!$G19*(OFFSET(History!$I$32,$B$52,0)+OFFSET(History!$I$31,$B$52,0)*Config!$H19+OFFSET(History!$I$30,$B$52,0)*Config!$H19^2+OFFSET(History!$I$29,$B$52,0)*Config!$H19^3)-Config!$G19*(OFFSET(History!$I$31,$B$52,0)+OFFSET(History!$I$30,$B$52,0)*Config!$H19+OFFSET(History!$I$29,$B$52,0)*Config!$H19^2+OFFSET(History!$I$28,$B$52,0)*Config!$H19^3)</f>
        <v>6.017081109391453E-4</v>
      </c>
      <c r="P29" s="905">
        <f ca="1">Config!$G19*(OFFSET(History!$I$32,$B$52,0)+OFFSET(History!$I$31,$B$52,0)*Config!$H19+OFFSET(History!$I$30,$B$52,0)*Config!$H19^2+OFFSET(History!$I$29,$B$52,0)*Config!$H19^3)-Config!$G19*(OFFSET(History!$I$31,$B$52,0)+OFFSET(History!$I$30,$B$52,0)*Config!$H19+OFFSET(History!$I$29,$B$52,0)*Config!$H19^2+OFFSET(History!$I$28,$B$52,0)*Config!$H19^3)</f>
        <v>6.017081109391453E-4</v>
      </c>
      <c r="Q29" s="113"/>
      <c r="R29" s="903">
        <f ca="1">($H$47+OFFSET(History!$Q$19,$B$52,0)*Config!$H$25+OFFSET(History!$Q$18,$B$52,0)*Config!$H$25^2+OFFSET(History!$Q$17,$B$52,0)*Config!$H$25^3+1)^Config!$G$25-(OFFSET(History!$Q$19,$B$52,0)+OFFSET(History!$Q$18,$B$52,0)*Config!$H$25+OFFSET(History!$Q$17,$B$52,0)*Config!$H$25^2+OFFSET(History!$Q$16,$B$52,0)*Config!$H$25^3+1)^Config!$G$25</f>
        <v>7.4846616540182875E-3</v>
      </c>
      <c r="S29" s="904">
        <f ca="1">($H$47+OFFSET(History!$Q$19,$B$52,0)*Config!$H$25+OFFSET(History!$Q$18,$B$52,0)*Config!$H$25^2+OFFSET(History!$Q$17,$B$52,0)*Config!$H$25^3+1)^Config!$G$25-(OFFSET(History!$Q$19,$B$52,0)+OFFSET(History!$Q$18,$B$52,0)*Config!$H$25+OFFSET(History!$Q$17,$B$52,0)*Config!$H$25^2+OFFSET(History!$Q$16,$B$52,0)*Config!$H$25^3+1)^Config!$G$25</f>
        <v>7.4846616540182875E-3</v>
      </c>
      <c r="T29" s="905">
        <f ca="1">($H$47+OFFSET(History!$Q$19,$B$52,0)*Config!$H$25+OFFSET(History!$Q$18,$B$52,0)*Config!$H$25^2+OFFSET(History!$Q$17,$B$52,0)*Config!$H$25^3+1)^Config!$G$25-(OFFSET(History!$Q$19,$B$52,0)+OFFSET(History!$Q$18,$B$52,0)*Config!$H$25+OFFSET(History!$Q$17,$B$52,0)*Config!$H$25^2+OFFSET(History!$Q$16,$B$52,0)*Config!$H$25^3+1)^Config!$G$25</f>
        <v>7.4846616540182875E-3</v>
      </c>
      <c r="U29" s="2"/>
      <c r="V29" s="641">
        <f>'62'!$U$19</f>
        <v>464</v>
      </c>
      <c r="W29" s="642">
        <f>'62'!$W$19</f>
        <v>318</v>
      </c>
      <c r="X29" s="643">
        <f>'62'!$Y$19</f>
        <v>178</v>
      </c>
      <c r="Y29" s="1114"/>
      <c r="AH29" s="1090" t="str">
        <f>Lang!$A$64</f>
        <v>Sales office</v>
      </c>
      <c r="AI29" s="1091"/>
      <c r="AJ29" s="5">
        <f ca="1">C59</f>
        <v>24500.269700000004</v>
      </c>
      <c r="AK29" s="6"/>
      <c r="AL29" s="6"/>
      <c r="AM29" s="7"/>
      <c r="AN29" s="5"/>
      <c r="AO29" s="6"/>
      <c r="AP29" s="6"/>
      <c r="AQ29" s="7"/>
    </row>
    <row r="30" spans="1:43" ht="12.9" customHeight="1" thickBot="1" x14ac:dyDescent="0.3">
      <c r="A30" s="15"/>
      <c r="B30" s="395"/>
      <c r="C30" s="395">
        <v>12</v>
      </c>
      <c r="D30" s="524">
        <v>0.08</v>
      </c>
      <c r="E30" s="457">
        <f>'72'!O30</f>
        <v>1</v>
      </c>
      <c r="F30" s="1107" t="str">
        <f>Lang!$A$65</f>
        <v>Required materials</v>
      </c>
      <c r="G30" s="1108"/>
      <c r="H30" s="394">
        <f ca="1">SUM(B2:B5)*1+SUM(C2:C5)*2+SUM(D2:D5)*3-(IF(SUM(B2:B5)&lt;B7,SUM(B2:B5),B7)*1+IF(SUM(C2:C5)&lt;C7,SUM(C2:C5),C7)*2+IF(SUM(D2:D5)&lt;D7,SUM(D2:D5),D7)*3)</f>
        <v>6383.0949886152848</v>
      </c>
      <c r="I30" s="471">
        <f ca="1">H30/'72'!G34</f>
        <v>1.5827163373705144</v>
      </c>
      <c r="O30" s="2"/>
      <c r="Q30" s="3"/>
      <c r="R30" s="3"/>
      <c r="S30" s="3"/>
      <c r="U30" s="2"/>
      <c r="V30" s="2"/>
      <c r="W30" s="8"/>
      <c r="AH30" s="1092"/>
      <c r="AI30" s="1093"/>
      <c r="AJ30" s="5"/>
      <c r="AK30" s="6"/>
      <c r="AL30" s="6"/>
      <c r="AM30" s="7"/>
      <c r="AN30" s="5"/>
      <c r="AO30" s="6"/>
      <c r="AP30" s="6"/>
      <c r="AQ30" s="7"/>
    </row>
    <row r="31" spans="1:43" ht="12.9" customHeight="1" thickBot="1" x14ac:dyDescent="0.3">
      <c r="E31" s="483"/>
      <c r="F31" s="1107" t="str">
        <f>Lang!$A$66</f>
        <v>Materials will remain</v>
      </c>
      <c r="G31" s="1108"/>
      <c r="H31" s="394">
        <f ca="1">I33+H32+H33-H30</f>
        <v>1683.4222928123891</v>
      </c>
      <c r="J31" s="1119" t="str">
        <f>Lang!$A$60</f>
        <v>Stocks next quarter</v>
      </c>
      <c r="K31" s="1120"/>
      <c r="L31" s="1121"/>
      <c r="N31" s="1116" t="str">
        <f>Lang!$A$67</f>
        <v>Direct advertising</v>
      </c>
      <c r="O31" s="1117"/>
      <c r="P31" s="1118"/>
      <c r="Q31" s="743"/>
      <c r="R31" s="1116" t="str">
        <f>Lang!$A$68</f>
        <v>Ports</v>
      </c>
      <c r="S31" s="1117"/>
      <c r="T31" s="1118"/>
      <c r="U31" s="2"/>
      <c r="V31" s="1080" t="str">
        <f>IF(X31=4,"Taxes","")</f>
        <v>Taxes</v>
      </c>
      <c r="W31" s="1104"/>
      <c r="X31" s="634">
        <f>IF(X26=4,1,X26+1)</f>
        <v>4</v>
      </c>
      <c r="Y31" s="1114">
        <f>SUM(V32:X34)</f>
        <v>3802</v>
      </c>
      <c r="AG31" s="8"/>
      <c r="AH31" s="1092"/>
      <c r="AI31" s="1093"/>
      <c r="AJ31" s="5"/>
      <c r="AK31" s="6"/>
      <c r="AL31" s="6"/>
      <c r="AM31" s="7"/>
      <c r="AN31" s="5"/>
      <c r="AO31" s="6"/>
      <c r="AP31" s="6"/>
      <c r="AQ31" s="7"/>
    </row>
    <row r="32" spans="1:43" ht="12.9" customHeight="1" thickBot="1" x14ac:dyDescent="0.3">
      <c r="A32" s="1078" t="str">
        <f>Lang!$A$69</f>
        <v>Optimal advertising</v>
      </c>
      <c r="B32" s="1079"/>
      <c r="C32" s="1079"/>
      <c r="D32" s="453">
        <f ca="1">H56*E32/1000</f>
        <v>147.0016182</v>
      </c>
      <c r="E32" s="445">
        <v>0.06</v>
      </c>
      <c r="F32" s="1107" t="str">
        <f>Lang!$A$70</f>
        <v>Additional materials</v>
      </c>
      <c r="G32" s="1108"/>
      <c r="H32" s="394">
        <f ca="1">SUM(B2:B5)*1*B22+SUM(C2:C5)*2*C22+SUM(D2:D5)*3*D22-(IF(SUM(B2:B5)&lt;B7,SUM(B2:B5),B7)*1*B22+IF(SUM(C2:C5)&lt;C7,SUM(C2:C5),C7)*2*C22+IF(SUM(D2:D5)&lt;D7,SUM(D2:D5),D7)*3*D22)</f>
        <v>526.51728142767388</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2.1343228747737822E-4</v>
      </c>
      <c r="O32" s="901">
        <f ca="1">Config!M22*(C38+OFFSET(History!C$32,$B$52,0)*Config!$O22+OFFSET(History!C$31,$B$52,0)*Config!$O22^2+OFFSET(History!C$30,$B$52,0)*Config!$O22^3)-Config!M22*(OFFSET(History!C$32,$B$52,0)+OFFSET(History!C$31,$B$52,0)*Config!$O22+OFFSET(History!C$30,$B$52,0)*Config!$O22^2+OFFSET(History!C$29,$B$52,0)*Config!$O22^3)</f>
        <v>3.1717278086536571E-3</v>
      </c>
      <c r="P32" s="902">
        <f ca="1">Config!N22*(D38+OFFSET(History!D$32,$B$52,0)*Config!$O22+OFFSET(History!D$31,$B$52,0)*Config!$O22^2+OFFSET(History!D$30,$B$52,0)*Config!$O22^3)-Config!N22*(OFFSET(History!D$32,$B$52,0)+OFFSET(History!D$31,$B$52,0)*Config!$O22+OFFSET(History!D$30,$B$52,0)*Config!$O22^2+OFFSET(History!D$29,$B$52,0)*Config!$O22^3)</f>
        <v>-4.1138458936150618E-3</v>
      </c>
      <c r="Q32" s="113"/>
      <c r="R32" s="900"/>
      <c r="S32" s="901"/>
      <c r="T32" s="902"/>
      <c r="U32" s="2"/>
      <c r="V32" s="638">
        <f>'72'!$U$17</f>
        <v>1178</v>
      </c>
      <c r="W32" s="639">
        <f>'72'!$W$17</f>
        <v>717</v>
      </c>
      <c r="X32" s="640">
        <f>'72'!$Y$17</f>
        <v>392</v>
      </c>
      <c r="Y32" s="1114"/>
      <c r="AH32" s="1094"/>
      <c r="AI32" s="1095"/>
      <c r="AJ32" s="9"/>
      <c r="AK32" s="10"/>
      <c r="AL32" s="10"/>
      <c r="AM32" s="11"/>
      <c r="AN32" s="9"/>
      <c r="AO32" s="10"/>
      <c r="AP32" s="10"/>
      <c r="AQ32" s="11"/>
    </row>
    <row r="33" spans="1:43" ht="12.9" customHeight="1" x14ac:dyDescent="0.25">
      <c r="A33" s="433">
        <f ca="1">SUM(AK2:AM2)/SUM($AK$2:$AM$4)*SUM($A$38:$A$40)</f>
        <v>24.569880877804877</v>
      </c>
      <c r="B33" s="434">
        <f t="shared" ref="B33:D35" ca="1" si="10">AK2/SUM($AK$2:$AM$4)*$D$32</f>
        <v>24.363993840981788</v>
      </c>
      <c r="C33" s="434">
        <f t="shared" ca="1" si="10"/>
        <v>23.427508235291153</v>
      </c>
      <c r="D33" s="438">
        <f t="shared" ca="1" si="10"/>
        <v>17.877811524064395</v>
      </c>
      <c r="F33" s="888" t="str">
        <f>Lang!$A$71</f>
        <v>Spot - 1, 2, 3, 4, 5</v>
      </c>
      <c r="G33" s="62">
        <f ca="1">OFFSET(History!N45,$B52,)</f>
        <v>79336</v>
      </c>
      <c r="H33" s="429">
        <v>2000</v>
      </c>
      <c r="I33" s="457">
        <f>'72'!G35+'72'!G37+'72'!G38</f>
        <v>5540</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2.1343228747737822E-4</v>
      </c>
      <c r="O33" s="901">
        <f ca="1">Config!M23*(C39+OFFSET(History!G$32,$B$52,0)*Config!$O23+OFFSET(History!G$31,$B$52,0)*Config!$O23^2+OFFSET(History!G$30,$B$52,0)*Config!$O23^3)-Config!M23*(OFFSET(History!G$32,$B$52,0)+OFFSET(History!G$31,$B$52,0)*Config!$O23+OFFSET(History!G$30,$B$52,0)*Config!$O23^2+OFFSET(History!G$29,$B$52,0)*Config!$O23^3)</f>
        <v>3.9944969873766771E-3</v>
      </c>
      <c r="P33" s="902">
        <f ca="1">Config!N23*(D39+OFFSET(History!H$32,$B$52,0)*Config!$O23+OFFSET(History!H$31,$B$52,0)*Config!$O23^2+OFFSET(History!H$30,$B$52,0)*Config!$O23^3)-Config!N23*(OFFSET(History!H$32,$B$52,0)+OFFSET(History!H$31,$B$52,0)*Config!$O23+OFFSET(History!H$30,$B$52,0)*Config!$O23^2+OFFSET(History!H$29,$B$52,0)*Config!$O23^3)</f>
        <v>3.9944969873766771E-3</v>
      </c>
      <c r="Q33" s="113"/>
      <c r="R33" s="900"/>
      <c r="S33" s="901"/>
      <c r="T33" s="902"/>
      <c r="U33" s="2"/>
      <c r="V33" s="638">
        <f>'72'!$U$18</f>
        <v>113</v>
      </c>
      <c r="W33" s="639">
        <f>'72'!$W$18</f>
        <v>126</v>
      </c>
      <c r="X33" s="640">
        <f>'72'!$Y$18</f>
        <v>63</v>
      </c>
      <c r="Y33" s="1114"/>
      <c r="AH33" s="1082" t="str">
        <f>Lang!$A$223</f>
        <v>Guarantee servicing</v>
      </c>
      <c r="AI33" s="1083"/>
      <c r="AJ33" s="5"/>
      <c r="AK33" s="6">
        <f ca="1">B6*60</f>
        <v>2448</v>
      </c>
      <c r="AL33" s="6">
        <f ca="1">C6*150</f>
        <v>2550</v>
      </c>
      <c r="AM33" s="7">
        <f ca="1">D6*250</f>
        <v>2450</v>
      </c>
      <c r="AN33" s="5"/>
      <c r="AO33" s="6"/>
      <c r="AP33" s="6"/>
      <c r="AQ33" s="7"/>
    </row>
    <row r="34" spans="1:43" ht="12.9" customHeight="1" thickBot="1" x14ac:dyDescent="0.3">
      <c r="A34" s="433">
        <f ca="1">SUM(AK3:AM3)/SUM($AK$2:$AM$4)*SUM($A$38:$A$40)</f>
        <v>11.557079625256112</v>
      </c>
      <c r="B34" s="434">
        <f t="shared" ca="1" si="10"/>
        <v>11.880019942974293</v>
      </c>
      <c r="C34" s="434">
        <f t="shared" ca="1" si="10"/>
        <v>10.73225331033756</v>
      </c>
      <c r="D34" s="438">
        <f t="shared" ca="1" si="10"/>
        <v>8.276988684486291</v>
      </c>
      <c r="F34" s="13" t="str">
        <f>Lang!$A$72</f>
        <v>3 mth - 1, 2, 3, 4</v>
      </c>
      <c r="G34" s="62">
        <f ca="1">OFFSET(History!O45,$B52,)</f>
        <v>75369</v>
      </c>
      <c r="H34" s="429">
        <v>3000</v>
      </c>
      <c r="I34" s="457">
        <f>'72'!G39</f>
        <v>4000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3.6619895065892957E-3</v>
      </c>
      <c r="O34" s="904">
        <f ca="1">Config!M24*(C40+OFFSET(History!K$32,$B$52,0)*Config!$O24+OFFSET(History!K$31,$B$52,0)*Config!$O24^2+OFFSET(History!K$30,$B$52,0)*Config!$O24^3)-Config!M24*(OFFSET(History!K$32,$B$52,0)+OFFSET(History!K$31,$B$52,0)*Config!$O24+OFFSET(History!K$30,$B$52,0)*Config!$O24^2+OFFSET(History!K$29,$B$52,0)*Config!$O24^3)</f>
        <v>4.271326397834934E-3</v>
      </c>
      <c r="P34" s="905">
        <f ca="1">Config!N24*(D40+OFFSET(History!L$32,$B$52,0)*Config!$O24+OFFSET(History!L$31,$B$52,0)*Config!$O24^2+OFFSET(History!L$30,$B$52,0)*Config!$O24^3)-Config!N24*(OFFSET(History!L$32,$B$52,0)+OFFSET(History!L$31,$B$52,0)*Config!$O24+OFFSET(History!L$30,$B$52,0)*Config!$O24^2+OFFSET(History!L$29,$B$52,0)*Config!$O24^3)</f>
        <v>4.271326397834934E-3</v>
      </c>
      <c r="Q34" s="113"/>
      <c r="R34" s="903"/>
      <c r="S34" s="904"/>
      <c r="T34" s="905"/>
      <c r="U34" s="2"/>
      <c r="V34" s="641">
        <f>'72'!$U$19</f>
        <v>584</v>
      </c>
      <c r="W34" s="642">
        <f>'72'!$W$19</f>
        <v>395</v>
      </c>
      <c r="X34" s="643">
        <f>'72'!$Y$19</f>
        <v>234</v>
      </c>
      <c r="Y34" s="1114"/>
      <c r="AH34" s="1084"/>
      <c r="AI34" s="1085"/>
      <c r="AJ34" s="5"/>
      <c r="AK34" s="6"/>
      <c r="AL34" s="6"/>
      <c r="AM34" s="7"/>
      <c r="AN34" s="5"/>
      <c r="AO34" s="6"/>
      <c r="AP34" s="6"/>
      <c r="AQ34" s="7"/>
    </row>
    <row r="35" spans="1:43" ht="12.9" customHeight="1" thickBot="1" x14ac:dyDescent="0.3">
      <c r="A35" s="437">
        <f ca="1">SUM(AK4:AM4)/SUM($AK$2:$AM$4)*SUM($A$38:$A$40)</f>
        <v>18.873039496939008</v>
      </c>
      <c r="B35" s="436">
        <f t="shared" ca="1" si="10"/>
        <v>20.494017596558454</v>
      </c>
      <c r="C35" s="436">
        <f t="shared" ca="1" si="10"/>
        <v>16.809305528684074</v>
      </c>
      <c r="D35" s="435">
        <f t="shared" ca="1" si="10"/>
        <v>13.139719536621985</v>
      </c>
      <c r="F35" s="15" t="str">
        <f>Lang!$A$73</f>
        <v>6 mth - 1, 2, 3</v>
      </c>
      <c r="G35" s="651">
        <f ca="1">OFFSET(History!P45,$B52,)</f>
        <v>71403</v>
      </c>
      <c r="H35" s="432">
        <v>4000</v>
      </c>
      <c r="J35" s="445">
        <v>0</v>
      </c>
      <c r="K35" s="445">
        <v>0</v>
      </c>
      <c r="L35" s="445">
        <v>0</v>
      </c>
      <c r="N35" s="2"/>
      <c r="O35" s="2"/>
      <c r="P35" s="2"/>
      <c r="Q35" s="3"/>
      <c r="S35" s="2"/>
      <c r="T35" s="2"/>
      <c r="U35" s="2"/>
      <c r="V35" s="2"/>
      <c r="W35" s="8"/>
      <c r="AH35" s="1084"/>
      <c r="AI35" s="1085"/>
      <c r="AJ35" s="5"/>
      <c r="AK35" s="6"/>
      <c r="AL35" s="6"/>
      <c r="AM35" s="7"/>
      <c r="AN35" s="5"/>
      <c r="AO35" s="6"/>
      <c r="AP35" s="6"/>
      <c r="AQ35" s="7"/>
    </row>
    <row r="36" spans="1:43" ht="12.9" customHeight="1" thickBot="1" x14ac:dyDescent="0.3">
      <c r="E36" s="3"/>
      <c r="F36" s="1115">
        <f ca="1">F28+J42*J37+J43*J38+J44*J39+K42*K37+K43*K38+K44*K39+L42*L37+L43*L38+L44*L39</f>
        <v>275724.66710876732</v>
      </c>
      <c r="G36" s="1115"/>
      <c r="H36" s="1115"/>
      <c r="J36" s="1080" t="str">
        <f>Lang!$A$60</f>
        <v>Stocks next quarter</v>
      </c>
      <c r="K36" s="1081"/>
      <c r="L36" s="1103"/>
      <c r="N36" s="1116" t="str">
        <f>Lang!$A$74</f>
        <v>Prices</v>
      </c>
      <c r="O36" s="1117"/>
      <c r="P36" s="1118"/>
      <c r="Q36" s="743"/>
      <c r="R36" s="1080" t="str">
        <f>Lang!$A$75</f>
        <v>Web-site development</v>
      </c>
      <c r="S36" s="1081"/>
      <c r="T36" s="1103"/>
      <c r="U36" s="2"/>
      <c r="V36" s="1080" t="str">
        <f>IF(X36=4,"Taxes","")</f>
        <v/>
      </c>
      <c r="W36" s="1104"/>
      <c r="X36" s="634">
        <f>IF(X31=4,1,X31+1)</f>
        <v>1</v>
      </c>
      <c r="Y36" s="1114">
        <f>SUM(V37:X39)</f>
        <v>4965</v>
      </c>
      <c r="AH36" s="1086"/>
      <c r="AI36" s="1087"/>
      <c r="AJ36" s="9"/>
      <c r="AK36" s="10"/>
      <c r="AL36" s="10"/>
      <c r="AM36" s="11"/>
      <c r="AN36" s="9"/>
      <c r="AO36" s="10"/>
      <c r="AP36" s="10"/>
      <c r="AQ36" s="11"/>
    </row>
    <row r="37" spans="1:43" ht="12.9" customHeight="1" x14ac:dyDescent="0.25">
      <c r="A37" s="1080" t="str">
        <f>Lang!$A$38</f>
        <v>Advertising</v>
      </c>
      <c r="B37" s="1081"/>
      <c r="C37" s="1081"/>
      <c r="D37" s="453">
        <f>SUM(B38:D40)</f>
        <v>58</v>
      </c>
      <c r="F37" s="1080" t="str">
        <f>Lang!$A$76</f>
        <v>Operations</v>
      </c>
      <c r="G37" s="1081"/>
      <c r="H37" s="1103"/>
      <c r="J37" s="385">
        <f t="shared" ref="J37:L39" ca="1" si="11">B2+J2*(1-B$18)-J7-J12</f>
        <v>0</v>
      </c>
      <c r="K37" s="386">
        <f t="shared" ca="1" si="11"/>
        <v>0</v>
      </c>
      <c r="L37" s="387">
        <f t="shared" ca="1" si="11"/>
        <v>0</v>
      </c>
      <c r="M37" s="448">
        <f ca="1">SUM(J37:L37)/SUM(J12:L12)</f>
        <v>0</v>
      </c>
      <c r="N37" s="900">
        <f ca="1">((Config!J12/J42)-(Config!J12/J47))*(100-'2'!B43)/(100-Config!M27)</f>
        <v>-0.13635764667032993</v>
      </c>
      <c r="O37" s="901">
        <f ca="1">((Config!K12/K42)-(Config!K12/K47))*(100-'2'!C43)/(100-Config!N27)</f>
        <v>2.4076304009586488E-2</v>
      </c>
      <c r="P37" s="902">
        <f ca="1">((Config!L12/L42)-(Config!L12/L47))*(100-'2'!D43)/(100-Config!O27)</f>
        <v>-7.3168672364376814E-3</v>
      </c>
      <c r="Q37" s="743"/>
      <c r="R37" s="900"/>
      <c r="S37" s="901"/>
      <c r="T37" s="902"/>
      <c r="U37" s="2"/>
      <c r="V37" s="638">
        <f>'82'!$U$17</f>
        <v>1093</v>
      </c>
      <c r="W37" s="639">
        <f>'82'!$W$17</f>
        <v>701</v>
      </c>
      <c r="X37" s="640">
        <f>'82'!$Y$17</f>
        <v>363</v>
      </c>
      <c r="Y37" s="1114"/>
      <c r="AH37" s="1082" t="str">
        <f>Lang!$A$77</f>
        <v>Transport</v>
      </c>
      <c r="AI37" s="1083"/>
      <c r="AJ37" s="5"/>
      <c r="AK37" s="6"/>
      <c r="AL37" s="6"/>
      <c r="AM37" s="7"/>
      <c r="AN37" s="5"/>
      <c r="AO37" s="6"/>
      <c r="AP37" s="6"/>
      <c r="AQ37" s="7"/>
    </row>
    <row r="38" spans="1:43" ht="12.9" customHeight="1" x14ac:dyDescent="0.25">
      <c r="A38" s="427">
        <v>20</v>
      </c>
      <c r="B38" s="428">
        <v>6</v>
      </c>
      <c r="C38" s="428">
        <v>6</v>
      </c>
      <c r="D38" s="429">
        <v>5</v>
      </c>
      <c r="E38" s="457">
        <f>SUM(A38:D38)</f>
        <v>37</v>
      </c>
      <c r="F38" s="1122" t="str">
        <f>Lang!$A$78</f>
        <v>Share price</v>
      </c>
      <c r="G38" s="1123"/>
      <c r="H38" s="484">
        <f ca="1">IF('71'!$O$5&gt;0,OFFSET('74'!E35,,'71'!$O$5),'74'!F35)</f>
        <v>94.55</v>
      </c>
      <c r="I38" s="483"/>
      <c r="J38" s="385">
        <f t="shared" ca="1" si="11"/>
        <v>0</v>
      </c>
      <c r="K38" s="386">
        <f t="shared" ca="1" si="11"/>
        <v>0</v>
      </c>
      <c r="L38" s="387">
        <f t="shared" ca="1" si="11"/>
        <v>0</v>
      </c>
      <c r="M38" s="448">
        <f ca="1">SUM(J38:L38)/SUM(J13:L13)</f>
        <v>0</v>
      </c>
      <c r="N38" s="900">
        <f ca="1">((Config!J13/J43)-(Config!J13/J48))*(100-'2'!B44)/(100-Config!M28)</f>
        <v>0.1478491976387315</v>
      </c>
      <c r="O38" s="901">
        <f ca="1">((Config!K13/K43)-(Config!K13/K48))*(100-'2'!C44)/(100-Config!N28)</f>
        <v>4.9869857096707895E-2</v>
      </c>
      <c r="P38" s="902">
        <f ca="1">((Config!L13/L43)-(Config!L13/L48))*(100-'2'!D44)/(100-Config!O28)</f>
        <v>1.9973909112945231E-2</v>
      </c>
      <c r="Q38" s="743"/>
      <c r="R38" s="900"/>
      <c r="S38" s="901"/>
      <c r="T38" s="902"/>
      <c r="U38" s="2"/>
      <c r="V38" s="638">
        <f>'82'!$U$18</f>
        <v>595</v>
      </c>
      <c r="W38" s="639">
        <f>'82'!$W$18</f>
        <v>362</v>
      </c>
      <c r="X38" s="640">
        <f>'82'!$Y$18</f>
        <v>190</v>
      </c>
      <c r="Y38" s="1114"/>
      <c r="Z38" s="23"/>
      <c r="AA38" s="23"/>
      <c r="AB38" s="23"/>
      <c r="AH38" s="1084"/>
      <c r="AI38" s="1085"/>
      <c r="AJ38" s="5"/>
      <c r="AK38" s="6"/>
      <c r="AL38" s="6"/>
      <c r="AM38" s="7"/>
      <c r="AN38" s="5">
        <f ca="1">CEILING(E2,1)*CEILING('72'!M36/400,1)*650</f>
        <v>23400</v>
      </c>
      <c r="AO38" s="6"/>
      <c r="AP38" s="6"/>
      <c r="AQ38" s="7"/>
    </row>
    <row r="39" spans="1:43" ht="12.9" customHeight="1" thickBot="1" x14ac:dyDescent="0.3">
      <c r="A39" s="427">
        <v>15</v>
      </c>
      <c r="B39" s="428">
        <v>6</v>
      </c>
      <c r="C39" s="428">
        <v>7</v>
      </c>
      <c r="D39" s="429">
        <v>7</v>
      </c>
      <c r="E39" s="457">
        <f>SUM(A39:D39)</f>
        <v>35</v>
      </c>
      <c r="F39" s="1096" t="str">
        <f>Lang!$A$79</f>
        <v>Exchange rate</v>
      </c>
      <c r="G39" s="1097"/>
      <c r="H39" s="485">
        <f ca="1">OFFSET(History!Q45,$B52,)</f>
        <v>0.82</v>
      </c>
      <c r="I39" s="483"/>
      <c r="J39" s="388">
        <f t="shared" ca="1" si="11"/>
        <v>0</v>
      </c>
      <c r="K39" s="389">
        <f t="shared" ca="1" si="11"/>
        <v>0</v>
      </c>
      <c r="L39" s="390">
        <f t="shared" ca="1" si="11"/>
        <v>0</v>
      </c>
      <c r="M39" s="448">
        <f ca="1">SUM(J39:L39)/SUM(J14:L14)</f>
        <v>0</v>
      </c>
      <c r="N39" s="903">
        <f ca="1">((Config!J14/J44)-(Config!J14/J49))*(100-'2'!B45)/(100-Config!M29)</f>
        <v>8.9863318949537738E-2</v>
      </c>
      <c r="O39" s="904">
        <f ca="1">((Config!K14/K44)-(Config!K14/K49))*(100-'2'!C45)/(100-Config!N29)</f>
        <v>7.3548325897198508E-2</v>
      </c>
      <c r="P39" s="905">
        <f ca="1">((Config!L14/L44)-(Config!L14/L49))*(100-'2'!D45)/(100-Config!O29)</f>
        <v>0</v>
      </c>
      <c r="Q39" s="743"/>
      <c r="R39" s="903">
        <f ca="1">($H$46+OFFSET(History!$N$58,$B$52,0)*Config!$H$14+OFFSET(History!$N$57,$B$52,0)*Config!$H$14^2+OFFSET(History!$N$56,$B$52,0)*Config!$H$14^3+1)^Config!$G$14-(OFFSET(History!$N$58,$B$52,0)+OFFSET(History!$N$57,$B$52,0)*Config!$H$14+OFFSET(History!$N$56,$B$52,0)*Config!$H$14^2+OFFSET(History!$N$55,$B$52,0)*Config!$H$14^3+1)^Config!$G$14</f>
        <v>1.0422523947633877E-2</v>
      </c>
      <c r="S39" s="904">
        <f ca="1">($H$46+OFFSET(History!$N$58,$B$52,0)*Config!$H$14+OFFSET(History!$N$57,$B$52,0)*Config!$H$14^2+OFFSET(History!$N$56,$B$52,0)*Config!$H$14^3+1)^Config!$G$14-(OFFSET(History!$N$58,$B$52,0)+OFFSET(History!$N$57,$B$52,0)*Config!$H$14+OFFSET(History!$N$56,$B$52,0)*Config!$H$14^2+OFFSET(History!$N$55,$B$52,0)*Config!$H$14^3+1)^Config!$G$14</f>
        <v>1.0422523947633877E-2</v>
      </c>
      <c r="T39" s="905">
        <f ca="1">($H$46+OFFSET(History!$N$58,$B$52,0)*Config!$H$14+OFFSET(History!$N$57,$B$52,0)*Config!$H$14^2+OFFSET(History!$N$56,$B$52,0)*Config!$H$14^3+1)^Config!$G$14-(OFFSET(History!$N$58,$B$52,0)+OFFSET(History!$N$57,$B$52,0)*Config!$H$14+OFFSET(History!$N$56,$B$52,0)*Config!$H$14^2+OFFSET(History!$N$55,$B$52,0)*Config!$H$14^3+1)^Config!$G$14</f>
        <v>1.0422523947633877E-2</v>
      </c>
      <c r="U39" s="2"/>
      <c r="V39" s="641">
        <f>'82'!$U$19</f>
        <v>928</v>
      </c>
      <c r="W39" s="642">
        <f>'82'!$W$19</f>
        <v>479</v>
      </c>
      <c r="X39" s="643">
        <f>'82'!$Y$19</f>
        <v>254</v>
      </c>
      <c r="Y39" s="1114"/>
      <c r="Z39" s="29"/>
      <c r="AA39" s="23"/>
      <c r="AB39" s="23"/>
      <c r="AH39" s="1084"/>
      <c r="AI39" s="1085"/>
      <c r="AJ39" s="5"/>
      <c r="AK39" s="6"/>
      <c r="AL39" s="6"/>
      <c r="AM39" s="7"/>
      <c r="AN39" s="5">
        <f ca="1">CEILING(E3,1)*CEILING('72'!N36/400,1)*650+CEILING(E3,1)*8000</f>
        <v>46500</v>
      </c>
      <c r="AO39" s="6"/>
      <c r="AP39" s="6"/>
      <c r="AQ39" s="7"/>
    </row>
    <row r="40" spans="1:43" ht="12.9" customHeight="1" thickBot="1" x14ac:dyDescent="0.3">
      <c r="A40" s="430">
        <v>20</v>
      </c>
      <c r="B40" s="431">
        <v>7</v>
      </c>
      <c r="C40" s="431">
        <v>7</v>
      </c>
      <c r="D40" s="432">
        <v>7</v>
      </c>
      <c r="E40" s="457">
        <f>SUM(A40:D40)</f>
        <v>41</v>
      </c>
      <c r="F40" s="1096" t="str">
        <f>Lang!$A$80</f>
        <v>Bank base rate</v>
      </c>
      <c r="G40" s="1097"/>
      <c r="H40" s="486">
        <f>'74'!G10</f>
        <v>0.5</v>
      </c>
      <c r="I40" s="527"/>
      <c r="J40" s="448">
        <f ca="1">SUM(J37:J39)/SUM(J12:J14)</f>
        <v>0</v>
      </c>
      <c r="K40" s="448">
        <f ca="1">SUM(K37:K39)/SUM(K12:K14)</f>
        <v>0</v>
      </c>
      <c r="L40" s="448">
        <f ca="1">SUM(L37:L39)/SUM(L12:L14)</f>
        <v>0</v>
      </c>
      <c r="R40" s="107"/>
      <c r="S40" s="3"/>
      <c r="U40" s="2"/>
      <c r="V40" s="2"/>
      <c r="W40" s="8"/>
      <c r="Z40" s="23"/>
      <c r="AA40" s="23"/>
      <c r="AB40" s="23"/>
      <c r="AG40" s="8"/>
      <c r="AH40" s="1086"/>
      <c r="AI40" s="1087"/>
      <c r="AJ40" s="9"/>
      <c r="AK40" s="10"/>
      <c r="AL40" s="10"/>
      <c r="AM40" s="11"/>
      <c r="AN40" s="9">
        <f ca="1">CEILING(E4,1)*CEILING('72'!O36/400,1)*650</f>
        <v>3900</v>
      </c>
      <c r="AO40" s="10"/>
      <c r="AP40" s="10"/>
      <c r="AQ40" s="11"/>
    </row>
    <row r="41" spans="1:43" ht="12.9" customHeight="1" thickBot="1" x14ac:dyDescent="0.3">
      <c r="E41" s="3"/>
      <c r="F41" s="1096" t="str">
        <f>Lang!$A$81</f>
        <v>Issue/repurchase shares</v>
      </c>
      <c r="G41" s="1097"/>
      <c r="H41" s="392">
        <f ca="1">IF($D$1=2,OFFSET(History!$N$72,$B$52,0),OFFSET(Config!$E$20,$B$52,0)*OFFSET(History!$O$71,$B$52-(D52-1),0)/1000)</f>
        <v>0</v>
      </c>
      <c r="I41" s="483"/>
      <c r="J41" s="1100" t="str">
        <f>Lang!$A$74</f>
        <v>Prices</v>
      </c>
      <c r="K41" s="1101"/>
      <c r="L41" s="1102"/>
      <c r="N41" s="1078" t="str">
        <f>Lang!$A$82</f>
        <v>Average prices</v>
      </c>
      <c r="O41" s="1079"/>
      <c r="P41" s="1088"/>
      <c r="R41" s="1116" t="str">
        <f>Lang!$A$83</f>
        <v>Manual correction</v>
      </c>
      <c r="S41" s="1117"/>
      <c r="T41" s="1118"/>
      <c r="U41" s="2"/>
      <c r="V41" s="1080" t="str">
        <f>IF(X41=4,"Taxes","")</f>
        <v/>
      </c>
      <c r="W41" s="1104"/>
      <c r="X41" s="634">
        <f>IF(X36=4,1,X36+1)</f>
        <v>2</v>
      </c>
      <c r="Y41" s="1114">
        <f>SUM(V42:X44)</f>
        <v>0</v>
      </c>
      <c r="AH41" s="1082" t="str">
        <f>Lang!$A$48</f>
        <v>R&amp;D</v>
      </c>
      <c r="AI41" s="1083"/>
      <c r="AJ41" s="5"/>
      <c r="AK41" s="6">
        <f ca="1">B19*1000</f>
        <v>45000</v>
      </c>
      <c r="AL41" s="6">
        <f ca="1">C19*1000</f>
        <v>35000</v>
      </c>
      <c r="AM41" s="7">
        <f ca="1">D19*1000</f>
        <v>30000</v>
      </c>
      <c r="AN41" s="5"/>
      <c r="AO41" s="6"/>
      <c r="AP41" s="6"/>
      <c r="AQ41" s="7"/>
    </row>
    <row r="42" spans="1:43" ht="12.9" customHeight="1" x14ac:dyDescent="0.25">
      <c r="A42" s="1078" t="str">
        <f>Lang!$A$84</f>
        <v>Market shares</v>
      </c>
      <c r="B42" s="1079"/>
      <c r="C42" s="1079"/>
      <c r="D42" s="918">
        <v>5</v>
      </c>
      <c r="E42" s="457">
        <f ca="1">SUM(B43:D45)</f>
        <v>545.67231444883623</v>
      </c>
      <c r="F42" s="1096" t="str">
        <f>Lang!$A$85</f>
        <v>Dividends</v>
      </c>
      <c r="G42" s="1097"/>
      <c r="H42" s="475">
        <v>0</v>
      </c>
      <c r="I42" s="455">
        <f ca="1">OFFSET(Config!$E$7,$B$52,0)</f>
        <v>0.02</v>
      </c>
      <c r="J42" s="409">
        <v>343</v>
      </c>
      <c r="K42" s="410">
        <v>492</v>
      </c>
      <c r="L42" s="411">
        <v>712</v>
      </c>
      <c r="M42" s="923">
        <f>AVERAGE(J42:L42)/AVERAGE(N47:P47)-1</f>
        <v>2.0160150730098803E-2</v>
      </c>
      <c r="N42" s="421">
        <f>IF(ISNUMBER(AVERAGEIF('84'!F43:M43,"&gt;0")),AVERAGEIF('84'!F43:M43,"&gt;0"),0)</f>
        <v>331</v>
      </c>
      <c r="O42" s="422">
        <f>IF(ISNUMBER(AVERAGEIF('84'!F46:M46,"&gt;0")),AVERAGEIF('84'!F46:M46,"&gt;0"),0)</f>
        <v>499.28571428571428</v>
      </c>
      <c r="P42" s="423">
        <f>IF(ISNUMBER(AVERAGEIF('84'!F49:M49,"&gt;0")),AVERAGEIF('84'!F49:M49,"&gt;0"),0)</f>
        <v>707.85714285714289</v>
      </c>
      <c r="Q42" s="923">
        <f>AVERAGE(N42:P42)/AVERAGE(N47:P47)-1</f>
        <v>1.4319359397079401E-2</v>
      </c>
      <c r="R42" s="962">
        <v>0</v>
      </c>
      <c r="S42" s="600">
        <v>0</v>
      </c>
      <c r="T42" s="601">
        <v>0</v>
      </c>
      <c r="U42" s="2"/>
      <c r="V42" s="638">
        <f>'92'!$U$17</f>
        <v>0</v>
      </c>
      <c r="W42" s="639">
        <f>'92'!$W$17</f>
        <v>0</v>
      </c>
      <c r="X42" s="640">
        <f>'92'!$Y$17</f>
        <v>0</v>
      </c>
      <c r="Y42" s="1114"/>
      <c r="Z42" s="30"/>
      <c r="AA42" s="30"/>
      <c r="AB42" s="30"/>
      <c r="AH42" s="1084"/>
      <c r="AI42" s="1085"/>
      <c r="AJ42" s="5"/>
      <c r="AK42" s="6"/>
      <c r="AL42" s="6"/>
      <c r="AM42" s="7"/>
      <c r="AN42" s="5"/>
      <c r="AO42" s="6"/>
      <c r="AP42" s="6"/>
      <c r="AQ42" s="7"/>
    </row>
    <row r="43" spans="1:43" ht="12.9" customHeight="1" x14ac:dyDescent="0.25">
      <c r="A43" s="884" t="str">
        <f>Lang!$A$7</f>
        <v>Europe</v>
      </c>
      <c r="B43" s="393">
        <f ca="1">IF($D$1=2,OFFSET(History!A$72,$B$52,0),'2'!B43+(OFFSET(Config!M27,$B$52*3,0)-OFFSET(Config!M27,($B$52-1)*3,0))+IF($D$42&lt;&gt;0,$D$42,0))</f>
        <v>59.506521739130442</v>
      </c>
      <c r="C43" s="393">
        <f ca="1">IF($D$1=2,OFFSET(History!B$72,$B$52,0),'2'!C43+(OFFSET(Config!N27,$B$52*3,0)-OFFSET(Config!N27,($B$52-1)*3,0))+IF($D$42&lt;&gt;0,$D$42,0))</f>
        <v>67.517391304347825</v>
      </c>
      <c r="D43" s="394">
        <f ca="1">IF($D$1=2,OFFSET(History!C$72,$B$52,0),'2'!D43+(OFFSET(Config!O27,$B$52*3,0)-OFFSET(Config!O27,($B$52-1)*3,0))+IF($D$42&lt;&gt;0,$D$42,0))</f>
        <v>79.039130434782635</v>
      </c>
      <c r="F43" s="1096" t="str">
        <f>Lang!$A$86</f>
        <v>Term deposit</v>
      </c>
      <c r="G43" s="1097"/>
      <c r="H43" s="429">
        <v>0</v>
      </c>
      <c r="I43" s="483"/>
      <c r="J43" s="409">
        <v>330</v>
      </c>
      <c r="K43" s="410">
        <v>490</v>
      </c>
      <c r="L43" s="411">
        <v>720</v>
      </c>
      <c r="M43" s="923">
        <f>AVERAGE(J43:L43)/AVERAGE(N48:P48)-1</f>
        <v>-1.0101010101009944E-2</v>
      </c>
      <c r="N43" s="421">
        <f>IF(ISNUMBER(AVERAGEIF('84'!F44:M44,"&gt;0")),AVERAGEIF('84'!F44:M44,"&gt;0"),0)</f>
        <v>339.14285714285717</v>
      </c>
      <c r="O43" s="422">
        <f>IF(ISNUMBER(AVERAGEIF('84'!F47:M47,"&gt;0")),AVERAGEIF('84'!F47:M47,"&gt;0"),0)</f>
        <v>499</v>
      </c>
      <c r="P43" s="423">
        <f>IF(ISNUMBER(AVERAGEIF('84'!F50:M50,"&gt;0")),AVERAGEIF('84'!F50:M50,"&gt;0"),0)</f>
        <v>729.14285714285711</v>
      </c>
      <c r="Q43" s="923">
        <f>AVERAGE(N43:P43)/AVERAGE(N48:P48)-1</f>
        <v>7.4380165289256173E-3</v>
      </c>
      <c r="R43" s="962">
        <v>0</v>
      </c>
      <c r="S43" s="600">
        <v>0</v>
      </c>
      <c r="T43" s="601">
        <v>0</v>
      </c>
      <c r="U43" s="2"/>
      <c r="V43" s="638">
        <f>'92'!$U$18</f>
        <v>0</v>
      </c>
      <c r="W43" s="639">
        <f>'92'!$W$18</f>
        <v>0</v>
      </c>
      <c r="X43" s="640">
        <f>'92'!$Y$18</f>
        <v>0</v>
      </c>
      <c r="Y43" s="1114"/>
      <c r="AH43" s="1084"/>
      <c r="AI43" s="1085"/>
      <c r="AJ43" s="5"/>
      <c r="AK43" s="6"/>
      <c r="AL43" s="6"/>
      <c r="AM43" s="7"/>
      <c r="AN43" s="5"/>
      <c r="AO43" s="6"/>
      <c r="AP43" s="6"/>
      <c r="AQ43" s="7"/>
    </row>
    <row r="44" spans="1:43" ht="12.9" customHeight="1" thickBot="1" x14ac:dyDescent="0.3">
      <c r="A44" s="884" t="str">
        <f>Lang!$A$9</f>
        <v>Nafta</v>
      </c>
      <c r="B44" s="393">
        <f ca="1">IF($D$1=2,OFFSET(History!D$72,$B$52,0),'2'!B44+(OFFSET(Config!M28,$B$52*3,0)-OFFSET(Config!M28,($B$52-1)*3,0))+IF($D$42&lt;&gt;0,$D$42,0))</f>
        <v>35.095555555555549</v>
      </c>
      <c r="C44" s="393">
        <f ca="1">IF($D$1=2,OFFSET(History!E$72,$B$52,0),'2'!C44+(OFFSET(Config!N28,$B$52*3,0)-OFFSET(Config!N28,($B$52-1)*3,0))+IF($D$42&lt;&gt;0,$D$42,0))</f>
        <v>44.739999999999995</v>
      </c>
      <c r="D44" s="394">
        <f ca="1">IF($D$1=2,OFFSET(History!F$72,$B$52,0),'2'!D44+(OFFSET(Config!O28,$B$52*3,0)-OFFSET(Config!O28,($B$52-1)*3,0))+IF($D$42&lt;&gt;0,$D$42,0))</f>
        <v>52.945454545454538</v>
      </c>
      <c r="F44" s="1096" t="str">
        <f>Lang!$A$87</f>
        <v>Term loans</v>
      </c>
      <c r="G44" s="1097"/>
      <c r="H44" s="429">
        <v>0</v>
      </c>
      <c r="I44" s="483"/>
      <c r="J44" s="412">
        <v>365</v>
      </c>
      <c r="K44" s="413">
        <v>580</v>
      </c>
      <c r="L44" s="414">
        <v>855</v>
      </c>
      <c r="M44" s="923">
        <f>AVERAGE(J44:L44)/AVERAGE(N49:P49)-1</f>
        <v>1.9005256773150014E-2</v>
      </c>
      <c r="N44" s="424">
        <f>IF(ISNUMBER(AVERAGEIF('84'!F45:M45,"&gt;0")),AVERAGEIF('84'!F45:M45,"&gt;0"),0)</f>
        <v>369.85714285714283</v>
      </c>
      <c r="O44" s="425">
        <f>IF(ISNUMBER(AVERAGEIF('84'!F48:M48,"&gt;0")),AVERAGEIF('84'!F48:M48,"&gt;0"),0)</f>
        <v>581.85714285714289</v>
      </c>
      <c r="P44" s="426">
        <f>IF(ISNUMBER(AVERAGEIF('84'!F51:M51,"&gt;0")),AVERAGEIF('84'!F51:M51,"&gt;0"),0)</f>
        <v>822</v>
      </c>
      <c r="Q44" s="923">
        <f>AVERAGE(N44:P44)/AVERAGE(N49:P49)-1</f>
        <v>4.1245450869389355E-3</v>
      </c>
      <c r="R44" s="963">
        <v>0</v>
      </c>
      <c r="S44" s="964">
        <v>0</v>
      </c>
      <c r="T44" s="965">
        <v>0</v>
      </c>
      <c r="U44" s="2"/>
      <c r="V44" s="641">
        <f>'92'!$U$19</f>
        <v>0</v>
      </c>
      <c r="W44" s="642">
        <f>'92'!$W$19</f>
        <v>0</v>
      </c>
      <c r="X44" s="643">
        <f>'92'!$Y$19</f>
        <v>0</v>
      </c>
      <c r="Y44" s="1114"/>
      <c r="AC44" s="23"/>
      <c r="AD44" s="23"/>
      <c r="AE44" s="23"/>
      <c r="AH44" s="1086"/>
      <c r="AI44" s="1087"/>
      <c r="AJ44" s="9"/>
      <c r="AK44" s="10"/>
      <c r="AL44" s="10"/>
      <c r="AM44" s="11"/>
      <c r="AN44" s="9"/>
      <c r="AO44" s="10"/>
      <c r="AP44" s="10"/>
      <c r="AQ44" s="11"/>
    </row>
    <row r="45" spans="1:43" ht="12.9" customHeight="1" thickBot="1" x14ac:dyDescent="0.3">
      <c r="A45" s="887" t="str">
        <f>Lang!$A$11</f>
        <v>Internet</v>
      </c>
      <c r="B45" s="919">
        <f ca="1">IF($D$1=2,OFFSET(History!G$72,$B$52,0),'2'!B45+(OFFSET(Config!M29,$B$52*3,0)-OFFSET(Config!M29,($B$52-1)*3,0))+IF($D$42&lt;&gt;0,$D$42,0))</f>
        <v>60.673913043478265</v>
      </c>
      <c r="C45" s="919">
        <f ca="1">IF($D$1=2,OFFSET(History!H$72,$B$52,0),'2'!C45+(OFFSET(Config!N29,$B$52*3,0)-OFFSET(Config!N29,($B$52-1)*3,0))+IF($D$42&lt;&gt;0,$D$42,0))</f>
        <v>66.928260869565221</v>
      </c>
      <c r="D45" s="920">
        <f ca="1">IF($D$1=2,OFFSET(History!I$72,$B$52,0),'2'!D45+(OFFSET(Config!O29,$B$52*3,0)-OFFSET(Config!O29,($B$52-1)*3,0))+IF($D$42&lt;&gt;0,$D$42,0))</f>
        <v>79.226086956521726</v>
      </c>
      <c r="E45" s="151"/>
      <c r="F45" s="1105" t="str">
        <f>Lang!$A$68</f>
        <v>Ports</v>
      </c>
      <c r="G45" s="1106"/>
      <c r="H45" s="567">
        <f ca="1">IF($D$1=2,OFFSET(History!$K$59,$B$52,0),I45)</f>
        <v>9</v>
      </c>
      <c r="I45" s="481">
        <f>CEILING(I49*0.0001+6,1)</f>
        <v>9</v>
      </c>
      <c r="J45" s="923">
        <f>AVERAGE(J42:J44)/AVERAGE(N47:N49)-1</f>
        <v>1.1977715877437234E-2</v>
      </c>
      <c r="K45" s="923">
        <f>AVERAGE(K42:K44)/AVERAGE(O47:O49)-1</f>
        <v>-1.1392405063291089E-2</v>
      </c>
      <c r="L45" s="923">
        <f>AVERAGE(L42:L44)/AVERAGE(P47:P49)-1</f>
        <v>2.4248240563019774E-2</v>
      </c>
      <c r="M45" s="703"/>
      <c r="N45" s="923">
        <f>AVERAGE(N42:N44)/AVERAGE(N47:N49)-1</f>
        <v>1.3927576601671321E-2</v>
      </c>
      <c r="O45" s="923">
        <f>AVERAGE(O42:O44)/AVERAGE(O47:O49)-1</f>
        <v>9.0415913200692088E-5</v>
      </c>
      <c r="P45" s="923">
        <f>AVERAGE(P42:P44)/AVERAGE(P47:P49)-1</f>
        <v>1.1708253358925003E-2</v>
      </c>
      <c r="Q45" s="3"/>
      <c r="R45" s="3"/>
      <c r="S45" s="3"/>
      <c r="U45" s="2"/>
      <c r="V45" s="2"/>
      <c r="W45" s="8"/>
      <c r="AC45" s="23"/>
      <c r="AD45" s="23"/>
      <c r="AE45" s="23"/>
      <c r="AH45" s="1082" t="str">
        <f>Lang!$A$75</f>
        <v>Web-site development</v>
      </c>
      <c r="AI45" s="1083"/>
      <c r="AJ45" s="5"/>
      <c r="AK45" s="6"/>
      <c r="AL45" s="6"/>
      <c r="AM45" s="7"/>
      <c r="AN45" s="5"/>
      <c r="AO45" s="6"/>
      <c r="AP45" s="6"/>
      <c r="AQ45" s="7"/>
    </row>
    <row r="46" spans="1:43" ht="12.9" customHeight="1" thickBot="1" x14ac:dyDescent="0.3">
      <c r="F46" s="1107" t="str">
        <f>Lang!$A$75</f>
        <v>Web-site development</v>
      </c>
      <c r="G46" s="1108"/>
      <c r="H46" s="429">
        <v>18</v>
      </c>
      <c r="I46" s="487"/>
      <c r="J46" s="1109" t="str">
        <f>Lang!$A$88</f>
        <v>Prices previous quarter</v>
      </c>
      <c r="K46" s="1110"/>
      <c r="L46" s="1111"/>
      <c r="N46" s="1109" t="str">
        <f>Lang!$A$89</f>
        <v>Average prices previous quarter</v>
      </c>
      <c r="O46" s="1110"/>
      <c r="P46" s="1111"/>
      <c r="Q46" s="3"/>
      <c r="R46" s="1112" t="str">
        <f>Lang!$A$90</f>
        <v>Deviation</v>
      </c>
      <c r="S46" s="1113"/>
      <c r="T46" s="69">
        <v>1</v>
      </c>
      <c r="U46" s="2"/>
      <c r="V46" s="1080" t="str">
        <f>IF(X46=4,"Taxes","")</f>
        <v/>
      </c>
      <c r="W46" s="1104"/>
      <c r="X46" s="634">
        <f>IF(X41=4,1,X41+1)</f>
        <v>3</v>
      </c>
      <c r="Y46" s="1114">
        <f>SUM(V47:X49)</f>
        <v>0</v>
      </c>
      <c r="AC46" s="23"/>
      <c r="AD46" s="23"/>
      <c r="AE46" s="23"/>
      <c r="AH46" s="1084"/>
      <c r="AI46" s="1085"/>
      <c r="AJ46" s="5"/>
      <c r="AK46" s="6"/>
      <c r="AL46" s="6"/>
      <c r="AM46" s="7"/>
      <c r="AN46" s="5"/>
      <c r="AO46" s="6"/>
      <c r="AP46" s="6"/>
      <c r="AQ46" s="7"/>
    </row>
    <row r="47" spans="1:43" ht="12.9" customHeight="1" x14ac:dyDescent="0.25">
      <c r="A47" s="1078" t="str">
        <f>Lang!$A$91</f>
        <v>Variable costs in price</v>
      </c>
      <c r="B47" s="1079"/>
      <c r="C47" s="1079"/>
      <c r="D47" s="1088"/>
      <c r="F47" s="1096" t="str">
        <f>Lang!$A$115</f>
        <v>Management budget</v>
      </c>
      <c r="G47" s="1097"/>
      <c r="H47" s="429">
        <v>90</v>
      </c>
      <c r="I47" s="457">
        <f ca="1">(C71-C70)*0.14/1000</f>
        <v>110.877292778</v>
      </c>
      <c r="J47" s="415">
        <f>'71'!F19</f>
        <v>320</v>
      </c>
      <c r="K47" s="416">
        <f>'71'!H19</f>
        <v>500</v>
      </c>
      <c r="L47" s="417">
        <f>'71'!J19</f>
        <v>705</v>
      </c>
      <c r="N47" s="421">
        <f>AVERAGEIF('74'!F43:M43,"&gt;0")</f>
        <v>322.85714285714283</v>
      </c>
      <c r="O47" s="422">
        <f>AVERAGEIF('74'!F46:M46,"&gt;0")</f>
        <v>497.14285714285717</v>
      </c>
      <c r="P47" s="423">
        <f>AVERAGEIF('74'!F49:M49,"&gt;0")</f>
        <v>696.42857142857144</v>
      </c>
      <c r="R47" s="908">
        <f ca="1">IF('72'!U17&gt;0,'82'!U17/'72'!U17-1-N2,0)</f>
        <v>-0.27289474834216232</v>
      </c>
      <c r="S47" s="908">
        <f ca="1">IF('72'!W17&gt;0,'82'!W17/'72'!W17-1-O2,0)</f>
        <v>-0.24234658791326158</v>
      </c>
      <c r="T47" s="908">
        <f ca="1">IF('72'!Y17&gt;0,'82'!Y17/'72'!Y17-1-P2,0)</f>
        <v>-0.23286073398896262</v>
      </c>
      <c r="U47" s="2"/>
      <c r="V47" s="638">
        <f>'102'!$U$17</f>
        <v>0</v>
      </c>
      <c r="W47" s="639">
        <f>'102'!$W$17</f>
        <v>0</v>
      </c>
      <c r="X47" s="640">
        <f>'102'!$Y$17</f>
        <v>0</v>
      </c>
      <c r="Y47" s="1114"/>
      <c r="AH47" s="1084"/>
      <c r="AI47" s="1085"/>
      <c r="AJ47" s="5"/>
      <c r="AK47" s="6"/>
      <c r="AL47" s="6"/>
      <c r="AM47" s="7"/>
      <c r="AN47" s="5"/>
      <c r="AO47" s="6"/>
      <c r="AP47" s="6"/>
      <c r="AQ47" s="7"/>
    </row>
    <row r="48" spans="1:43" ht="12.9" customHeight="1" thickBot="1" x14ac:dyDescent="0.3">
      <c r="A48" s="884" t="str">
        <f>Lang!$A$7</f>
        <v>Europe</v>
      </c>
      <c r="B48" s="449">
        <f ca="1">AO6/(B2*(1+'72'!U$8/'72'!U$6))/J42</f>
        <v>0.55012765788600504</v>
      </c>
      <c r="C48" s="449">
        <f ca="1">AP6/(C2*(1+'72'!W$8/'72'!W$6))/K42</f>
        <v>0.59525621037127252</v>
      </c>
      <c r="D48" s="450">
        <f ca="1">AQ6/(D2*(1+'72'!Y$8/'72'!Y$6))/L42</f>
        <v>0.65628684423507799</v>
      </c>
      <c r="E48" s="448">
        <f ca="1">E49+E50</f>
        <v>0.86968796970265805</v>
      </c>
      <c r="F48" s="1096" t="str">
        <f>Lang!$A$92</f>
        <v>Insurance plan</v>
      </c>
      <c r="G48" s="1097"/>
      <c r="H48" s="392">
        <f ca="1">IF($D$1=2,OFFSET(History!$O$33,$B$52,0),IF(OFFSET(Config!D20,B52,)&gt;('73'!R12+'73'!L18)*0.005,4,0))</f>
        <v>4</v>
      </c>
      <c r="I48" s="483"/>
      <c r="J48" s="415">
        <f>'71'!F20</f>
        <v>345</v>
      </c>
      <c r="K48" s="416">
        <f>'71'!H20</f>
        <v>500</v>
      </c>
      <c r="L48" s="417">
        <f>'71'!J20</f>
        <v>735</v>
      </c>
      <c r="N48" s="421">
        <f>AVERAGEIF('74'!F44:M44,"&gt;0")</f>
        <v>335.71428571428572</v>
      </c>
      <c r="O48" s="422">
        <f>AVERAGEIF('74'!F47:M47,"&gt;0")</f>
        <v>498.57142857142856</v>
      </c>
      <c r="P48" s="423">
        <f>AVERAGEIF('74'!F50:M50,"&gt;0")</f>
        <v>721.42857142857144</v>
      </c>
      <c r="R48" s="908">
        <f ca="1">IF('72'!U18&gt;0,'82'!U18/'72'!U18-1-N3,0)</f>
        <v>3.5828155532100512</v>
      </c>
      <c r="S48" s="908">
        <f ca="1">IF('72'!W18&gt;0,'82'!W18/'72'!W18-1-O3,0)</f>
        <v>1.4627703703851853</v>
      </c>
      <c r="T48" s="908">
        <f ca="1">IF('72'!Y18&gt;0,'82'!Y18/'72'!Y18-1-P3,0)</f>
        <v>1.662697403600901</v>
      </c>
      <c r="U48" s="2"/>
      <c r="V48" s="638">
        <f>'102'!$U$18</f>
        <v>0</v>
      </c>
      <c r="W48" s="639">
        <f>'102'!$W$18</f>
        <v>0</v>
      </c>
      <c r="X48" s="640">
        <f>'102'!$Y$18</f>
        <v>0</v>
      </c>
      <c r="Y48" s="1114"/>
      <c r="AB48" s="23"/>
      <c r="AC48" s="23"/>
      <c r="AD48" s="23"/>
      <c r="AE48" s="23"/>
      <c r="AH48" s="1086"/>
      <c r="AI48" s="1087"/>
      <c r="AJ48" s="9">
        <f>C62</f>
        <v>18000</v>
      </c>
      <c r="AK48" s="10"/>
      <c r="AL48" s="10"/>
      <c r="AM48" s="11"/>
      <c r="AN48" s="9"/>
      <c r="AO48" s="10"/>
      <c r="AP48" s="10"/>
      <c r="AQ48" s="11"/>
    </row>
    <row r="49" spans="1:43" ht="12.9" customHeight="1" thickBot="1" x14ac:dyDescent="0.3">
      <c r="A49" s="884" t="str">
        <f>Lang!$A$9</f>
        <v>Nafta</v>
      </c>
      <c r="B49" s="449">
        <f ca="1">AO7/(B3*(1+'72'!U$8/'72'!U$6))/J43</f>
        <v>0.63236859269958035</v>
      </c>
      <c r="C49" s="449">
        <f ca="1">AP7/(C3*(1+'72'!W$8/'72'!W$6))/K43</f>
        <v>0.66432201615503517</v>
      </c>
      <c r="D49" s="450">
        <f ca="1">AQ7/(D3*(1+'72'!Y$8/'72'!Y$6))/L43</f>
        <v>0.7227419361812355</v>
      </c>
      <c r="E49" s="448">
        <f ca="1">AN1</f>
        <v>0.59853303009574699</v>
      </c>
      <c r="F49" s="1096" t="str">
        <f>Lang!$A$93</f>
        <v>Corporate activity</v>
      </c>
      <c r="G49" s="1097"/>
      <c r="H49" s="429">
        <v>1</v>
      </c>
      <c r="I49" s="457">
        <f>I50*0.85+A40*500</f>
        <v>25540.55</v>
      </c>
      <c r="J49" s="418">
        <f>'71'!F21</f>
        <v>380</v>
      </c>
      <c r="K49" s="419">
        <f>'71'!H21</f>
        <v>600</v>
      </c>
      <c r="L49" s="420">
        <f>'71'!J21</f>
        <v>855</v>
      </c>
      <c r="N49" s="424">
        <f>AVERAGEIF('74'!F45:M45,"&gt;0")</f>
        <v>367.14285714285717</v>
      </c>
      <c r="O49" s="425">
        <f>AVERAGEIF('74'!F48:M48,"&gt;0")</f>
        <v>584.28571428571433</v>
      </c>
      <c r="P49" s="426">
        <f>AVERAGEIF('74'!F51:M51,"&gt;0")</f>
        <v>815</v>
      </c>
      <c r="R49" s="908">
        <f ca="1">IF('72'!U19&gt;0,'82'!U19/'72'!U19-1-N4,0)</f>
        <v>0.22633891890576813</v>
      </c>
      <c r="S49" s="908">
        <f ca="1">IF('72'!W19&gt;0,'82'!W19/'72'!W19-1-O4,0)</f>
        <v>7.7067144577249447E-2</v>
      </c>
      <c r="T49" s="908">
        <f ca="1">IF('72'!Y19&gt;0,'82'!Y19/'72'!Y19-1-P4,0)</f>
        <v>7.5593689788158322E-2</v>
      </c>
      <c r="U49" s="2"/>
      <c r="V49" s="641">
        <f>'102'!$U$19</f>
        <v>0</v>
      </c>
      <c r="W49" s="642">
        <f>'102'!$W$19</f>
        <v>0</v>
      </c>
      <c r="X49" s="643">
        <f>'102'!$Y$19</f>
        <v>0</v>
      </c>
      <c r="Y49" s="1114"/>
      <c r="AC49" s="23"/>
      <c r="AD49" s="23"/>
      <c r="AE49" s="23"/>
      <c r="AH49" s="1082" t="str">
        <f>Lang!$A$106</f>
        <v>Personnel department</v>
      </c>
      <c r="AI49" s="1083"/>
      <c r="AJ49" s="5">
        <f>C63</f>
        <v>61500</v>
      </c>
      <c r="AK49" s="6"/>
      <c r="AL49" s="6"/>
      <c r="AM49" s="7"/>
      <c r="AN49" s="5"/>
      <c r="AO49" s="6"/>
      <c r="AP49" s="6"/>
      <c r="AQ49" s="7"/>
    </row>
    <row r="50" spans="1:43" ht="12.9" customHeight="1" thickBot="1" x14ac:dyDescent="0.3">
      <c r="A50" s="887" t="str">
        <f>Lang!$A$11</f>
        <v>Internet</v>
      </c>
      <c r="B50" s="451">
        <f ca="1">AO8/(B4*(1+'72'!U$8/'72'!U$6))/J44</f>
        <v>0.53710365069615984</v>
      </c>
      <c r="C50" s="451">
        <f ca="1">AP8/(C4*(1+'72'!W$8/'72'!W$6))/K44</f>
        <v>0.53249369918775857</v>
      </c>
      <c r="D50" s="452">
        <f ca="1">AQ8/(D4*(1+'72'!Y$8/'72'!Y$6))/L44</f>
        <v>0.57417659445846725</v>
      </c>
      <c r="E50" s="448">
        <f ca="1">AN1/AN5*AJ5</f>
        <v>0.27115493960691106</v>
      </c>
      <c r="F50" s="1098" t="str">
        <f>Lang!$A$84</f>
        <v>Market shares</v>
      </c>
      <c r="G50" s="1099"/>
      <c r="H50" s="550">
        <f>IF($D$1=2,'81'!P35,1)</f>
        <v>1</v>
      </c>
      <c r="I50" s="473">
        <f>'72'!G43</f>
        <v>18283</v>
      </c>
      <c r="Q50" s="133"/>
      <c r="R50" s="2" t="s">
        <v>720</v>
      </c>
      <c r="U50" s="2"/>
      <c r="AH50" s="1084"/>
      <c r="AI50" s="1085"/>
      <c r="AJ50" s="5"/>
      <c r="AK50" s="6"/>
      <c r="AL50" s="6"/>
      <c r="AM50" s="7"/>
      <c r="AN50" s="5"/>
      <c r="AO50" s="6"/>
      <c r="AP50" s="6"/>
      <c r="AQ50" s="7"/>
    </row>
    <row r="51" spans="1:43" ht="12.9" customHeight="1" x14ac:dyDescent="0.25">
      <c r="F51" s="25"/>
      <c r="G51" s="25"/>
      <c r="H51" s="25"/>
      <c r="J51" s="137"/>
      <c r="K51" s="137"/>
      <c r="L51" s="137"/>
      <c r="N51" s="107"/>
      <c r="O51" s="107"/>
      <c r="P51" s="107"/>
      <c r="R51" s="95" t="s">
        <v>721</v>
      </c>
      <c r="S51" s="95"/>
      <c r="T51" s="95"/>
      <c r="U51" s="2"/>
      <c r="V51" s="95"/>
      <c r="W51" s="95"/>
      <c r="X51" s="95"/>
      <c r="AH51" s="1084"/>
      <c r="AI51" s="1085"/>
      <c r="AJ51" s="5"/>
      <c r="AK51" s="6"/>
      <c r="AL51" s="6"/>
      <c r="AM51" s="7"/>
      <c r="AN51" s="5"/>
      <c r="AO51" s="6"/>
      <c r="AP51" s="6"/>
      <c r="AQ51" s="7"/>
    </row>
    <row r="52" spans="1:43" ht="12.9" customHeight="1" thickBot="1" x14ac:dyDescent="0.3">
      <c r="A52" s="3" t="str">
        <f>Lang!$A$94</f>
        <v>Decision</v>
      </c>
      <c r="B52" s="461">
        <v>3</v>
      </c>
      <c r="C52" s="3" t="str">
        <f>Lang!$A$95</f>
        <v>Quarter</v>
      </c>
      <c r="D52" s="462">
        <f>IF('71'!S9=4,1,'71'!S9+1)</f>
        <v>1</v>
      </c>
      <c r="F52" s="25"/>
      <c r="G52" s="25"/>
      <c r="H52" s="25"/>
      <c r="I52" s="3"/>
      <c r="J52" s="137"/>
      <c r="K52" s="137"/>
      <c r="L52" s="137"/>
      <c r="M52" s="3"/>
      <c r="N52" s="380"/>
      <c r="O52" s="107"/>
      <c r="P52" s="107"/>
      <c r="R52" s="95"/>
      <c r="S52" s="95"/>
      <c r="T52" s="95"/>
      <c r="V52" s="95"/>
      <c r="W52" s="95"/>
      <c r="X52" s="95"/>
      <c r="AH52" s="1086"/>
      <c r="AI52" s="1087"/>
      <c r="AJ52" s="9"/>
      <c r="AK52" s="10"/>
      <c r="AL52" s="10"/>
      <c r="AM52" s="11"/>
      <c r="AN52" s="9"/>
      <c r="AO52" s="10"/>
      <c r="AP52" s="10"/>
      <c r="AQ52" s="11"/>
    </row>
    <row r="53" spans="1:43" ht="12.9" customHeight="1" x14ac:dyDescent="0.25">
      <c r="E53" s="151"/>
      <c r="F53" s="25"/>
      <c r="G53" s="25"/>
      <c r="H53" s="25"/>
      <c r="J53" s="137"/>
      <c r="K53" s="137"/>
      <c r="L53" s="137"/>
      <c r="M53" s="3"/>
      <c r="N53" s="107"/>
      <c r="O53" s="107"/>
      <c r="P53" s="107"/>
      <c r="Q53" s="3"/>
      <c r="R53" s="95"/>
      <c r="S53" s="95"/>
      <c r="T53" s="95"/>
      <c r="V53" s="95"/>
      <c r="W53" s="95"/>
      <c r="X53" s="95"/>
      <c r="AH53" s="1082" t="str">
        <f>Lang!$A$37</f>
        <v>Maintenance hours</v>
      </c>
      <c r="AI53" s="1083"/>
      <c r="AJ53" s="5">
        <f ca="1">C64</f>
        <v>10625</v>
      </c>
      <c r="AK53" s="6"/>
      <c r="AL53" s="6"/>
      <c r="AM53" s="7"/>
      <c r="AN53" s="5"/>
      <c r="AO53" s="6"/>
      <c r="AP53" s="6"/>
      <c r="AQ53" s="7"/>
    </row>
    <row r="54" spans="1:43" ht="12.9" customHeight="1" x14ac:dyDescent="0.25">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84"/>
      <c r="AI54" s="1085"/>
      <c r="AJ54" s="5"/>
      <c r="AK54" s="6"/>
      <c r="AL54" s="6"/>
      <c r="AM54" s="7"/>
      <c r="AN54" s="5"/>
      <c r="AO54" s="6"/>
      <c r="AP54" s="6"/>
      <c r="AQ54" s="7"/>
    </row>
    <row r="55" spans="1:43" ht="12.9" customHeight="1" x14ac:dyDescent="0.25">
      <c r="A55" s="21" t="str">
        <f>Lang!$A$38</f>
        <v>Advertising</v>
      </c>
      <c r="B55" s="20"/>
      <c r="C55" s="19">
        <f>SUM(A38:D40)*1000</f>
        <v>113000</v>
      </c>
      <c r="D55" s="504">
        <f>'83'!F8</f>
        <v>113000</v>
      </c>
      <c r="E55" s="3"/>
      <c r="F55" s="20" t="str">
        <f>Lang!$A$100</f>
        <v>Orders revenue</v>
      </c>
      <c r="H55" s="22">
        <f ca="1">J12*J42+J13*J43+J14*J44+K12*K42+K13*K43+K14*K44+L12*L42+L13*L43+L14*L44</f>
        <v>2322487</v>
      </c>
      <c r="I55" s="151">
        <f ca="1">H56-H55</f>
        <v>127539.9700000002</v>
      </c>
      <c r="K55" s="501" t="str">
        <f>Lang!$A$153</f>
        <v>Non-current assets</v>
      </c>
      <c r="L55" s="501"/>
      <c r="M55" s="20"/>
      <c r="N55" s="655"/>
      <c r="O55" s="504"/>
      <c r="P55" s="149" t="str">
        <f>Lang!$A$101</f>
        <v>Operating activities</v>
      </c>
      <c r="Q55" s="3"/>
      <c r="R55" s="3"/>
      <c r="S55" s="3"/>
      <c r="V55" s="95"/>
      <c r="W55" s="95"/>
      <c r="X55" s="95"/>
      <c r="AH55" s="1084"/>
      <c r="AI55" s="1085"/>
      <c r="AJ55" s="5"/>
      <c r="AK55" s="6"/>
      <c r="AL55" s="6"/>
      <c r="AM55" s="7"/>
      <c r="AN55" s="5"/>
      <c r="AO55" s="6"/>
      <c r="AP55" s="6"/>
      <c r="AQ55" s="7"/>
    </row>
    <row r="56" spans="1:43" ht="12.9" customHeight="1" thickBot="1" x14ac:dyDescent="0.3">
      <c r="A56" s="21" t="str">
        <f>Lang!$A$47</f>
        <v>Internet distributor</v>
      </c>
      <c r="B56" s="20"/>
      <c r="C56" s="19">
        <f ca="1">(J19*J44+K19*K44+L19*L44)*D30+C30*1000</f>
        <v>78696.800000000003</v>
      </c>
      <c r="D56" s="504">
        <f>'83'!F9</f>
        <v>78695</v>
      </c>
      <c r="E56" s="3"/>
      <c r="F56" s="20" t="str">
        <f>Lang!$A$102</f>
        <v>Sales revenue</v>
      </c>
      <c r="H56" s="19">
        <f ca="1">(J17*J42+K17*K42+L17*L42+J18*J43+K18*K43+L18*L43+J19*J44+K19*K44+L19*L44)+E17</f>
        <v>2450026.9700000002</v>
      </c>
      <c r="I56" s="504">
        <f>'83'!L8</f>
        <v>2172773</v>
      </c>
      <c r="K56" s="3" t="str">
        <f>Lang!$A$238</f>
        <v>Land</v>
      </c>
      <c r="L56" s="2"/>
      <c r="M56" s="19">
        <f>'73'!R9</f>
        <v>50000</v>
      </c>
      <c r="N56" s="504">
        <f>'83'!R9</f>
        <v>50000</v>
      </c>
      <c r="O56" s="655"/>
      <c r="P56" s="3" t="str">
        <f>Lang!$A$249</f>
        <v>Trading receipts</v>
      </c>
      <c r="Q56" s="3"/>
      <c r="R56" s="19">
        <f ca="1">(J17*J42+K17*K42+L17*L42)*0.34+('71'!F19*'72'!U22+'71'!H19*'72'!W22+'71'!J19*'72'!Y22)*0.66+('71'!F20*'72'!U23+'71'!H20*'72'!W23+'71'!J20*'72'!Y23)+(J19*J44+K19*K44+L19*L44)</f>
        <v>1905586.1400000001</v>
      </c>
      <c r="S56" s="504">
        <f>'83'!X9</f>
        <v>1891745</v>
      </c>
      <c r="V56" s="95"/>
      <c r="W56" s="95"/>
      <c r="X56" s="95"/>
      <c r="AH56" s="1086"/>
      <c r="AI56" s="1087"/>
      <c r="AJ56" s="9"/>
      <c r="AK56" s="10"/>
      <c r="AL56" s="10"/>
      <c r="AM56" s="11"/>
      <c r="AN56" s="9"/>
      <c r="AO56" s="10"/>
      <c r="AP56" s="10"/>
      <c r="AQ56" s="11"/>
    </row>
    <row r="57" spans="1:43" ht="12.9" customHeight="1" x14ac:dyDescent="0.25">
      <c r="A57" s="21" t="str">
        <f>Lang!$A$54</f>
        <v>Internet service provider</v>
      </c>
      <c r="B57" s="20"/>
      <c r="C57" s="19">
        <f ca="1">(J19*J44+K19*K44+L19*L44)*0.03+'72'!G42*1000</f>
        <v>31011.3</v>
      </c>
      <c r="D57" s="504">
        <f>'83'!F10</f>
        <v>31010</v>
      </c>
      <c r="E57" s="150"/>
      <c r="F57" s="20"/>
      <c r="H57" s="22"/>
      <c r="I57" s="504"/>
      <c r="K57" s="20" t="str">
        <f>Lang!$A$239</f>
        <v>Buildings</v>
      </c>
      <c r="L57" s="20"/>
      <c r="M57" s="19">
        <f>'73'!R10+D13*500</f>
        <v>400000</v>
      </c>
      <c r="N57" s="504">
        <f>'83'!R10</f>
        <v>400000</v>
      </c>
      <c r="O57" s="655"/>
      <c r="P57" s="3" t="str">
        <f>Lang!$A$234</f>
        <v>Insurance receipts</v>
      </c>
      <c r="Q57" s="3"/>
      <c r="R57" s="19">
        <f ca="1">H70</f>
        <v>31628.268</v>
      </c>
      <c r="S57" s="504">
        <f>'83'!X10</f>
        <v>52123</v>
      </c>
      <c r="V57" s="95"/>
      <c r="W57" s="95"/>
      <c r="X57" s="95"/>
      <c r="AH57" s="1082" t="str">
        <f>Lang!$A$107</f>
        <v xml:space="preserve">Purchasing and warehousing </v>
      </c>
      <c r="AI57" s="1083"/>
      <c r="AJ57" s="5">
        <f ca="1">C65</f>
        <v>7888.2</v>
      </c>
      <c r="AK57" s="6"/>
      <c r="AL57" s="6"/>
      <c r="AM57" s="7"/>
      <c r="AN57" s="5"/>
      <c r="AO57" s="6"/>
      <c r="AP57" s="6"/>
      <c r="AQ57" s="7"/>
    </row>
    <row r="58" spans="1:43" ht="12.9" customHeight="1" x14ac:dyDescent="0.25">
      <c r="A58" s="379" t="str">
        <f>Lang!$A$58</f>
        <v>Agents and distributors</v>
      </c>
      <c r="B58" s="20"/>
      <c r="C58" s="19">
        <f ca="1">(J12*J42+K12*K42+L12*L42)*MAX('71'!W14/100,D28)+(J18*J43+K18*K43+L18*L43)*MAX('71'!W15/100,D29)+(E28*MAX('71'!T14,C28)+E29*MAX('71'!T15,C29))*1000+((B28+B29)-(E28+E29))*7500</f>
        <v>219102.16</v>
      </c>
      <c r="D58" s="504">
        <f>'83'!F11</f>
        <v>191415</v>
      </c>
      <c r="E58" s="3"/>
      <c r="F58" s="20" t="str">
        <f>Lang!$A$229</f>
        <v>Opening inventory values</v>
      </c>
      <c r="H58" s="19">
        <f>'73'!L18</f>
        <v>796747</v>
      </c>
      <c r="I58" s="504">
        <f>'83'!L10</f>
        <v>796747</v>
      </c>
      <c r="K58" s="2" t="str">
        <f>Lang!$A$240</f>
        <v>Machinery</v>
      </c>
      <c r="L58" s="2"/>
      <c r="M58" s="19">
        <f>IF('72'!G21&gt;0,('73'!R11+H8*300000-'73'!R11/'72'!G21*H9)*0.975,0)</f>
        <v>1270606.3499999999</v>
      </c>
      <c r="N58" s="504">
        <f>'83'!R11</f>
        <v>1270606</v>
      </c>
      <c r="O58" s="655"/>
      <c r="P58" s="3" t="str">
        <f>Lang!$A$250</f>
        <v>Trading payments</v>
      </c>
      <c r="Q58" s="3"/>
      <c r="R58" s="19">
        <f ca="1">(C71+H59+H60+H63+H62+H61+H64+H65+'73'!R25)-M74</f>
        <v>2471517.041505577</v>
      </c>
      <c r="S58" s="504">
        <f>'83'!X11</f>
        <v>2495141</v>
      </c>
      <c r="V58" s="95"/>
      <c r="W58" s="95"/>
      <c r="X58" s="95"/>
      <c r="AH58" s="1084"/>
      <c r="AI58" s="1085"/>
      <c r="AJ58" s="5"/>
      <c r="AK58" s="6"/>
      <c r="AL58" s="6"/>
      <c r="AM58" s="7"/>
      <c r="AN58" s="5"/>
      <c r="AO58" s="6"/>
      <c r="AP58" s="6"/>
      <c r="AQ58" s="7"/>
    </row>
    <row r="59" spans="1:43" ht="12.9" customHeight="1" x14ac:dyDescent="0.25">
      <c r="A59" s="21" t="str">
        <f>Lang!$A$64</f>
        <v>Sales office</v>
      </c>
      <c r="B59" s="20"/>
      <c r="C59" s="19">
        <f ca="1">MAX(H55,H56)*0.01</f>
        <v>24500.269700000004</v>
      </c>
      <c r="D59" s="504">
        <f>'83'!F12</f>
        <v>23224</v>
      </c>
      <c r="E59" s="3"/>
      <c r="F59" s="8" t="str">
        <f>Lang!$A$230</f>
        <v>Components purchased</v>
      </c>
      <c r="G59" s="8"/>
      <c r="H59" s="19">
        <f ca="1">B8*ROUND(B10,0)+C8*ROUND(C10,0)+D8*ROUND(D10,0)</f>
        <v>499500</v>
      </c>
      <c r="I59" s="504">
        <f>'83'!L11</f>
        <v>498000</v>
      </c>
      <c r="J59" s="8"/>
      <c r="K59" s="20" t="str">
        <f>Lang!$A$103</f>
        <v>Property, plant and equipment</v>
      </c>
      <c r="L59" s="20"/>
      <c r="M59" s="19">
        <f>SUM(M56:M58)</f>
        <v>1720606.3499999999</v>
      </c>
      <c r="N59" s="504">
        <f>'83'!R12</f>
        <v>1720606</v>
      </c>
      <c r="O59" s="653"/>
      <c r="P59" s="3" t="str">
        <f>Lang!$A$251</f>
        <v>Tax paid</v>
      </c>
      <c r="Q59" s="3"/>
      <c r="R59" s="19">
        <f>IF(D52=2,'73'!R24,0)</f>
        <v>0</v>
      </c>
      <c r="S59" s="504">
        <f>'83'!X12</f>
        <v>0</v>
      </c>
      <c r="V59" s="617"/>
      <c r="W59" s="617"/>
      <c r="X59" s="617"/>
      <c r="AH59" s="1084"/>
      <c r="AI59" s="1085"/>
      <c r="AJ59" s="5"/>
      <c r="AK59" s="6"/>
      <c r="AL59" s="6"/>
      <c r="AM59" s="7"/>
      <c r="AN59" s="5"/>
      <c r="AO59" s="6"/>
      <c r="AP59" s="6"/>
      <c r="AQ59" s="7"/>
    </row>
    <row r="60" spans="1:43" ht="12.9" customHeight="1" thickBot="1" x14ac:dyDescent="0.3">
      <c r="A60" s="21" t="str">
        <f>Lang!$A$223</f>
        <v>Guarantee servicing</v>
      </c>
      <c r="B60" s="20"/>
      <c r="C60" s="19">
        <f ca="1">B6*60+C6*150+D6*250</f>
        <v>7448</v>
      </c>
      <c r="D60" s="504">
        <f>'83'!F13</f>
        <v>11870</v>
      </c>
      <c r="F60" s="2" t="str">
        <f>Lang!$A$137</f>
        <v>Materials purchased</v>
      </c>
      <c r="H60" s="19">
        <f ca="1">(H32*G33*1.5+IF(H31&lt;0,-H31,0)*G33*1.1+H33*G33+H34*G34+H35*G35)*H39/1000</f>
        <v>601099.90329839545</v>
      </c>
      <c r="I60" s="504">
        <f>'83'!L12</f>
        <v>603386</v>
      </c>
      <c r="L60" s="2"/>
      <c r="M60" s="3"/>
      <c r="N60" s="504"/>
      <c r="O60" s="655"/>
      <c r="P60" s="3" t="str">
        <f>Lang!$A$104</f>
        <v>Net cash flow from operations</v>
      </c>
      <c r="Q60" s="3"/>
      <c r="R60" s="19">
        <f ca="1">R56+R57-R58-R59</f>
        <v>-534302.63350557699</v>
      </c>
      <c r="S60" s="504">
        <f>'83'!X13</f>
        <v>-551273</v>
      </c>
      <c r="V60" s="617"/>
      <c r="W60" s="617"/>
      <c r="X60" s="617"/>
      <c r="AH60" s="1086"/>
      <c r="AI60" s="1087"/>
      <c r="AJ60" s="9"/>
      <c r="AK60" s="10"/>
      <c r="AL60" s="10"/>
      <c r="AM60" s="11"/>
      <c r="AN60" s="9"/>
      <c r="AO60" s="10"/>
      <c r="AP60" s="10"/>
      <c r="AQ60" s="11"/>
    </row>
    <row r="61" spans="1:43" ht="12.9" customHeight="1" x14ac:dyDescent="0.25">
      <c r="A61" s="21" t="str">
        <f>Lang!$A$294</f>
        <v>Product development</v>
      </c>
      <c r="B61" s="20"/>
      <c r="C61" s="19">
        <f ca="1">SUM(B19:D19)*1000</f>
        <v>110000</v>
      </c>
      <c r="D61" s="504">
        <f>'83'!F14</f>
        <v>116000</v>
      </c>
      <c r="E61" s="3"/>
      <c r="F61" s="20" t="str">
        <f>Lang!$A$149</f>
        <v>Machine running costs</v>
      </c>
      <c r="H61" s="19">
        <f ca="1">8*H2+3500*H7+IF(H7=0,0,H11*12500)+SUM(B2:D5)</f>
        <v>89387.074194316665</v>
      </c>
      <c r="I61" s="504">
        <f>'83'!L13</f>
        <v>90311</v>
      </c>
      <c r="K61" s="365" t="str">
        <f>Lang!$A$113</f>
        <v>Current assets</v>
      </c>
      <c r="L61" s="2"/>
      <c r="M61" s="3"/>
      <c r="N61" s="504"/>
      <c r="Q61" s="3"/>
      <c r="R61" s="3"/>
      <c r="S61" s="504"/>
      <c r="V61" s="617"/>
      <c r="W61" s="617"/>
      <c r="X61" s="617"/>
      <c r="AH61" s="1082" t="str">
        <f>Lang!$A$108</f>
        <v>Business intelligence</v>
      </c>
      <c r="AI61" s="1083"/>
      <c r="AJ61" s="5">
        <f>C66</f>
        <v>12500</v>
      </c>
      <c r="AK61" s="6"/>
      <c r="AL61" s="6"/>
      <c r="AM61" s="7"/>
      <c r="AN61" s="5"/>
      <c r="AO61" s="6"/>
      <c r="AP61" s="6"/>
      <c r="AQ61" s="7"/>
    </row>
    <row r="62" spans="1:43" ht="12.9" customHeight="1" x14ac:dyDescent="0.25">
      <c r="A62" s="21" t="str">
        <f>Lang!$A$75</f>
        <v>Web-site development</v>
      </c>
      <c r="B62" s="20"/>
      <c r="C62" s="19">
        <f>H46*1000</f>
        <v>18000</v>
      </c>
      <c r="D62" s="504">
        <f>'83'!F15</f>
        <v>18000</v>
      </c>
      <c r="E62" s="3"/>
      <c r="F62" s="20" t="str">
        <f>Lang!$A$299</f>
        <v>Machinists wages</v>
      </c>
      <c r="H62" s="19">
        <f ca="1">IF(H2&lt;(H24+H25)*360/4,(H24+H25)*360*H27,IF(H2&gt;H4,H27*H5+H27*1.5*(H4-H5)+H27*2*(H2-H4),IF(H2&gt;H5,H27*H5+H27*1.5*(H2-H5),H27*H2))*4)*IF(H11=2,4/3,IF(H11=3,5/3,1))</f>
        <v>265259.97060676833</v>
      </c>
      <c r="I62" s="504">
        <f>'83'!L14</f>
        <v>279413</v>
      </c>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0</v>
      </c>
      <c r="N62" s="504">
        <f>'83'!R15</f>
        <v>143796</v>
      </c>
      <c r="O62" s="8"/>
      <c r="P62" s="149" t="str">
        <f>Lang!$A$105</f>
        <v>Investing activities</v>
      </c>
      <c r="Q62" s="3"/>
      <c r="R62" s="3"/>
      <c r="S62" s="504"/>
      <c r="V62" s="95"/>
      <c r="W62" s="95"/>
      <c r="X62" s="95"/>
      <c r="AH62" s="1084"/>
      <c r="AI62" s="1085"/>
      <c r="AJ62" s="5"/>
      <c r="AK62" s="6"/>
      <c r="AL62" s="6"/>
      <c r="AM62" s="7"/>
      <c r="AN62" s="5"/>
      <c r="AO62" s="6"/>
      <c r="AP62" s="6"/>
      <c r="AQ62" s="7"/>
    </row>
    <row r="63" spans="1:43" ht="12.9" customHeight="1" x14ac:dyDescent="0.25">
      <c r="A63" s="21" t="str">
        <f>Lang!$A$106</f>
        <v>Personnel department</v>
      </c>
      <c r="B63" s="20"/>
      <c r="C63" s="19">
        <f>H21*2000+H22*8500+H23*1000+I24*2000+IF(H25&gt;0,H25*1000)</f>
        <v>61500</v>
      </c>
      <c r="D63" s="504">
        <f>'83'!F16</f>
        <v>61500</v>
      </c>
      <c r="E63" s="20"/>
      <c r="F63" s="20" t="str">
        <f>Lang!$A$298</f>
        <v>Assembly wages</v>
      </c>
      <c r="H63" s="19">
        <f ca="1">IF(H15&gt;H17,H26*H18+H26*1.5*(H17-H18)+H26*2*(H15-H17),IF(H15&gt;H18,H26*H18+H26*1.5*(H15-H18),H26*H15))+IF(I26&lt;I27,(I27-I26)*H20,0)</f>
        <v>218839.47575058389</v>
      </c>
      <c r="I63" s="504">
        <f>'83'!L15</f>
        <v>230515</v>
      </c>
      <c r="K63" s="8" t="str">
        <f>Lang!$A$242</f>
        <v>Component inventories</v>
      </c>
      <c r="L63" s="2"/>
      <c r="M63" s="19">
        <f ca="1">(B8*B10+C8*C10+D8*D10)+OFFSET(History!$M$85,$B$52,0)</f>
        <v>499140</v>
      </c>
      <c r="N63" s="504">
        <f>'83'!R16</f>
        <v>498000</v>
      </c>
      <c r="O63" s="656"/>
      <c r="P63" s="3" t="str">
        <f>Lang!$A$252</f>
        <v>Interest received</v>
      </c>
      <c r="Q63" s="3"/>
      <c r="R63" s="19">
        <f>H73</f>
        <v>812.5</v>
      </c>
      <c r="S63" s="504">
        <f>'83'!X16</f>
        <v>812</v>
      </c>
      <c r="AH63" s="1084"/>
      <c r="AI63" s="1085"/>
      <c r="AJ63" s="5"/>
      <c r="AK63" s="6"/>
      <c r="AL63" s="6"/>
      <c r="AM63" s="7"/>
      <c r="AN63" s="5"/>
      <c r="AO63" s="6"/>
      <c r="AP63" s="6"/>
      <c r="AQ63" s="7"/>
    </row>
    <row r="64" spans="1:43" ht="12.9" customHeight="1" thickBot="1" x14ac:dyDescent="0.3">
      <c r="A64" s="21" t="str">
        <f>Lang!$A$224</f>
        <v>Machine maintenance</v>
      </c>
      <c r="B64" s="20"/>
      <c r="C64" s="19">
        <f ca="1">85*H12*H7+IF(H6&gt;H12*H7,175*(H6-H12*H7),0)</f>
        <v>10625</v>
      </c>
      <c r="D64" s="549">
        <f>'83'!F17</f>
        <v>10625</v>
      </c>
      <c r="E64" s="3"/>
      <c r="F64" s="20" t="str">
        <f>Lang!$A$150</f>
        <v>Quality control</v>
      </c>
      <c r="H64" s="19">
        <f ca="1">SUM(B2:D5)</f>
        <v>5335.4181901007687</v>
      </c>
      <c r="I64" s="504">
        <f>'83'!L16</f>
        <v>5350</v>
      </c>
      <c r="J64" s="150"/>
      <c r="K64" s="2" t="str">
        <f>Lang!$A$243</f>
        <v>Materials inventory</v>
      </c>
      <c r="L64" s="2"/>
      <c r="M64" s="19">
        <f ca="1">(IF(H31&lt;0,0,H31)+H34+I34+H35)/1000*MIN(OFFSET(History!N46:P46,$B52,))*OFFSET(History!Q46,$B52,)*0.9</f>
        <v>676575.21988951042</v>
      </c>
      <c r="N64" s="504">
        <f>'83'!R17</f>
        <v>660122</v>
      </c>
      <c r="O64" s="657"/>
      <c r="P64" s="3" t="str">
        <f>Lang!$A$253</f>
        <v>Asset sales</v>
      </c>
      <c r="Q64" s="3"/>
      <c r="R64" s="19">
        <f>IF('72'!G21=0,0,'73'!R11/'72'!G21*H9)</f>
        <v>0</v>
      </c>
      <c r="S64" s="504">
        <f>'83'!X17</f>
        <v>0</v>
      </c>
      <c r="AH64" s="1086"/>
      <c r="AI64" s="1087"/>
      <c r="AJ64" s="9"/>
      <c r="AK64" s="10"/>
      <c r="AL64" s="10"/>
      <c r="AM64" s="11"/>
      <c r="AN64" s="9"/>
      <c r="AO64" s="10"/>
      <c r="AP64" s="10"/>
      <c r="AQ64" s="11"/>
    </row>
    <row r="65" spans="1:43" ht="12.9" customHeight="1" x14ac:dyDescent="0.25">
      <c r="A65" s="379" t="str">
        <f>Lang!$A$107</f>
        <v xml:space="preserve">Purchasing and warehousing </v>
      </c>
      <c r="B65" s="2"/>
      <c r="C65" s="19">
        <f ca="1">7500+(SUMIF(J37:L37,"&gt;0")+SUM(J2:L2))*3.5/2+(SUMIF(J38:L38,"&gt;0")+SUM(J3:L3))*4*H39/2+(SUMIF(J39:L39,"&gt;0")+SUM(J4:L4))*3.5/2+IF((E7+E9)&lt;0,(E7+E9)*-3,0)</f>
        <v>7888.2</v>
      </c>
      <c r="D65" s="504">
        <f>'83'!F18</f>
        <v>10962</v>
      </c>
      <c r="E65" s="3"/>
      <c r="F65" s="20" t="str">
        <f>Lang!$A$231</f>
        <v>Hired transport</v>
      </c>
      <c r="G65" s="20"/>
      <c r="H65" s="19">
        <f ca="1">(IF($D$1=1,E2,CEILING(E2,1))*CEILING('72'!M36/400,1)+IF($D$1=1,E3,CEILING(E3,1))*CEILING('72'!N36/400,1)+IF($D$1=1,E4,CEILING(E4,1))*CEILING('72'!O36/400,1))*650+IF($D$1=1,E3,CEILING(E3,1))*8000</f>
        <v>65363.599999999991</v>
      </c>
      <c r="I65" s="504">
        <f>'83'!L17</f>
        <v>57150</v>
      </c>
      <c r="K65" s="2" t="str">
        <f>Lang!$A$155</f>
        <v>Trade receivables</v>
      </c>
      <c r="L65" s="20"/>
      <c r="M65" s="19">
        <f ca="1">'73'!R18+H56-R56</f>
        <v>1295942.83</v>
      </c>
      <c r="N65" s="504">
        <f>'83'!R18</f>
        <v>1032530</v>
      </c>
      <c r="O65" s="658"/>
      <c r="P65" s="8" t="str">
        <f>Lang!$A$254</f>
        <v>Assets purchased</v>
      </c>
      <c r="Q65" s="8"/>
      <c r="R65" s="19">
        <f>H8*300000+D13*500</f>
        <v>25000</v>
      </c>
      <c r="S65" s="504">
        <f>'83'!X18</f>
        <v>25000</v>
      </c>
      <c r="AH65" s="1082" t="str">
        <f>Lang!$A$110</f>
        <v>Credit control</v>
      </c>
      <c r="AI65" s="1083"/>
      <c r="AJ65" s="5"/>
      <c r="AK65" s="6"/>
      <c r="AL65" s="6"/>
      <c r="AM65" s="7"/>
      <c r="AN65" s="5"/>
      <c r="AO65" s="6"/>
      <c r="AP65" s="6"/>
      <c r="AQ65" s="7"/>
    </row>
    <row r="66" spans="1:43" ht="12.9" customHeight="1" x14ac:dyDescent="0.25">
      <c r="A66" s="21" t="str">
        <f>Lang!$A$108</f>
        <v>Business intelligence</v>
      </c>
      <c r="B66" s="20"/>
      <c r="C66" s="19">
        <f>7500*H49+5000*H50</f>
        <v>12500</v>
      </c>
      <c r="D66" s="504">
        <f>'83'!F19</f>
        <v>12500</v>
      </c>
      <c r="E66" s="150"/>
      <c r="F66" s="554" t="str">
        <f>Lang!$A$232</f>
        <v>Less closing inventory values</v>
      </c>
      <c r="H66" s="19">
        <f ca="1">M62+M63+M64</f>
        <v>1175715.2198895104</v>
      </c>
      <c r="I66" s="504">
        <f>'83'!L18</f>
        <v>1301918</v>
      </c>
      <c r="K66" s="20" t="str">
        <f>Lang!$A$244</f>
        <v>Cash</v>
      </c>
      <c r="L66" s="20"/>
      <c r="M66" s="19">
        <f ca="1">IF(R84&gt;0,R84,0)</f>
        <v>0</v>
      </c>
      <c r="N66" s="1089">
        <f>'83'!R19</f>
        <v>650000</v>
      </c>
      <c r="O66" s="660">
        <f ca="1">(M66+M67-M75)/M80</f>
        <v>0.15659526591026565</v>
      </c>
      <c r="P66" s="3" t="str">
        <f>Lang!$A$109</f>
        <v>Net cash flow from investing</v>
      </c>
      <c r="Q66" s="3"/>
      <c r="R66" s="19">
        <f>R63+R64-R65</f>
        <v>-24187.5</v>
      </c>
      <c r="S66" s="504">
        <f>'83'!X19</f>
        <v>-24188</v>
      </c>
      <c r="AH66" s="1084"/>
      <c r="AI66" s="1085"/>
      <c r="AJ66" s="5"/>
      <c r="AK66" s="6"/>
      <c r="AL66" s="6"/>
      <c r="AM66" s="7"/>
      <c r="AN66" s="5"/>
      <c r="AO66" s="6">
        <f ca="1">J17</f>
        <v>1174</v>
      </c>
      <c r="AP66" s="6">
        <f t="shared" ref="AP66:AQ68" ca="1" si="12">K17</f>
        <v>787</v>
      </c>
      <c r="AQ66" s="7">
        <f t="shared" ca="1" si="12"/>
        <v>415</v>
      </c>
    </row>
    <row r="67" spans="1:43" ht="12.9" customHeight="1" x14ac:dyDescent="0.25">
      <c r="A67" s="21" t="str">
        <f>Lang!$A$110</f>
        <v>Credit control</v>
      </c>
      <c r="B67" s="20"/>
      <c r="C67" s="19">
        <f ca="1">SUM(J17:L19)</f>
        <v>5184</v>
      </c>
      <c r="D67" s="504">
        <f>'83'!F20</f>
        <v>4474</v>
      </c>
      <c r="E67" s="3"/>
      <c r="F67" s="20" t="str">
        <f>Lang!$A$111</f>
        <v>Cost of sales</v>
      </c>
      <c r="H67" s="19">
        <f ca="1">SUM(H58:H65)-H66</f>
        <v>1365817.2221506545</v>
      </c>
      <c r="I67" s="504">
        <f>'83'!L19</f>
        <v>1258954</v>
      </c>
      <c r="K67" s="3" t="str">
        <f>Lang!$A$245</f>
        <v>Cash equivalents</v>
      </c>
      <c r="M67" s="19">
        <f>'73'!X32+H43*1000</f>
        <v>650000</v>
      </c>
      <c r="N67" s="1089"/>
      <c r="O67" s="660">
        <f>H40/100</f>
        <v>5.0000000000000001E-3</v>
      </c>
      <c r="Q67" s="3"/>
      <c r="R67" s="3"/>
      <c r="S67" s="504"/>
      <c r="X67" s="95"/>
      <c r="AH67" s="1084"/>
      <c r="AI67" s="1085"/>
      <c r="AJ67" s="5"/>
      <c r="AK67" s="6"/>
      <c r="AL67" s="6"/>
      <c r="AM67" s="7"/>
      <c r="AN67" s="5"/>
      <c r="AO67" s="6">
        <f ca="1">J18</f>
        <v>595</v>
      </c>
      <c r="AP67" s="6">
        <f t="shared" ca="1" si="12"/>
        <v>362</v>
      </c>
      <c r="AQ67" s="7">
        <f t="shared" ca="1" si="12"/>
        <v>190</v>
      </c>
    </row>
    <row r="68" spans="1:43" ht="12.9" customHeight="1" thickBot="1" x14ac:dyDescent="0.3">
      <c r="A68" s="21" t="str">
        <f>Lang!$A$225</f>
        <v>Insurance premiums</v>
      </c>
      <c r="B68" s="20"/>
      <c r="C68" s="19">
        <f ca="1">('73'!R12+'73'!L18)*(IF(H48=4,0.001,IF(H48=3,0.002,IF(H48=2,0.0035,IF(H48=1,0.006,0)))))</f>
        <v>2524.933</v>
      </c>
      <c r="D68" s="504">
        <f>'83'!F21</f>
        <v>15149</v>
      </c>
      <c r="E68" s="3"/>
      <c r="F68" s="73" t="str">
        <f>Lang!$A$112</f>
        <v>Gross profit</v>
      </c>
      <c r="G68" s="73"/>
      <c r="H68" s="331">
        <f ca="1">H56-H67</f>
        <v>1084209.7478493457</v>
      </c>
      <c r="I68" s="652">
        <f>'83'!L20</f>
        <v>913819</v>
      </c>
      <c r="K68" s="3" t="str">
        <f>Lang!$A$113</f>
        <v>Current assets</v>
      </c>
      <c r="L68" s="20"/>
      <c r="M68" s="19">
        <f ca="1">SUM(M62:M67)</f>
        <v>3121658.0498895105</v>
      </c>
      <c r="N68" s="504">
        <f>'83'!R20</f>
        <v>2984448</v>
      </c>
      <c r="O68" s="658"/>
      <c r="P68" s="149" t="str">
        <f>Lang!$A$114</f>
        <v>Financing activities</v>
      </c>
      <c r="Q68" s="3"/>
      <c r="R68" s="3"/>
      <c r="S68" s="504"/>
      <c r="X68" s="95"/>
      <c r="AH68" s="1086"/>
      <c r="AI68" s="1087"/>
      <c r="AJ68" s="9"/>
      <c r="AK68" s="10"/>
      <c r="AL68" s="10"/>
      <c r="AM68" s="11"/>
      <c r="AN68" s="9"/>
      <c r="AO68" s="10">
        <f ca="1">J19</f>
        <v>928</v>
      </c>
      <c r="AP68" s="10">
        <f t="shared" ca="1" si="12"/>
        <v>479</v>
      </c>
      <c r="AQ68" s="11">
        <f t="shared" ca="1" si="12"/>
        <v>253.99999999999997</v>
      </c>
    </row>
    <row r="69" spans="1:43" ht="12.9" customHeight="1" x14ac:dyDescent="0.25">
      <c r="A69" s="21" t="str">
        <f>Lang!$A$115</f>
        <v>Management budget</v>
      </c>
      <c r="B69" s="20"/>
      <c r="C69" s="19">
        <f>H47*1000</f>
        <v>90000</v>
      </c>
      <c r="D69" s="504">
        <f>'83'!F22</f>
        <v>90000</v>
      </c>
      <c r="E69" s="3"/>
      <c r="F69" s="20" t="str">
        <f>Lang!$A$233</f>
        <v>Administrative expenses</v>
      </c>
      <c r="H69" s="19">
        <f ca="1">C71</f>
        <v>808248.35111460928</v>
      </c>
      <c r="I69" s="504">
        <f>'83'!L21</f>
        <v>804708</v>
      </c>
      <c r="J69" s="150"/>
      <c r="O69" s="658"/>
      <c r="P69" s="2" t="str">
        <f>Lang!$A$255</f>
        <v>Shares issued</v>
      </c>
      <c r="R69" s="19">
        <f ca="1">IF(H41&gt;0,H38*H41*10,0)</f>
        <v>0</v>
      </c>
      <c r="S69" s="504">
        <f>'83'!X22</f>
        <v>0</v>
      </c>
      <c r="V69" s="95"/>
      <c r="W69" s="95"/>
      <c r="X69" s="95"/>
      <c r="AH69" s="1082" t="str">
        <f>Lang!$A$116</f>
        <v>Insurance</v>
      </c>
      <c r="AI69" s="1083"/>
      <c r="AJ69" s="5">
        <f ca="1">C68</f>
        <v>2524.933</v>
      </c>
      <c r="AK69" s="6"/>
      <c r="AL69" s="6"/>
      <c r="AM69" s="7"/>
      <c r="AN69" s="5"/>
      <c r="AO69" s="6"/>
      <c r="AP69" s="6"/>
      <c r="AQ69" s="7"/>
    </row>
    <row r="70" spans="1:43" ht="12.9" customHeight="1" x14ac:dyDescent="0.25">
      <c r="A70" s="379" t="str">
        <f>Lang!$A$128</f>
        <v>Other costs</v>
      </c>
      <c r="B70" s="20"/>
      <c r="C70" s="19">
        <f ca="1">H9*60000+(C13-D13)*20+A13*40</f>
        <v>16267.688414609303</v>
      </c>
      <c r="D70" s="504">
        <f>'83'!F23</f>
        <v>16284</v>
      </c>
      <c r="E70" s="3"/>
      <c r="F70" s="20" t="str">
        <f>Lang!$A$234</f>
        <v>Insurance receipts</v>
      </c>
      <c r="H70" s="19">
        <f ca="1">IF(C80-C81&gt;0,C80-C81,0)</f>
        <v>31628.268</v>
      </c>
      <c r="I70" s="504">
        <f>'83'!L22</f>
        <v>52123</v>
      </c>
      <c r="J70" s="150"/>
      <c r="K70" s="3" t="str">
        <f>Lang!$A$117</f>
        <v>Total assets</v>
      </c>
      <c r="L70" s="2"/>
      <c r="M70" s="19">
        <f ca="1">M59+M68</f>
        <v>4842264.3998895101</v>
      </c>
      <c r="N70" s="504">
        <f>'83'!R21</f>
        <v>4705054</v>
      </c>
      <c r="P70" s="2" t="str">
        <f>Lang!$A$256</f>
        <v>Shares repurchased</v>
      </c>
      <c r="R70" s="19">
        <f ca="1">IF(H41&lt;0,-H38*H41*10,0)</f>
        <v>0</v>
      </c>
      <c r="S70" s="504">
        <f>'83'!X23</f>
        <v>0</v>
      </c>
      <c r="AH70" s="1084"/>
      <c r="AI70" s="1085"/>
      <c r="AJ70" s="5"/>
      <c r="AK70" s="6"/>
      <c r="AL70" s="6"/>
      <c r="AM70" s="7"/>
      <c r="AN70" s="5"/>
      <c r="AO70" s="6"/>
      <c r="AP70" s="6"/>
      <c r="AQ70" s="7"/>
    </row>
    <row r="71" spans="1:43" ht="12.9" customHeight="1" x14ac:dyDescent="0.25">
      <c r="A71" s="21" t="str">
        <f>Lang!$A$118</f>
        <v>Total administrative expenses</v>
      </c>
      <c r="B71" s="501"/>
      <c r="C71" s="19">
        <f ca="1">SUM(C55:C70)</f>
        <v>808248.35111460928</v>
      </c>
      <c r="D71" s="504">
        <f>'83'!F24</f>
        <v>804708</v>
      </c>
      <c r="E71" s="3"/>
      <c r="F71" s="20" t="str">
        <f>Lang!$A$151</f>
        <v>Depreciation</v>
      </c>
      <c r="H71" s="19">
        <f>M58/0.975*0.025</f>
        <v>32579.65</v>
      </c>
      <c r="I71" s="504">
        <f>'83'!L23</f>
        <v>32580</v>
      </c>
      <c r="J71" s="150"/>
      <c r="K71" s="20"/>
      <c r="L71" s="20"/>
      <c r="M71" s="661"/>
      <c r="N71" s="504"/>
      <c r="P71" s="2" t="str">
        <f>Lang!$A$133</f>
        <v>Dividends paid</v>
      </c>
      <c r="R71" s="19">
        <f>H80</f>
        <v>0</v>
      </c>
      <c r="S71" s="504">
        <f>'83'!X24</f>
        <v>0</v>
      </c>
      <c r="V71" s="617"/>
      <c r="W71" s="617"/>
      <c r="X71" s="617"/>
      <c r="AH71" s="1084"/>
      <c r="AI71" s="1085"/>
      <c r="AJ71" s="5"/>
      <c r="AK71" s="6"/>
      <c r="AL71" s="6"/>
      <c r="AM71" s="7"/>
      <c r="AN71" s="5"/>
      <c r="AO71" s="6"/>
      <c r="AP71" s="6"/>
      <c r="AQ71" s="7"/>
    </row>
    <row r="72" spans="1:43" ht="12.9" customHeight="1" thickBot="1" x14ac:dyDescent="0.3">
      <c r="D72" s="504"/>
      <c r="E72" s="3"/>
      <c r="F72" s="332" t="str">
        <f>Lang!$A$119</f>
        <v>Operating profit/loss</v>
      </c>
      <c r="G72" s="73"/>
      <c r="H72" s="331">
        <f ca="1">H68+H70-H69-H71</f>
        <v>275010.01473473629</v>
      </c>
      <c r="I72" s="652">
        <f>'83'!L24</f>
        <v>128654</v>
      </c>
      <c r="J72" s="150"/>
      <c r="K72" s="501" t="str">
        <f>Lang!$A$120</f>
        <v>Liabilities</v>
      </c>
      <c r="L72" s="20"/>
      <c r="M72" s="661"/>
      <c r="N72" s="504"/>
      <c r="O72" s="658"/>
      <c r="P72" s="3" t="str">
        <f>Lang!$A$257</f>
        <v>Additional loans</v>
      </c>
      <c r="Q72" s="3"/>
      <c r="R72" s="19">
        <f>H44*1000</f>
        <v>0</v>
      </c>
      <c r="S72" s="504">
        <f>'83'!X25</f>
        <v>0</v>
      </c>
      <c r="V72" s="617"/>
      <c r="W72" s="617"/>
      <c r="X72" s="617"/>
      <c r="AH72" s="1086"/>
      <c r="AI72" s="1087"/>
      <c r="AJ72" s="9"/>
      <c r="AK72" s="10"/>
      <c r="AL72" s="10"/>
      <c r="AM72" s="11"/>
      <c r="AN72" s="9"/>
      <c r="AO72" s="10"/>
      <c r="AP72" s="10"/>
      <c r="AQ72" s="11"/>
    </row>
    <row r="73" spans="1:43" ht="12.9" customHeight="1" x14ac:dyDescent="0.25">
      <c r="A73" s="327" t="str">
        <f>Lang!$A$121</f>
        <v>Accumulated taxable profit</v>
      </c>
      <c r="B73" s="20"/>
      <c r="C73" s="504"/>
      <c r="D73" s="504"/>
      <c r="E73" s="3"/>
      <c r="F73" s="2" t="str">
        <f>Lang!$A$235</f>
        <v>Finance income</v>
      </c>
      <c r="G73" s="8"/>
      <c r="H73" s="19">
        <f>M67*O67/4</f>
        <v>812.5</v>
      </c>
      <c r="I73" s="504">
        <f>'83'!L25</f>
        <v>812</v>
      </c>
      <c r="J73" s="150"/>
      <c r="K73" s="20" t="str">
        <f>Lang!$A$246</f>
        <v>Tax due</v>
      </c>
      <c r="L73" s="20"/>
      <c r="M73" s="19">
        <f>IF(D52=4,IF((C74+C75)&gt;0,(C74+C75)*0.3,0),IF(D52=2,0,'73'!R24))</f>
        <v>0</v>
      </c>
      <c r="N73" s="504">
        <f>'83'!R24</f>
        <v>0</v>
      </c>
      <c r="P73" s="3" t="str">
        <f>Lang!$A$258</f>
        <v>Interest paid</v>
      </c>
      <c r="Q73" s="3"/>
      <c r="R73" s="19">
        <f ca="1">H74</f>
        <v>97.84762596887056</v>
      </c>
      <c r="S73" s="504">
        <f>'83'!X26</f>
        <v>197</v>
      </c>
      <c r="V73" s="617"/>
      <c r="W73" s="617"/>
      <c r="X73" s="617"/>
      <c r="AH73" s="1082" t="str">
        <f>Lang!$A$115</f>
        <v>Management budget</v>
      </c>
      <c r="AI73" s="1083"/>
      <c r="AJ73" s="5">
        <f>C69</f>
        <v>90000</v>
      </c>
      <c r="AK73" s="6"/>
      <c r="AL73" s="6"/>
      <c r="AM73" s="7"/>
      <c r="AN73" s="5"/>
      <c r="AO73" s="6"/>
      <c r="AP73" s="6"/>
      <c r="AQ73" s="7"/>
    </row>
    <row r="74" spans="1:43" ht="12.9" customHeight="1" x14ac:dyDescent="0.25">
      <c r="A74" s="21" t="str">
        <f>Lang!$A$123</f>
        <v>Profit/loss before tax</v>
      </c>
      <c r="B74" s="20"/>
      <c r="C74" s="19">
        <f ca="1">H75</f>
        <v>275724.66710876743</v>
      </c>
      <c r="D74" s="504">
        <f>'83'!F27</f>
        <v>129269</v>
      </c>
      <c r="E74" s="3"/>
      <c r="F74" s="2" t="str">
        <f>Lang!$A$236</f>
        <v>Finance expense</v>
      </c>
      <c r="G74" s="8"/>
      <c r="H74" s="19">
        <f ca="1">(M75+OFFSET(History!K$71,$B$52,0)*1000)/2*O75/4+(M76+OFFSET(History!L$71,$B$52,0)*1000)/2*O76/4+M78*O78/4</f>
        <v>97.84762596887056</v>
      </c>
      <c r="I74" s="504">
        <f>'83'!L26</f>
        <v>197</v>
      </c>
      <c r="K74" s="2" t="str">
        <f>Lang!$A$247</f>
        <v>Trade payables</v>
      </c>
      <c r="L74" s="20"/>
      <c r="M74" s="19">
        <f ca="1">C55+C60+H65+C62+C64+C65+C66+(H59+H60)/2</f>
        <v>785124.75164919766</v>
      </c>
      <c r="N74" s="504">
        <f>'83'!R25</f>
        <v>777300</v>
      </c>
      <c r="P74" s="3" t="str">
        <f>Lang!$A$122</f>
        <v>Net cash flow from financing</v>
      </c>
      <c r="Q74" s="3"/>
      <c r="R74" s="19">
        <f ca="1">(R72+R69)-(R73+R71+R70)</f>
        <v>-97.84762596887056</v>
      </c>
      <c r="S74" s="504">
        <f>'83'!X27</f>
        <v>-197</v>
      </c>
      <c r="AH74" s="1084"/>
      <c r="AI74" s="1085"/>
      <c r="AJ74" s="5"/>
      <c r="AK74" s="6"/>
      <c r="AL74" s="6"/>
      <c r="AM74" s="7"/>
      <c r="AN74" s="5"/>
      <c r="AO74" s="6"/>
      <c r="AP74" s="6"/>
      <c r="AQ74" s="7"/>
    </row>
    <row r="75" spans="1:43" ht="12.9" customHeight="1" x14ac:dyDescent="0.25">
      <c r="A75" s="21" t="str">
        <f>Lang!$A$226</f>
        <v>Previous taxable profit/loss</v>
      </c>
      <c r="B75" s="20"/>
      <c r="C75" s="19">
        <f>IF(D52=1,IF('73'!F29&lt;0,'73'!F29,0),'73'!F29)</f>
        <v>-236078</v>
      </c>
      <c r="D75" s="504">
        <f>'83'!F28</f>
        <v>-236078</v>
      </c>
      <c r="E75" s="3"/>
      <c r="F75" s="73" t="str">
        <f>Lang!$A$123</f>
        <v>Profit/loss before tax</v>
      </c>
      <c r="G75" s="73"/>
      <c r="H75" s="331">
        <f ca="1">H72+H73-H74</f>
        <v>275724.66710876743</v>
      </c>
      <c r="I75" s="652">
        <f>'83'!L27</f>
        <v>129269</v>
      </c>
      <c r="K75" s="20" t="str">
        <f>Lang!$A$158</f>
        <v>Bank overdraft</v>
      </c>
      <c r="L75" s="20"/>
      <c r="M75" s="19">
        <f ca="1">IF(R85&gt;0,IF(R85&gt;R81,R81,R85),0)</f>
        <v>17395.133505576989</v>
      </c>
      <c r="N75" s="1089">
        <f>'83'!R26</f>
        <v>34563</v>
      </c>
      <c r="O75" s="662">
        <f>(H40+4)/100</f>
        <v>4.4999999999999998E-2</v>
      </c>
      <c r="P75" s="2"/>
      <c r="R75" s="3"/>
      <c r="S75" s="504"/>
      <c r="AH75" s="1084"/>
      <c r="AI75" s="1085"/>
      <c r="AJ75" s="5"/>
      <c r="AK75" s="6"/>
      <c r="AL75" s="6"/>
      <c r="AM75" s="7"/>
      <c r="AN75" s="5"/>
      <c r="AO75" s="6"/>
      <c r="AP75" s="6"/>
      <c r="AQ75" s="7"/>
    </row>
    <row r="76" spans="1:43" ht="12.9" customHeight="1" thickBot="1" x14ac:dyDescent="0.3">
      <c r="A76" s="21" t="str">
        <f>Lang!$A$227</f>
        <v>Taxable profit/loss</v>
      </c>
      <c r="B76" s="20"/>
      <c r="C76" s="19">
        <f ca="1">C74+C75</f>
        <v>39646.667108767433</v>
      </c>
      <c r="D76" s="504">
        <f>'83'!F29</f>
        <v>-106809</v>
      </c>
      <c r="E76" s="3"/>
      <c r="F76" s="20" t="str">
        <f>Lang!$A$237</f>
        <v>Tax assessed</v>
      </c>
      <c r="H76" s="19">
        <f>IF(D52=4,M73,0)</f>
        <v>0</v>
      </c>
      <c r="I76" s="504">
        <f>'83'!L28</f>
        <v>0</v>
      </c>
      <c r="K76" s="2" t="str">
        <f>Lang!$A$248</f>
        <v>Borrowing power</v>
      </c>
      <c r="M76" s="19">
        <f ca="1">IF(R85&gt;0,IF(R85&gt;R81,R85-R81,0),0)</f>
        <v>0</v>
      </c>
      <c r="N76" s="1089"/>
      <c r="O76" s="662">
        <f>(H40+10)/100</f>
        <v>0.105</v>
      </c>
      <c r="P76" s="3" t="str">
        <f>Lang!$A$124</f>
        <v>Net cash flow</v>
      </c>
      <c r="Q76" s="3"/>
      <c r="R76" s="19">
        <f ca="1">R60+R66+R74</f>
        <v>-558587.98113154585</v>
      </c>
      <c r="S76" s="504">
        <f>'83'!X29</f>
        <v>-575658</v>
      </c>
      <c r="AH76" s="1086"/>
      <c r="AI76" s="1087"/>
      <c r="AJ76" s="9"/>
      <c r="AK76" s="10"/>
      <c r="AL76" s="10"/>
      <c r="AM76" s="11"/>
      <c r="AN76" s="9"/>
      <c r="AO76" s="10"/>
      <c r="AP76" s="10"/>
      <c r="AQ76" s="11"/>
    </row>
    <row r="77" spans="1:43" ht="12.9" customHeight="1" x14ac:dyDescent="0.25">
      <c r="D77" s="504"/>
      <c r="E77" s="3"/>
      <c r="F77" s="20" t="str">
        <f>Lang!$A$125</f>
        <v>Profit/loss for the period</v>
      </c>
      <c r="H77" s="19">
        <f ca="1">H68+H70+H73-H74-H69-H71-H76</f>
        <v>275724.66710876732</v>
      </c>
      <c r="I77" s="504">
        <f>'83'!L29</f>
        <v>129269</v>
      </c>
      <c r="K77" s="20" t="str">
        <f>Lang!$A$126</f>
        <v>Current liabilities</v>
      </c>
      <c r="L77" s="20"/>
      <c r="M77" s="19">
        <f ca="1">SUM(M73:M76)</f>
        <v>802519.88515477465</v>
      </c>
      <c r="N77" s="504">
        <f>'83'!R27</f>
        <v>811863</v>
      </c>
      <c r="P77" s="2" t="str">
        <f>Lang!$A$127</f>
        <v>Previous cash balance</v>
      </c>
      <c r="R77" s="19">
        <f>'73'!X31</f>
        <v>1191095</v>
      </c>
      <c r="S77" s="504">
        <f>'83'!X30</f>
        <v>1191095</v>
      </c>
      <c r="AH77" s="1082" t="str">
        <f>Lang!$A$128</f>
        <v>Other costs</v>
      </c>
      <c r="AI77" s="1083"/>
      <c r="AJ77" s="5">
        <f ca="1">C70</f>
        <v>16267.688414609303</v>
      </c>
      <c r="AK77" s="6"/>
      <c r="AL77" s="6"/>
      <c r="AM77" s="7"/>
      <c r="AN77" s="5"/>
      <c r="AO77" s="6"/>
      <c r="AP77" s="6"/>
      <c r="AQ77" s="7"/>
    </row>
    <row r="78" spans="1:43" x14ac:dyDescent="0.25">
      <c r="A78" s="8"/>
      <c r="B78" s="8"/>
      <c r="D78" s="504"/>
      <c r="E78" s="3"/>
      <c r="F78" s="3" t="str">
        <f>Lang!$A$129</f>
        <v>Earnings per share</v>
      </c>
      <c r="H78" s="19">
        <f ca="1">H77/M83*100</f>
        <v>6.893116677719183</v>
      </c>
      <c r="I78" s="504">
        <f>'83'!L30</f>
        <v>3.231725</v>
      </c>
      <c r="K78" s="20" t="str">
        <f>Lang!$A$87</f>
        <v>Term loans</v>
      </c>
      <c r="L78" s="20"/>
      <c r="M78" s="19">
        <f>H44*1000+'73'!R28</f>
        <v>0</v>
      </c>
      <c r="N78" s="504">
        <f>'83'!R28</f>
        <v>0</v>
      </c>
      <c r="O78" s="662">
        <v>0.1</v>
      </c>
      <c r="P78" s="3" t="str">
        <f>Lang!$A$130</f>
        <v>Cash balance</v>
      </c>
      <c r="Q78" s="3"/>
      <c r="R78" s="19">
        <f ca="1">R76+R77</f>
        <v>632507.01886845415</v>
      </c>
      <c r="S78" s="504">
        <f>'83'!X31</f>
        <v>615437</v>
      </c>
      <c r="AH78" s="1084"/>
      <c r="AI78" s="1085"/>
      <c r="AJ78" s="5"/>
      <c r="AK78" s="6"/>
      <c r="AL78" s="6"/>
      <c r="AM78" s="7"/>
      <c r="AN78" s="5"/>
      <c r="AO78" s="6"/>
      <c r="AP78" s="6"/>
      <c r="AQ78" s="7"/>
    </row>
    <row r="79" spans="1:43" x14ac:dyDescent="0.25">
      <c r="A79" s="8"/>
      <c r="B79" s="8"/>
      <c r="D79" s="504"/>
      <c r="E79" s="3"/>
      <c r="F79" s="20"/>
      <c r="H79" s="504"/>
      <c r="I79" s="504"/>
      <c r="L79" s="2"/>
      <c r="M79" s="3"/>
      <c r="N79" s="504"/>
      <c r="O79" s="655"/>
      <c r="P79" s="2" t="str">
        <f>Lang!$A$131</f>
        <v>Including a term deposit</v>
      </c>
      <c r="R79" s="19">
        <f>M67</f>
        <v>650000</v>
      </c>
      <c r="S79" s="504">
        <f>'83'!X32</f>
        <v>650000</v>
      </c>
      <c r="AH79" s="1084"/>
      <c r="AI79" s="1085"/>
      <c r="AJ79" s="5"/>
      <c r="AK79" s="6"/>
      <c r="AL79" s="6"/>
      <c r="AM79" s="7"/>
      <c r="AN79" s="5"/>
      <c r="AO79" s="6"/>
      <c r="AP79" s="6"/>
      <c r="AQ79" s="7"/>
    </row>
    <row r="80" spans="1:43" ht="13.8" thickBot="1" x14ac:dyDescent="0.3">
      <c r="A80" s="8" t="str">
        <f>Lang!$A$132</f>
        <v>Insurance claimed</v>
      </c>
      <c r="B80" s="8"/>
      <c r="C80" s="19">
        <f ca="1">IF($D$1=2,OFFSET(History!N33,B52,),IF(H48=0,0,OFFSET(Config!D20,B52,)))</f>
        <v>41728</v>
      </c>
      <c r="D80" s="504">
        <f>'83'!F33</f>
        <v>54647</v>
      </c>
      <c r="E80" s="3"/>
      <c r="F80" s="20" t="str">
        <f>Lang!$A$133</f>
        <v>Dividends paid</v>
      </c>
      <c r="H80" s="19">
        <f>H42*'73'!R33</f>
        <v>0</v>
      </c>
      <c r="I80" s="504">
        <f>'83'!L32</f>
        <v>0</v>
      </c>
      <c r="K80" s="20" t="str">
        <f>Lang!$A$134</f>
        <v>Net assets</v>
      </c>
      <c r="L80" s="20"/>
      <c r="M80" s="19">
        <f ca="1">M70-SUM(M77:M78)</f>
        <v>4039744.5147347357</v>
      </c>
      <c r="N80" s="504">
        <f>'83'!R30</f>
        <v>3893191</v>
      </c>
      <c r="O80" s="653"/>
      <c r="P80" s="2"/>
      <c r="R80" s="3"/>
      <c r="S80" s="504"/>
      <c r="AH80" s="1086"/>
      <c r="AI80" s="1087"/>
      <c r="AJ80" s="9"/>
      <c r="AK80" s="10"/>
      <c r="AL80" s="10"/>
      <c r="AM80" s="11"/>
      <c r="AN80" s="9"/>
      <c r="AO80" s="10"/>
      <c r="AP80" s="10"/>
      <c r="AQ80" s="11"/>
    </row>
    <row r="81" spans="1:43" ht="12.75" customHeight="1" x14ac:dyDescent="0.25">
      <c r="A81" s="3" t="str">
        <f>Lang!$A$135</f>
        <v>Primary non-insured risk</v>
      </c>
      <c r="C81" s="19">
        <f ca="1">('73'!R12+'73'!L18)*(IF(H48=4,0.004,IF(H48=3,0.003,IF(H48=2,0.002,IF(H48=1,0.001,0)))))</f>
        <v>10099.732</v>
      </c>
      <c r="D81" s="504">
        <f>'83'!F34</f>
        <v>2524</v>
      </c>
      <c r="E81" s="3"/>
      <c r="F81" s="20" t="str">
        <f>Lang!$A$136</f>
        <v>Transferred to retained earnings</v>
      </c>
      <c r="H81" s="19">
        <f ca="1">H77-H80</f>
        <v>275724.66710876732</v>
      </c>
      <c r="I81" s="504">
        <f>'83'!L33</f>
        <v>129269</v>
      </c>
      <c r="M81" s="3"/>
      <c r="N81" s="504"/>
      <c r="P81" s="3" t="str">
        <f>Lang!$A$259</f>
        <v>Overdraft limit for next quarter</v>
      </c>
      <c r="Q81" s="3"/>
      <c r="R81" s="19">
        <f>'73'!X34</f>
        <v>584000</v>
      </c>
      <c r="S81" s="504"/>
      <c r="AH81" s="1090" t="str">
        <f>Lang!$A$137</f>
        <v>Materials purchased</v>
      </c>
      <c r="AI81" s="1091"/>
      <c r="AJ81" s="5"/>
      <c r="AK81" s="6"/>
      <c r="AL81" s="6"/>
      <c r="AM81" s="7"/>
      <c r="AN81" s="5"/>
      <c r="AO81" s="6"/>
      <c r="AP81" s="6"/>
      <c r="AQ81" s="7"/>
    </row>
    <row r="82" spans="1:43" x14ac:dyDescent="0.25">
      <c r="D82" s="2"/>
      <c r="E82" s="3"/>
      <c r="F82" s="3" t="str">
        <f>Lang!$A$138</f>
        <v>Previous retained earnings</v>
      </c>
      <c r="H82" s="19">
        <f>'73'!R35</f>
        <v>-236078</v>
      </c>
      <c r="I82" s="504">
        <f>'83'!L34</f>
        <v>-236078</v>
      </c>
      <c r="K82" s="501" t="str">
        <f>Lang!$A$139</f>
        <v>Equity</v>
      </c>
      <c r="L82" s="20"/>
      <c r="M82" s="3"/>
      <c r="N82" s="504"/>
      <c r="P82" s="3" t="str">
        <f>Lang!$A$260</f>
        <v>Borrowing power next quarter</v>
      </c>
      <c r="Q82" s="3"/>
      <c r="R82" s="19">
        <f>'73'!X35</f>
        <v>1307000</v>
      </c>
      <c r="S82" s="504"/>
      <c r="AH82" s="1092"/>
      <c r="AI82" s="1093"/>
      <c r="AJ82" s="5"/>
      <c r="AK82" s="6"/>
      <c r="AL82" s="6"/>
      <c r="AM82" s="7"/>
      <c r="AN82" s="5"/>
      <c r="AO82" s="6">
        <f ca="1">(1-B$22)*B2*(1+B$5/SUM(B$2:B$4))*$H$29/1000*$H$39+B$22*B2*(1+B$5/SUM(B$2:B$4))*$G$33/1000*$H$39*1.5</f>
        <v>73981.464155585432</v>
      </c>
      <c r="AP82" s="6">
        <f ca="1">(1-C$22)*C2*(1+C$5/SUM(C$2:C$4))*2*$H$29/1000*$H$39+C$22*C2*(1+C$5/SUM(C$2:C$4))*2*$G$33/1000*$H$39*1.5</f>
        <v>99335.746490964142</v>
      </c>
      <c r="AQ82" s="7">
        <f ca="1">(1-D$22)*D2*(1+D$5/SUM(D$2:D$4))*3*$H$29/1000*$H$39+D$22*D2*(1+D$5/SUM(D$2:D$4))*3*$G$33/1000*$H$39*1.5</f>
        <v>80159.298785789841</v>
      </c>
    </row>
    <row r="83" spans="1:43" x14ac:dyDescent="0.25">
      <c r="D83" s="2"/>
      <c r="E83" s="3"/>
      <c r="F83" s="3" t="str">
        <f>Lang!$A$141</f>
        <v xml:space="preserve">Retained earnings </v>
      </c>
      <c r="H83" s="19">
        <f ca="1">H81+H82</f>
        <v>39646.667108767317</v>
      </c>
      <c r="I83" s="504">
        <f>'83'!L35</f>
        <v>-106809</v>
      </c>
      <c r="K83" s="20" t="str">
        <f>Lang!$A$160</f>
        <v>Share capital</v>
      </c>
      <c r="L83" s="20"/>
      <c r="M83" s="19">
        <f ca="1">'73'!R33+H41*1000</f>
        <v>4000000</v>
      </c>
      <c r="N83" s="504">
        <f>'83'!R33</f>
        <v>4000000</v>
      </c>
      <c r="Q83" s="3"/>
      <c r="R83" s="3"/>
      <c r="S83" s="504"/>
      <c r="AH83" s="1092"/>
      <c r="AI83" s="1093"/>
      <c r="AJ83" s="5"/>
      <c r="AK83" s="6"/>
      <c r="AL83" s="6"/>
      <c r="AM83" s="7"/>
      <c r="AN83" s="5"/>
      <c r="AO83" s="6">
        <f ca="1">(1-B$22)*B3*(1+B$5/SUM(B$2:B$4))*$H$29/1000*$H$39+B$22*B3*(1+B$5/SUM(B$2:B$4))*$G$33/1000*$H$39*1.5</f>
        <v>37494.86471258376</v>
      </c>
      <c r="AP83" s="6">
        <f ca="1">(1-C$22)*C3*(1+C$5/SUM(C$2:C$4))*2*$H$29/1000*$H$39+C$22*C3*(1+C$5/SUM(C$2:C$4))*2*$G$33/1000*$H$39*1.5</f>
        <v>45691.918970430779</v>
      </c>
      <c r="AQ83" s="7">
        <f ca="1">(1-D$22)*D3*(1+D$5/SUM(D$2:D$4))*3*$H$29/1000*$H$39+D$22*D3*(1+D$5/SUM(D$2:D$4))*3*$G$33/1000*$H$39*1.5</f>
        <v>36699.437998313413</v>
      </c>
    </row>
    <row r="84" spans="1:43" ht="13.8" thickBot="1" x14ac:dyDescent="0.3">
      <c r="D84" s="2"/>
      <c r="E84" s="3"/>
      <c r="H84" s="2"/>
      <c r="I84" s="3"/>
      <c r="K84" s="8" t="str">
        <f>Lang!$A$161</f>
        <v>Share premium account</v>
      </c>
      <c r="L84" s="2"/>
      <c r="M84" s="19">
        <f ca="1">IF('73'!R34+(H38-100)*H41*10&gt;0,'73'!R34+(H38-100)*H41*10,0)</f>
        <v>0</v>
      </c>
      <c r="N84" s="504">
        <f>'83'!R34</f>
        <v>0</v>
      </c>
      <c r="P84" s="8" t="str">
        <f>Lang!$A$140</f>
        <v>Balance</v>
      </c>
      <c r="R84" s="19">
        <f ca="1">(R56+R57-R58-R59)+(R63+R64-R65)+(R72+R69)-(R71+R70)+'73'!X31-R79</f>
        <v>-17395.133505576989</v>
      </c>
      <c r="S84" s="150"/>
      <c r="AH84" s="1094"/>
      <c r="AI84" s="1095"/>
      <c r="AJ84" s="9"/>
      <c r="AK84" s="10"/>
      <c r="AL84" s="10"/>
      <c r="AM84" s="11"/>
      <c r="AN84" s="9"/>
      <c r="AO84" s="10">
        <f ca="1">(1-B$22)*B4*(1+B$5/SUM(B$2:B$4))*$H$29/1000*$H$39+B$22*B4*(1+B$5/SUM(B$2:B$4))*$G$33/1000*$H$39*1.5</f>
        <v>58479.385635760897</v>
      </c>
      <c r="AP84" s="10">
        <f ca="1">(1-C$22)*C4*(1+C$5/SUM(C$2:C$4))*2*$H$29/1000*$H$39+C$22*C4*(1+C$5/SUM(C$2:C$4))*2*$G$33/1000*$H$39*1.5</f>
        <v>60459.749134907019</v>
      </c>
      <c r="AQ84" s="11">
        <f ca="1">(1-D$22)*D4*(1+D$5/SUM(D$2:D$4))*3*$H$29/1000*$H$39+D$22*D4*(1+D$5/SUM(D$2:D$4))*3*$G$33/1000*$H$39*1.5</f>
        <v>49061.353955640028</v>
      </c>
    </row>
    <row r="85" spans="1:43" ht="12.9" customHeight="1" x14ac:dyDescent="0.25">
      <c r="D85" s="2"/>
      <c r="E85" s="3"/>
      <c r="H85" s="2"/>
      <c r="I85" s="3"/>
      <c r="K85" s="20" t="str">
        <f>Lang!$A$141</f>
        <v xml:space="preserve">Retained earnings </v>
      </c>
      <c r="L85" s="20"/>
      <c r="M85" s="19">
        <f ca="1">H83</f>
        <v>39646.667108767317</v>
      </c>
      <c r="N85" s="504">
        <f>'83'!R35</f>
        <v>-106809</v>
      </c>
      <c r="P85" s="8" t="str">
        <f>Lang!$A$142</f>
        <v>Credit</v>
      </c>
      <c r="R85" s="19">
        <f ca="1">IF(R84&lt;0,-R84,)</f>
        <v>17395.133505576989</v>
      </c>
      <c r="S85" s="504"/>
      <c r="AH85" s="1082" t="str">
        <f>Lang!$A$298</f>
        <v>Assembly wages</v>
      </c>
      <c r="AI85" s="1083"/>
      <c r="AJ85" s="5"/>
      <c r="AK85" s="6"/>
      <c r="AL85" s="6"/>
      <c r="AM85" s="7"/>
      <c r="AN85" s="5"/>
      <c r="AO85" s="6"/>
      <c r="AP85" s="6"/>
      <c r="AQ85" s="7"/>
    </row>
    <row r="86" spans="1:43" ht="12.9" customHeight="1" x14ac:dyDescent="0.25">
      <c r="K86" s="20" t="str">
        <f>Lang!$A$143</f>
        <v>Total equity</v>
      </c>
      <c r="L86" s="20"/>
      <c r="M86" s="19">
        <f ca="1">M83+M84+M85</f>
        <v>4039646.6671087672</v>
      </c>
      <c r="N86" s="504">
        <f>'83'!R36</f>
        <v>3893191</v>
      </c>
      <c r="AH86" s="1084"/>
      <c r="AI86" s="1085"/>
      <c r="AJ86" s="5"/>
      <c r="AK86" s="6"/>
      <c r="AL86" s="6"/>
      <c r="AM86" s="7"/>
      <c r="AN86" s="5"/>
      <c r="AO86" s="6">
        <f t="shared" ref="AO86:AQ88" ca="1" si="13">$H$63/$H$15*B2*(1+B$5/SUM(B$2:B$4))*B$20/60</f>
        <v>34835.996266702408</v>
      </c>
      <c r="AP86" s="6">
        <f t="shared" ca="1" si="13"/>
        <v>33132.068658408403</v>
      </c>
      <c r="AQ86" s="7">
        <f t="shared" ca="1" si="13"/>
        <v>33950.837736245834</v>
      </c>
    </row>
    <row r="87" spans="1:43" ht="12.9" customHeight="1" x14ac:dyDescent="0.25">
      <c r="P87" s="150"/>
      <c r="AH87" s="1084"/>
      <c r="AI87" s="1085"/>
      <c r="AJ87" s="5"/>
      <c r="AK87" s="6"/>
      <c r="AL87" s="6"/>
      <c r="AM87" s="7"/>
      <c r="AN87" s="5"/>
      <c r="AO87" s="6">
        <f t="shared" ca="1" si="13"/>
        <v>17655.381412851733</v>
      </c>
      <c r="AP87" s="6">
        <f t="shared" ca="1" si="13"/>
        <v>15239.909598912131</v>
      </c>
      <c r="AQ87" s="7">
        <f t="shared" ca="1" si="13"/>
        <v>15543.757035871586</v>
      </c>
    </row>
    <row r="88" spans="1:43" ht="12.9" customHeight="1" thickBot="1" x14ac:dyDescent="0.3">
      <c r="S88" s="3"/>
      <c r="U88" s="2"/>
      <c r="AH88" s="1086"/>
      <c r="AI88" s="1087"/>
      <c r="AJ88" s="9"/>
      <c r="AK88" s="10"/>
      <c r="AL88" s="10"/>
      <c r="AM88" s="11"/>
      <c r="AN88" s="9"/>
      <c r="AO88" s="10">
        <f t="shared" ca="1" si="13"/>
        <v>27536.460422061187</v>
      </c>
      <c r="AP88" s="10">
        <f t="shared" ca="1" si="13"/>
        <v>20165.515739996987</v>
      </c>
      <c r="AQ88" s="11">
        <f t="shared" ca="1" si="13"/>
        <v>20779.548879533595</v>
      </c>
    </row>
    <row r="89" spans="1:43" ht="12.9" customHeight="1" x14ac:dyDescent="0.25">
      <c r="A89" s="95"/>
      <c r="E89" s="3"/>
      <c r="M89" s="3"/>
      <c r="Q89" s="25"/>
      <c r="R89" s="3"/>
      <c r="S89" s="3"/>
      <c r="U89" s="2"/>
      <c r="AH89" s="1082" t="str">
        <f>Lang!$A$299</f>
        <v>Machinists wages</v>
      </c>
      <c r="AI89" s="1083"/>
      <c r="AJ89" s="5">
        <f ca="1">IF($H$2=0,H62,0)</f>
        <v>0</v>
      </c>
      <c r="AK89" s="6"/>
      <c r="AL89" s="6"/>
      <c r="AM89" s="7"/>
      <c r="AN89" s="5"/>
      <c r="AO89" s="6"/>
      <c r="AP89" s="6"/>
      <c r="AQ89" s="7"/>
    </row>
    <row r="90" spans="1:43" ht="12.9" customHeight="1" x14ac:dyDescent="0.25">
      <c r="E90" s="3"/>
      <c r="M90" s="3"/>
      <c r="Q90" s="3"/>
      <c r="R90" s="3"/>
      <c r="S90" s="3"/>
      <c r="U90" s="2"/>
      <c r="AH90" s="1084"/>
      <c r="AI90" s="1085"/>
      <c r="AJ90" s="5"/>
      <c r="AK90" s="6"/>
      <c r="AL90" s="6"/>
      <c r="AM90" s="7"/>
      <c r="AN90" s="5"/>
      <c r="AO90" s="6">
        <f ca="1">IF($H$2=0,0,$H$62/$H$2*B2*(1+B$5/SUM(B$2:B$4))*60/60/$H$10)</f>
        <v>66160.736415686508</v>
      </c>
      <c r="AP90" s="6">
        <f ca="1">IF($H$2=0,0,$H$62/$H$2*C2*(1+C$5/SUM(C$2:C$4))*75/60/$H$10)</f>
        <v>55521.729456640802</v>
      </c>
      <c r="AQ90" s="7">
        <f ca="1">IF($H$2=0,0,$H$62/$H$2*D2*(1+D$5/SUM(D$2:D$4))*120/60/$H$10)</f>
        <v>46894.282138251547</v>
      </c>
    </row>
    <row r="91" spans="1:43" ht="12.9" customHeight="1" thickBot="1" x14ac:dyDescent="0.3">
      <c r="S91" s="3"/>
      <c r="AH91" s="1084"/>
      <c r="AI91" s="1085"/>
      <c r="AJ91" s="5"/>
      <c r="AK91" s="6"/>
      <c r="AL91" s="6"/>
      <c r="AM91" s="7"/>
      <c r="AN91" s="5"/>
      <c r="AO91" s="6">
        <f ca="1">IF($H$2=0,0,$H$62/$H$2*B3*(1+B$5/SUM(B$2:B$4))*60/60/$H$10)</f>
        <v>33531.207978989325</v>
      </c>
      <c r="AP91" s="6">
        <f ca="1">IF($H$2=0,0,$H$62/$H$2*C3*(1+C$5/SUM(C$2:C$4))*75/60/$H$10)</f>
        <v>25538.584578531092</v>
      </c>
      <c r="AQ91" s="7">
        <f ca="1">IF($H$2=0,0,$H$62/$H$2*D3*(1+D$5/SUM(D$2:D$4))*120/60/$H$10)</f>
        <v>21469.671340404326</v>
      </c>
    </row>
    <row r="92" spans="1:43" ht="12.9" customHeight="1" thickBot="1" x14ac:dyDescent="0.3">
      <c r="C92" s="1080" t="str">
        <f>Lang!$A$144</f>
        <v>Prices analysis</v>
      </c>
      <c r="D92" s="1081"/>
      <c r="E92" s="1081"/>
      <c r="F92" s="1081"/>
      <c r="G92" s="1081"/>
      <c r="H92" s="1081"/>
      <c r="I92" s="1081"/>
      <c r="J92" s="1081"/>
      <c r="K92" s="1081"/>
      <c r="L92" s="102">
        <v>0.01</v>
      </c>
      <c r="M92" s="3"/>
      <c r="Q92" s="3"/>
      <c r="R92" s="3"/>
      <c r="S92" s="2"/>
      <c r="AH92" s="1086"/>
      <c r="AI92" s="1087"/>
      <c r="AJ92" s="9"/>
      <c r="AK92" s="10"/>
      <c r="AL92" s="10"/>
      <c r="AM92" s="11"/>
      <c r="AN92" s="9"/>
      <c r="AO92" s="10">
        <f ca="1">IF($H$2=0,0,$H$62/$H$2*B4*(1+B$5/SUM(B$2:B$4))*60/60/$H$10)</f>
        <v>52297.413452944704</v>
      </c>
      <c r="AP92" s="10">
        <f ca="1">IF($H$2=0,0,$H$62/$H$2*C4*(1+C$5/SUM(C$2:C$4))*75/60/$H$10)</f>
        <v>33792.767992034234</v>
      </c>
      <c r="AQ92" s="11">
        <f ca="1">IF($H$2=0,0,$H$62/$H$2*D4*(1+D$5/SUM(D$2:D$4))*120/60/$H$10)</f>
        <v>28701.560634014204</v>
      </c>
    </row>
    <row r="93" spans="1:43" ht="12.9" customHeight="1" x14ac:dyDescent="0.25">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2" t="str">
        <f>Lang!$A$149</f>
        <v>Machine running costs</v>
      </c>
      <c r="AI93" s="1083"/>
      <c r="AJ93" s="5">
        <f>3500*H7+H11*12500</f>
        <v>42500</v>
      </c>
      <c r="AK93" s="6"/>
      <c r="AL93" s="6"/>
      <c r="AM93" s="7"/>
      <c r="AN93" s="5"/>
      <c r="AO93" s="6"/>
      <c r="AP93" s="6"/>
      <c r="AQ93" s="7"/>
    </row>
    <row r="94" spans="1:43" ht="12.9" customHeight="1" x14ac:dyDescent="0.25">
      <c r="C94" s="5">
        <v>272080.94052934228</v>
      </c>
      <c r="D94" s="56"/>
      <c r="E94" s="56"/>
      <c r="F94" s="56"/>
      <c r="G94" s="82"/>
      <c r="H94" s="56"/>
      <c r="I94" s="56"/>
      <c r="J94" s="56">
        <v>357</v>
      </c>
      <c r="K94" s="56">
        <v>564</v>
      </c>
      <c r="L94" s="57">
        <v>804</v>
      </c>
      <c r="M94" s="3"/>
      <c r="P94" s="2"/>
      <c r="R94" s="3"/>
      <c r="S94" s="2"/>
      <c r="AH94" s="1084"/>
      <c r="AI94" s="1085"/>
      <c r="AJ94" s="5"/>
      <c r="AK94" s="6"/>
      <c r="AL94" s="6"/>
      <c r="AM94" s="7"/>
      <c r="AN94" s="5"/>
      <c r="AO94" s="6">
        <f ca="1">B2*(1+B$5/SUM(B$2:B$4))*60/60/$H$10*8+B2*(1+B$5/SUM(B$2:B$4))</f>
        <v>11570.965531318468</v>
      </c>
      <c r="AP94" s="6">
        <f ca="1">C2*(1+C$5/SUM(C$2:C$4))*75/60/$H$10*8+C2*(1+C$5/SUM(C$2:C$4))</f>
        <v>9507.6735674733391</v>
      </c>
      <c r="AQ94" s="7">
        <f ca="1">D2*(1+D$5/SUM(D$2:D$4))*120/60/$H$10*8+D2*(1+D$5/SUM(D$2:D$4))</f>
        <v>7773.589134970639</v>
      </c>
    </row>
    <row r="95" spans="1:43" ht="12.9" customHeight="1" x14ac:dyDescent="0.25">
      <c r="A95" s="25"/>
      <c r="C95" s="644">
        <v>281042.91827344161</v>
      </c>
      <c r="D95" s="82"/>
      <c r="E95" s="56"/>
      <c r="F95" s="56"/>
      <c r="G95" s="82"/>
      <c r="H95" s="56"/>
      <c r="I95" s="56"/>
      <c r="J95" s="56">
        <v>361</v>
      </c>
      <c r="K95" s="56">
        <v>570</v>
      </c>
      <c r="L95" s="57">
        <v>812</v>
      </c>
      <c r="M95" s="3"/>
      <c r="P95" s="2"/>
      <c r="R95" s="3"/>
      <c r="S95" s="2"/>
      <c r="AH95" s="1084"/>
      <c r="AI95" s="1085"/>
      <c r="AJ95" s="5"/>
      <c r="AK95" s="6"/>
      <c r="AL95" s="6"/>
      <c r="AM95" s="7"/>
      <c r="AN95" s="5"/>
      <c r="AO95" s="6">
        <f ca="1">B3*(1+B$5/SUM(B$2:B$4))*60/60/$H$10*8+B3*(1+B$5/SUM(B$2:B$4))</f>
        <v>5864.3309123803147</v>
      </c>
      <c r="AP95" s="6">
        <f ca="1">C3*(1+C$5/SUM(C$2:C$4))*75/60/$H$10*8+C3*(1+C$5/SUM(C$2:C$4))</f>
        <v>4373.2882229038732</v>
      </c>
      <c r="AQ95" s="7">
        <f ca="1">D3*(1+D$5/SUM(D$2:D$4))*120/60/$H$10*8+D3*(1+D$5/SUM(D$2:D$4))</f>
        <v>3558.9926160106543</v>
      </c>
    </row>
    <row r="96" spans="1:43" ht="12.9" customHeight="1" thickBot="1" x14ac:dyDescent="0.3">
      <c r="C96" s="644">
        <v>290155.80216778792</v>
      </c>
      <c r="D96" s="82"/>
      <c r="E96" s="56"/>
      <c r="F96" s="56"/>
      <c r="G96" s="82"/>
      <c r="H96" s="56"/>
      <c r="I96" s="56"/>
      <c r="J96" s="56">
        <v>365</v>
      </c>
      <c r="K96" s="56">
        <v>576</v>
      </c>
      <c r="L96" s="57">
        <v>821</v>
      </c>
      <c r="M96" s="3"/>
      <c r="P96" s="2"/>
      <c r="AH96" s="1086"/>
      <c r="AI96" s="1087"/>
      <c r="AJ96" s="9"/>
      <c r="AK96" s="10"/>
      <c r="AL96" s="10"/>
      <c r="AM96" s="11"/>
      <c r="AN96" s="9"/>
      <c r="AO96" s="10">
        <f ca="1">B4*(1+B$5/SUM(B$2:B$4))*60/60/$H$10*8+B4*(1+B$5/SUM(B$2:B$4))</f>
        <v>9146.3850196452604</v>
      </c>
      <c r="AP96" s="10">
        <f ca="1">C4*(1+C$5/SUM(C$2:C$4))*75/60/$H$10*8+C4*(1+C$5/SUM(C$2:C$4))</f>
        <v>5786.7543059971149</v>
      </c>
      <c r="AQ96" s="11">
        <f ca="1">D4*(1+D$5/SUM(D$2:D$4))*120/60/$H$10*8+D4*(1+D$5/SUM(D$2:D$4))</f>
        <v>4757.8111814037165</v>
      </c>
    </row>
    <row r="97" spans="1:43" ht="12.9" customHeight="1" x14ac:dyDescent="0.25">
      <c r="C97" s="644">
        <v>298764.06580848678</v>
      </c>
      <c r="D97" s="82"/>
      <c r="E97" s="56"/>
      <c r="F97" s="56"/>
      <c r="G97" s="82"/>
      <c r="H97" s="56"/>
      <c r="I97" s="56"/>
      <c r="J97" s="56">
        <v>369</v>
      </c>
      <c r="K97" s="56">
        <v>582</v>
      </c>
      <c r="L97" s="57">
        <v>829</v>
      </c>
      <c r="M97" s="3"/>
      <c r="P97" s="2"/>
      <c r="AH97" s="1082" t="str">
        <f>Lang!$A$150</f>
        <v>Quality control</v>
      </c>
      <c r="AI97" s="1083"/>
      <c r="AJ97" s="5">
        <f ca="1">H64</f>
        <v>5335.4181901007687</v>
      </c>
      <c r="AK97" s="6"/>
      <c r="AL97" s="6"/>
      <c r="AM97" s="7"/>
      <c r="AN97" s="5"/>
      <c r="AO97" s="6"/>
      <c r="AP97" s="6"/>
      <c r="AQ97" s="7"/>
    </row>
    <row r="98" spans="1:43" ht="12.9" customHeight="1" x14ac:dyDescent="0.25">
      <c r="C98" s="644">
        <v>306718.65563691978</v>
      </c>
      <c r="D98" s="82"/>
      <c r="E98" s="82"/>
      <c r="F98" s="82"/>
      <c r="G98" s="82"/>
      <c r="H98" s="56"/>
      <c r="I98" s="56"/>
      <c r="J98" s="56">
        <v>372</v>
      </c>
      <c r="K98" s="56">
        <v>588</v>
      </c>
      <c r="L98" s="57">
        <v>838</v>
      </c>
      <c r="M98" s="3"/>
      <c r="P98" s="2"/>
      <c r="AH98" s="1084"/>
      <c r="AI98" s="1085"/>
      <c r="AJ98" s="5"/>
      <c r="AK98" s="6"/>
      <c r="AL98" s="6"/>
      <c r="AM98" s="7"/>
      <c r="AN98" s="5"/>
      <c r="AO98" s="6"/>
      <c r="AP98" s="6"/>
      <c r="AQ98" s="7"/>
    </row>
    <row r="99" spans="1:43" ht="12.9" customHeight="1" x14ac:dyDescent="0.25">
      <c r="A99" s="25"/>
      <c r="C99" s="644">
        <v>315007.38700196345</v>
      </c>
      <c r="D99" s="82"/>
      <c r="E99" s="56"/>
      <c r="F99" s="56"/>
      <c r="G99" s="56"/>
      <c r="H99" s="82"/>
      <c r="I99" s="56"/>
      <c r="J99" s="56">
        <v>376</v>
      </c>
      <c r="K99" s="56">
        <v>594</v>
      </c>
      <c r="L99" s="57">
        <v>846</v>
      </c>
      <c r="M99" s="3"/>
      <c r="P99" s="2"/>
      <c r="AH99" s="1084"/>
      <c r="AI99" s="1085"/>
      <c r="AJ99" s="5"/>
      <c r="AK99" s="6"/>
      <c r="AL99" s="6"/>
      <c r="AM99" s="7"/>
      <c r="AN99" s="5"/>
      <c r="AO99" s="6"/>
      <c r="AP99" s="6"/>
      <c r="AQ99" s="7"/>
    </row>
    <row r="100" spans="1:43" ht="12.9" customHeight="1" thickBot="1" x14ac:dyDescent="0.3">
      <c r="C100" s="646">
        <v>323460.93928741489</v>
      </c>
      <c r="D100" s="83"/>
      <c r="E100" s="83"/>
      <c r="F100" s="83"/>
      <c r="G100" s="83"/>
      <c r="H100" s="83"/>
      <c r="I100" s="83"/>
      <c r="J100" s="83">
        <v>380</v>
      </c>
      <c r="K100" s="83">
        <v>600</v>
      </c>
      <c r="L100" s="84">
        <v>855</v>
      </c>
      <c r="M100" s="3"/>
      <c r="P100" s="2"/>
      <c r="R100" s="685"/>
      <c r="AH100" s="1086"/>
      <c r="AI100" s="1087"/>
      <c r="AJ100" s="9"/>
      <c r="AK100" s="10"/>
      <c r="AL100" s="10"/>
      <c r="AM100" s="11"/>
      <c r="AN100" s="9"/>
      <c r="AO100" s="10"/>
      <c r="AP100" s="10"/>
      <c r="AQ100" s="11"/>
    </row>
    <row r="101" spans="1:43" ht="12.9" customHeight="1" x14ac:dyDescent="0.25">
      <c r="C101" s="644">
        <v>331755.86980009254</v>
      </c>
      <c r="D101" s="82"/>
      <c r="E101" s="82"/>
      <c r="F101" s="82"/>
      <c r="G101" s="82"/>
      <c r="H101" s="82"/>
      <c r="I101" s="82"/>
      <c r="J101" s="82">
        <v>384</v>
      </c>
      <c r="K101" s="82">
        <v>606</v>
      </c>
      <c r="L101" s="85">
        <v>864</v>
      </c>
      <c r="M101" s="3"/>
      <c r="P101" s="2"/>
      <c r="AH101" s="1082" t="str">
        <f>Lang!$A$151</f>
        <v>Depreciation</v>
      </c>
      <c r="AI101" s="1083"/>
      <c r="AJ101" s="5">
        <f>H71</f>
        <v>32579.65</v>
      </c>
      <c r="AK101" s="6"/>
      <c r="AL101" s="6"/>
      <c r="AM101" s="7"/>
      <c r="AN101" s="5"/>
      <c r="AO101" s="6"/>
      <c r="AP101" s="6"/>
      <c r="AQ101" s="7"/>
    </row>
    <row r="102" spans="1:43" ht="12.9" customHeight="1" x14ac:dyDescent="0.25">
      <c r="C102" s="644">
        <v>339586.80179976393</v>
      </c>
      <c r="D102" s="82"/>
      <c r="E102" s="56"/>
      <c r="F102" s="56"/>
      <c r="G102" s="56"/>
      <c r="H102" s="82"/>
      <c r="I102" s="56"/>
      <c r="J102" s="56">
        <v>388</v>
      </c>
      <c r="K102" s="56">
        <v>612</v>
      </c>
      <c r="L102" s="57">
        <v>872</v>
      </c>
      <c r="M102" s="3"/>
      <c r="AH102" s="1084"/>
      <c r="AI102" s="1085"/>
      <c r="AJ102" s="5"/>
      <c r="AK102" s="6"/>
      <c r="AL102" s="6"/>
      <c r="AM102" s="7"/>
      <c r="AN102" s="5"/>
      <c r="AO102" s="6"/>
      <c r="AP102" s="6"/>
      <c r="AQ102" s="7"/>
    </row>
    <row r="103" spans="1:43" ht="12.9" customHeight="1" x14ac:dyDescent="0.25">
      <c r="B103" s="8"/>
      <c r="C103" s="644">
        <v>346854.96431452315</v>
      </c>
      <c r="D103" s="82"/>
      <c r="E103" s="82"/>
      <c r="F103" s="82"/>
      <c r="G103" s="82"/>
      <c r="H103" s="82"/>
      <c r="I103" s="82"/>
      <c r="J103" s="82">
        <v>391</v>
      </c>
      <c r="K103" s="82">
        <v>618</v>
      </c>
      <c r="L103" s="85">
        <v>881</v>
      </c>
      <c r="M103" s="3"/>
      <c r="AH103" s="1084"/>
      <c r="AI103" s="1085"/>
      <c r="AJ103" s="5"/>
      <c r="AK103" s="6"/>
      <c r="AL103" s="6"/>
      <c r="AM103" s="7"/>
      <c r="AN103" s="5"/>
      <c r="AO103" s="6"/>
      <c r="AP103" s="6"/>
      <c r="AQ103" s="7"/>
    </row>
    <row r="104" spans="1:43" ht="12.9" customHeight="1" thickBot="1" x14ac:dyDescent="0.3">
      <c r="C104" s="644">
        <v>354416.09029354411</v>
      </c>
      <c r="D104" s="82"/>
      <c r="E104" s="82"/>
      <c r="F104" s="82"/>
      <c r="G104" s="82"/>
      <c r="H104" s="82"/>
      <c r="I104" s="82"/>
      <c r="J104" s="82">
        <v>395</v>
      </c>
      <c r="K104" s="82">
        <v>624</v>
      </c>
      <c r="L104" s="85">
        <v>889</v>
      </c>
      <c r="M104" s="3"/>
      <c r="AH104" s="1086"/>
      <c r="AI104" s="1087"/>
      <c r="AJ104" s="9"/>
      <c r="AK104" s="10"/>
      <c r="AL104" s="10"/>
      <c r="AM104" s="11"/>
      <c r="AN104" s="9"/>
      <c r="AO104" s="10"/>
      <c r="AP104" s="10"/>
      <c r="AQ104" s="11"/>
    </row>
    <row r="105" spans="1:43" ht="12.9" customHeight="1" x14ac:dyDescent="0.25">
      <c r="C105" s="644">
        <v>362137.68194892199</v>
      </c>
      <c r="D105" s="82"/>
      <c r="E105" s="56"/>
      <c r="F105" s="56"/>
      <c r="G105" s="56"/>
      <c r="H105" s="56"/>
      <c r="I105" s="56"/>
      <c r="J105" s="56">
        <v>399</v>
      </c>
      <c r="K105" s="56">
        <v>630</v>
      </c>
      <c r="L105" s="57">
        <v>898</v>
      </c>
      <c r="M105" s="3"/>
      <c r="Q105" s="25"/>
      <c r="R105" s="3"/>
      <c r="S105" s="2"/>
    </row>
    <row r="106" spans="1:43" ht="12.9" customHeight="1" thickBot="1" x14ac:dyDescent="0.3">
      <c r="A106" s="150"/>
      <c r="C106" s="648">
        <v>369428.66392656532</v>
      </c>
      <c r="D106" s="152"/>
      <c r="E106" s="59"/>
      <c r="F106" s="59"/>
      <c r="G106" s="59"/>
      <c r="H106" s="59"/>
      <c r="I106" s="59"/>
      <c r="J106" s="59">
        <v>403</v>
      </c>
      <c r="K106" s="59">
        <v>636</v>
      </c>
      <c r="L106" s="60">
        <v>906</v>
      </c>
      <c r="M106" s="3"/>
      <c r="Q106" s="23"/>
      <c r="R106" s="3"/>
      <c r="S106" s="2"/>
    </row>
    <row r="107" spans="1:43" ht="12.9" customHeight="1" thickBot="1" x14ac:dyDescent="0.3">
      <c r="C107" s="2"/>
      <c r="D107" s="8"/>
      <c r="E107" s="3"/>
      <c r="I107" s="3"/>
      <c r="M107" s="3"/>
      <c r="Q107" s="3"/>
      <c r="R107" s="3"/>
      <c r="S107" s="3"/>
    </row>
    <row r="108" spans="1:43" ht="12.9" customHeight="1" x14ac:dyDescent="0.25">
      <c r="C108" s="1080" t="str">
        <f>Lang!$A$152</f>
        <v>Advertising analysis</v>
      </c>
      <c r="D108" s="1081"/>
      <c r="E108" s="1081"/>
      <c r="F108" s="1081"/>
      <c r="G108" s="1081"/>
      <c r="H108" s="1081"/>
      <c r="I108" s="1081"/>
      <c r="J108" s="1081"/>
      <c r="K108" s="1081"/>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285115.95965215337</v>
      </c>
      <c r="D110" s="56"/>
      <c r="E110" s="56"/>
      <c r="F110" s="56"/>
      <c r="G110" s="82"/>
      <c r="H110" s="56"/>
      <c r="I110" s="56"/>
      <c r="J110" s="56">
        <v>14</v>
      </c>
      <c r="K110" s="56">
        <v>12</v>
      </c>
      <c r="L110" s="57">
        <v>10</v>
      </c>
      <c r="M110" s="3"/>
      <c r="Q110" s="3"/>
      <c r="R110" s="3"/>
      <c r="S110" s="3"/>
    </row>
    <row r="111" spans="1:43" ht="12.9" customHeight="1" x14ac:dyDescent="0.25">
      <c r="C111" s="644">
        <v>283137.04524707206</v>
      </c>
      <c r="D111" s="82"/>
      <c r="E111" s="56"/>
      <c r="F111" s="56"/>
      <c r="G111" s="82"/>
      <c r="H111" s="56"/>
      <c r="I111" s="56"/>
      <c r="J111" s="56">
        <v>17</v>
      </c>
      <c r="K111" s="56">
        <v>15</v>
      </c>
      <c r="L111" s="57">
        <v>12</v>
      </c>
      <c r="M111" s="3"/>
      <c r="Q111" s="3"/>
      <c r="R111" s="3"/>
      <c r="S111" s="3"/>
    </row>
    <row r="112" spans="1:43" ht="12.9" customHeight="1" x14ac:dyDescent="0.25">
      <c r="C112" s="644">
        <v>280853.43955240963</v>
      </c>
      <c r="D112" s="82"/>
      <c r="E112" s="56"/>
      <c r="F112" s="56"/>
      <c r="G112" s="82"/>
      <c r="H112" s="56"/>
      <c r="I112" s="56"/>
      <c r="J112" s="56">
        <v>20</v>
      </c>
      <c r="K112" s="56">
        <v>18</v>
      </c>
      <c r="L112" s="57">
        <v>15</v>
      </c>
      <c r="M112" s="3"/>
      <c r="Q112" s="3"/>
      <c r="R112" s="3"/>
      <c r="S112" s="3"/>
    </row>
    <row r="113" spans="1:19" ht="12.9" customHeight="1" x14ac:dyDescent="0.25">
      <c r="C113" s="644">
        <v>278348.24270770792</v>
      </c>
      <c r="D113" s="82"/>
      <c r="E113" s="56"/>
      <c r="F113" s="56"/>
      <c r="G113" s="82"/>
      <c r="H113" s="56"/>
      <c r="I113" s="56"/>
      <c r="J113" s="56">
        <v>24</v>
      </c>
      <c r="K113" s="56">
        <v>21</v>
      </c>
      <c r="L113" s="57">
        <v>18</v>
      </c>
      <c r="M113" s="3"/>
      <c r="Q113" s="3"/>
      <c r="R113" s="3"/>
      <c r="S113" s="3"/>
    </row>
    <row r="114" spans="1:19" ht="12.9" customHeight="1" x14ac:dyDescent="0.25">
      <c r="C114" s="644">
        <v>276365.12830262649</v>
      </c>
      <c r="D114" s="82"/>
      <c r="E114" s="82"/>
      <c r="F114" s="82"/>
      <c r="G114" s="82"/>
      <c r="H114" s="56"/>
      <c r="I114" s="56"/>
      <c r="J114" s="56">
        <v>27</v>
      </c>
      <c r="K114" s="56">
        <v>24</v>
      </c>
      <c r="L114" s="57">
        <v>20</v>
      </c>
      <c r="M114" s="3"/>
      <c r="Q114" s="3"/>
      <c r="R114" s="3"/>
      <c r="S114" s="3"/>
    </row>
    <row r="115" spans="1:19" ht="12.9" customHeight="1" x14ac:dyDescent="0.25">
      <c r="C115" s="644">
        <v>274164.6227475045</v>
      </c>
      <c r="D115" s="82"/>
      <c r="E115" s="56"/>
      <c r="F115" s="56"/>
      <c r="G115" s="56"/>
      <c r="H115" s="82"/>
      <c r="I115" s="56"/>
      <c r="J115" s="56">
        <v>31</v>
      </c>
      <c r="K115" s="56">
        <v>27</v>
      </c>
      <c r="L115" s="57">
        <v>22</v>
      </c>
      <c r="M115" s="3"/>
      <c r="Q115" s="3"/>
      <c r="R115" s="3"/>
      <c r="S115" s="3"/>
    </row>
    <row r="116" spans="1:19" ht="12.9" customHeight="1" x14ac:dyDescent="0.25">
      <c r="C116" s="646">
        <v>271878.91705284314</v>
      </c>
      <c r="D116" s="83"/>
      <c r="E116" s="83"/>
      <c r="F116" s="83"/>
      <c r="G116" s="83"/>
      <c r="H116" s="83"/>
      <c r="I116" s="83"/>
      <c r="J116" s="83">
        <v>34</v>
      </c>
      <c r="K116" s="83">
        <v>30</v>
      </c>
      <c r="L116" s="84">
        <v>25</v>
      </c>
      <c r="M116" s="3"/>
      <c r="Q116" s="3"/>
      <c r="R116" s="3"/>
      <c r="S116" s="3"/>
    </row>
    <row r="117" spans="1:19" ht="12.9" customHeight="1" x14ac:dyDescent="0.25">
      <c r="A117" s="2"/>
      <c r="B117" s="2"/>
      <c r="C117" s="644">
        <v>269593.21135818132</v>
      </c>
      <c r="D117" s="82"/>
      <c r="E117" s="82"/>
      <c r="F117" s="82"/>
      <c r="G117" s="82"/>
      <c r="H117" s="82"/>
      <c r="I117" s="82"/>
      <c r="J117" s="82">
        <v>37</v>
      </c>
      <c r="K117" s="82">
        <v>33</v>
      </c>
      <c r="L117" s="85">
        <v>28</v>
      </c>
      <c r="M117" s="3"/>
      <c r="Q117" s="3"/>
      <c r="R117" s="3"/>
      <c r="S117" s="3"/>
    </row>
    <row r="118" spans="1:19" ht="12.9" customHeight="1" x14ac:dyDescent="0.25">
      <c r="C118" s="644">
        <v>267392.70580305869</v>
      </c>
      <c r="D118" s="82"/>
      <c r="E118" s="56"/>
      <c r="F118" s="56"/>
      <c r="G118" s="56"/>
      <c r="H118" s="82"/>
      <c r="I118" s="56"/>
      <c r="J118" s="56">
        <v>41</v>
      </c>
      <c r="K118" s="56">
        <v>36</v>
      </c>
      <c r="L118" s="57">
        <v>30</v>
      </c>
      <c r="M118" s="3"/>
      <c r="Q118" s="3"/>
      <c r="R118" s="3"/>
      <c r="S118" s="3"/>
    </row>
    <row r="119" spans="1:19" ht="12.9" customHeight="1" x14ac:dyDescent="0.25">
      <c r="C119" s="644">
        <v>265411.69139797823</v>
      </c>
      <c r="D119" s="82"/>
      <c r="E119" s="82"/>
      <c r="F119" s="82"/>
      <c r="G119" s="82"/>
      <c r="H119" s="82"/>
      <c r="I119" s="82"/>
      <c r="J119" s="82">
        <v>44</v>
      </c>
      <c r="K119" s="82">
        <v>39</v>
      </c>
      <c r="L119" s="85">
        <v>32</v>
      </c>
      <c r="M119" s="3"/>
      <c r="Q119" s="3"/>
      <c r="R119" s="3"/>
      <c r="S119" s="3"/>
    </row>
    <row r="120" spans="1:19" ht="12.9" customHeight="1" x14ac:dyDescent="0.25">
      <c r="C120" s="644">
        <v>262904.39455327619</v>
      </c>
      <c r="D120" s="82"/>
      <c r="E120" s="82"/>
      <c r="F120" s="82"/>
      <c r="G120" s="82"/>
      <c r="H120" s="82"/>
      <c r="I120" s="82"/>
      <c r="J120" s="82">
        <v>48</v>
      </c>
      <c r="K120" s="82">
        <v>42</v>
      </c>
      <c r="L120" s="85">
        <v>35</v>
      </c>
      <c r="M120" s="3"/>
      <c r="Q120" s="3"/>
      <c r="R120" s="3"/>
      <c r="S120" s="3"/>
    </row>
    <row r="121" spans="1:19" ht="12.9" customHeight="1" x14ac:dyDescent="0.25">
      <c r="C121" s="644">
        <v>260620.78885861457</v>
      </c>
      <c r="D121" s="82"/>
      <c r="E121" s="56"/>
      <c r="F121" s="56"/>
      <c r="G121" s="56"/>
      <c r="H121" s="56"/>
      <c r="I121" s="56"/>
      <c r="J121" s="56">
        <v>51</v>
      </c>
      <c r="K121" s="56">
        <v>45</v>
      </c>
      <c r="L121" s="57">
        <v>38</v>
      </c>
      <c r="M121" s="3"/>
      <c r="Q121" s="3"/>
      <c r="R121" s="3"/>
      <c r="S121" s="3"/>
    </row>
    <row r="122" spans="1:19" ht="12.9" customHeight="1" thickBot="1" x14ac:dyDescent="0.3">
      <c r="C122" s="648">
        <v>258637.67445353244</v>
      </c>
      <c r="D122" s="152"/>
      <c r="E122" s="59"/>
      <c r="F122" s="59"/>
      <c r="G122" s="59"/>
      <c r="H122" s="59"/>
      <c r="I122" s="59"/>
      <c r="J122" s="59">
        <v>54</v>
      </c>
      <c r="K122" s="59">
        <v>48</v>
      </c>
      <c r="L122" s="60">
        <v>40</v>
      </c>
      <c r="M122" s="3"/>
      <c r="Q122" s="3"/>
      <c r="R122" s="3"/>
      <c r="S122" s="3"/>
    </row>
    <row r="123" spans="1:19" ht="12.9" customHeight="1" thickBot="1" x14ac:dyDescent="0.3">
      <c r="E123" s="3"/>
      <c r="I123" s="3"/>
      <c r="M123" s="3"/>
      <c r="Q123" s="3"/>
      <c r="R123" s="3"/>
      <c r="S123" s="3"/>
    </row>
    <row r="124" spans="1:19" ht="12.9" customHeight="1" x14ac:dyDescent="0.25">
      <c r="C124" s="1080" t="str">
        <f>Lang!$A$45</f>
        <v>Premium materials</v>
      </c>
      <c r="D124" s="1081"/>
      <c r="E124" s="1081"/>
      <c r="F124" s="102">
        <v>0.05</v>
      </c>
      <c r="I124" s="3"/>
      <c r="J124" s="2"/>
      <c r="M124" s="3"/>
      <c r="Q124" s="3"/>
      <c r="R124" s="3"/>
      <c r="S124" s="3"/>
    </row>
    <row r="125" spans="1:19" ht="12.9" customHeight="1" x14ac:dyDescent="0.25">
      <c r="C125" s="872" t="str">
        <f>Lang!$A$145</f>
        <v>Profit</v>
      </c>
      <c r="D125" s="873">
        <v>1</v>
      </c>
      <c r="E125" s="873">
        <v>2</v>
      </c>
      <c r="F125" s="874">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2:19" ht="12.9" customHeight="1" x14ac:dyDescent="0.25">
      <c r="C129" s="644"/>
      <c r="D129" s="129"/>
      <c r="E129" s="63"/>
      <c r="F129" s="64"/>
      <c r="I129" s="3"/>
      <c r="J129" s="2"/>
      <c r="M129" s="3"/>
      <c r="Q129" s="3"/>
      <c r="R129" s="3"/>
      <c r="S129" s="3"/>
    </row>
    <row r="130" spans="2:19" ht="12.9" customHeight="1" x14ac:dyDescent="0.25">
      <c r="C130" s="644"/>
      <c r="D130" s="129"/>
      <c r="E130" s="129"/>
      <c r="F130" s="131"/>
      <c r="I130" s="3"/>
      <c r="J130" s="2"/>
      <c r="M130" s="3"/>
      <c r="Q130" s="3"/>
      <c r="R130" s="3"/>
      <c r="S130" s="3"/>
    </row>
    <row r="131" spans="2:19" ht="12.9" customHeight="1" x14ac:dyDescent="0.25">
      <c r="C131" s="644"/>
      <c r="D131" s="129"/>
      <c r="E131" s="63"/>
      <c r="F131" s="64"/>
      <c r="I131" s="3"/>
      <c r="J131" s="2"/>
      <c r="M131" s="3"/>
      <c r="Q131" s="3"/>
      <c r="R131" s="3"/>
      <c r="S131" s="3"/>
    </row>
    <row r="132" spans="2:19" ht="12.9" customHeight="1" x14ac:dyDescent="0.25">
      <c r="C132" s="646"/>
      <c r="D132" s="130"/>
      <c r="E132" s="130"/>
      <c r="F132" s="132"/>
      <c r="I132" s="3"/>
      <c r="J132" s="2"/>
      <c r="M132" s="3"/>
      <c r="Q132" s="3"/>
      <c r="R132" s="3"/>
      <c r="S132" s="3"/>
    </row>
    <row r="133" spans="2:19" ht="12.9" customHeight="1" x14ac:dyDescent="0.25">
      <c r="C133" s="644"/>
      <c r="D133" s="129"/>
      <c r="E133" s="129"/>
      <c r="F133" s="131"/>
      <c r="I133" s="3"/>
      <c r="J133" s="2"/>
      <c r="M133" s="3"/>
      <c r="Q133" s="3"/>
      <c r="R133" s="3"/>
      <c r="S133" s="3"/>
    </row>
    <row r="134" spans="2:19" ht="12.9" customHeight="1" x14ac:dyDescent="0.25">
      <c r="C134" s="644"/>
      <c r="D134" s="129"/>
      <c r="E134" s="63"/>
      <c r="F134" s="64"/>
      <c r="I134" s="3"/>
      <c r="J134" s="2"/>
      <c r="M134" s="3"/>
      <c r="Q134" s="3"/>
      <c r="R134" s="3"/>
      <c r="S134" s="3"/>
    </row>
    <row r="135" spans="2:19" ht="12.9" customHeight="1" x14ac:dyDescent="0.25">
      <c r="C135" s="644"/>
      <c r="D135" s="129"/>
      <c r="E135" s="129"/>
      <c r="F135" s="131"/>
      <c r="I135" s="3"/>
      <c r="J135" s="2"/>
      <c r="M135" s="3"/>
      <c r="Q135" s="3"/>
      <c r="R135" s="3"/>
      <c r="S135" s="3"/>
    </row>
    <row r="136" spans="2:19" ht="12.9" customHeight="1" x14ac:dyDescent="0.25">
      <c r="C136" s="644"/>
      <c r="D136" s="129"/>
      <c r="E136" s="129"/>
      <c r="F136" s="131"/>
      <c r="I136" s="3"/>
      <c r="J136" s="2"/>
      <c r="M136" s="3"/>
      <c r="Q136" s="3"/>
      <c r="R136" s="3"/>
      <c r="S136" s="3"/>
    </row>
    <row r="137" spans="2:19" ht="12.9" customHeight="1" x14ac:dyDescent="0.25">
      <c r="C137" s="644"/>
      <c r="D137" s="129"/>
      <c r="E137" s="63"/>
      <c r="F137" s="64"/>
      <c r="I137" s="3"/>
      <c r="J137" s="2"/>
      <c r="M137" s="3"/>
      <c r="Q137" s="3"/>
      <c r="R137" s="3"/>
      <c r="S137" s="3"/>
    </row>
    <row r="138" spans="2:19" ht="12.9" customHeight="1" thickBot="1" x14ac:dyDescent="0.3">
      <c r="C138" s="648"/>
      <c r="D138" s="604"/>
      <c r="E138" s="65"/>
      <c r="F138" s="66"/>
      <c r="I138" s="3"/>
      <c r="J138" s="2"/>
      <c r="M138" s="3"/>
      <c r="Q138" s="3"/>
      <c r="R138" s="3"/>
      <c r="S138" s="3"/>
    </row>
    <row r="139" spans="2:19" x14ac:dyDescent="0.25">
      <c r="B139" s="2"/>
      <c r="E139" s="3"/>
      <c r="F139" s="2"/>
      <c r="I139" s="3"/>
      <c r="J139" s="2"/>
      <c r="K139" s="2"/>
      <c r="L139" s="8"/>
      <c r="M139" s="3"/>
      <c r="Q139" s="3"/>
      <c r="R139" s="3"/>
      <c r="S139" s="3"/>
    </row>
    <row r="140" spans="2:19" x14ac:dyDescent="0.25">
      <c r="B140" s="2"/>
      <c r="E140" s="3"/>
      <c r="F140" s="2"/>
      <c r="I140" s="3"/>
      <c r="J140" s="2"/>
      <c r="K140" s="2"/>
      <c r="L140" s="8"/>
      <c r="M140" s="3"/>
      <c r="Q140" s="3"/>
      <c r="R140" s="3"/>
      <c r="S140" s="3"/>
    </row>
    <row r="141" spans="2:19" x14ac:dyDescent="0.25">
      <c r="B141" s="2"/>
      <c r="E141" s="3"/>
      <c r="F141" s="2"/>
      <c r="I141" s="3"/>
      <c r="J141" s="2"/>
      <c r="K141" s="2"/>
      <c r="L141" s="8"/>
      <c r="M141" s="3"/>
      <c r="Q141" s="3"/>
      <c r="R141" s="3"/>
      <c r="S141" s="3"/>
    </row>
    <row r="142" spans="2:19" x14ac:dyDescent="0.25">
      <c r="B142" s="2"/>
      <c r="E142" s="3"/>
      <c r="F142" s="2"/>
      <c r="I142" s="3"/>
      <c r="J142" s="2"/>
      <c r="K142" s="2"/>
      <c r="L142" s="8"/>
      <c r="M142" s="3"/>
      <c r="Q142" s="3"/>
      <c r="R142" s="3"/>
      <c r="S142" s="3"/>
    </row>
    <row r="143" spans="2:19" x14ac:dyDescent="0.25">
      <c r="B143" s="2"/>
      <c r="E143" s="3"/>
      <c r="F143" s="2"/>
      <c r="I143" s="3"/>
      <c r="J143" s="2"/>
      <c r="K143" s="2"/>
      <c r="L143" s="8"/>
      <c r="M143" s="3"/>
      <c r="Q143" s="3"/>
      <c r="R143" s="3"/>
      <c r="S143" s="3"/>
    </row>
    <row r="144" spans="2:19" x14ac:dyDescent="0.25">
      <c r="B144" s="2"/>
      <c r="E144" s="3"/>
      <c r="F144" s="2"/>
      <c r="I144" s="3"/>
      <c r="J144" s="2"/>
      <c r="K144" s="2"/>
      <c r="L144" s="8"/>
      <c r="M144" s="3"/>
      <c r="Q144" s="3"/>
      <c r="R144" s="3"/>
      <c r="S144" s="3"/>
    </row>
    <row r="145" spans="2:19" x14ac:dyDescent="0.25">
      <c r="B145" s="2"/>
      <c r="E145" s="3"/>
      <c r="F145" s="2"/>
      <c r="I145" s="3"/>
      <c r="J145" s="2"/>
      <c r="K145" s="2"/>
      <c r="L145" s="8"/>
      <c r="M145" s="3"/>
      <c r="Q145" s="3"/>
      <c r="R145" s="3"/>
      <c r="S145" s="3"/>
    </row>
    <row r="146" spans="2:19" x14ac:dyDescent="0.25">
      <c r="B146" s="2"/>
      <c r="E146" s="3"/>
      <c r="F146" s="2"/>
      <c r="I146" s="3"/>
      <c r="J146" s="2"/>
      <c r="K146" s="2"/>
      <c r="L146" s="8"/>
      <c r="M146" s="3"/>
      <c r="Q146" s="3"/>
      <c r="R146" s="3"/>
      <c r="S146" s="3"/>
    </row>
    <row r="147" spans="2:19" x14ac:dyDescent="0.25">
      <c r="B147" s="2"/>
      <c r="E147" s="3"/>
      <c r="F147" s="2"/>
      <c r="I147" s="3"/>
      <c r="J147" s="2"/>
      <c r="K147" s="2"/>
      <c r="L147" s="8"/>
      <c r="M147" s="3"/>
      <c r="Q147" s="3"/>
      <c r="R147" s="3"/>
      <c r="S147" s="3"/>
    </row>
    <row r="148" spans="2:19" x14ac:dyDescent="0.25">
      <c r="B148" s="2"/>
      <c r="E148" s="3"/>
      <c r="F148" s="2"/>
      <c r="I148" s="3"/>
      <c r="J148" s="2"/>
      <c r="K148" s="2"/>
      <c r="L148" s="8"/>
      <c r="M148" s="3"/>
      <c r="Q148" s="3"/>
      <c r="R148" s="3"/>
      <c r="S148" s="3"/>
    </row>
    <row r="149" spans="2:19" x14ac:dyDescent="0.25">
      <c r="B149" s="2"/>
      <c r="E149" s="3"/>
      <c r="F149" s="2"/>
      <c r="I149" s="3"/>
      <c r="J149" s="2"/>
      <c r="K149" s="2"/>
      <c r="L149" s="8"/>
      <c r="M149" s="3"/>
      <c r="Q149" s="3"/>
      <c r="R149" s="3"/>
      <c r="S149" s="3"/>
    </row>
    <row r="150" spans="2:19" x14ac:dyDescent="0.25">
      <c r="B150" s="2"/>
      <c r="E150" s="3"/>
      <c r="F150" s="2"/>
      <c r="I150" s="3"/>
      <c r="J150" s="2"/>
      <c r="K150" s="2"/>
      <c r="L150" s="8"/>
      <c r="M150" s="3"/>
      <c r="Q150" s="3"/>
      <c r="R150" s="3"/>
      <c r="S150" s="3"/>
    </row>
  </sheetData>
  <mergeCells count="135">
    <mergeCell ref="C92:K92"/>
    <mergeCell ref="C108:K108"/>
    <mergeCell ref="C124:E124"/>
    <mergeCell ref="A1:C1"/>
    <mergeCell ref="F1:H1"/>
    <mergeCell ref="J1:L1"/>
    <mergeCell ref="N1:P1"/>
    <mergeCell ref="F15:G15"/>
    <mergeCell ref="A15:D15"/>
    <mergeCell ref="F16:G16"/>
    <mergeCell ref="F17:G17"/>
    <mergeCell ref="J16:L16"/>
    <mergeCell ref="N16:P16"/>
    <mergeCell ref="A18:A19"/>
    <mergeCell ref="F10:G10"/>
    <mergeCell ref="A27:D27"/>
    <mergeCell ref="A32:C32"/>
    <mergeCell ref="F32:G32"/>
    <mergeCell ref="A42:C42"/>
    <mergeCell ref="F41:G41"/>
    <mergeCell ref="J41:L41"/>
    <mergeCell ref="N41:P41"/>
    <mergeCell ref="A37:C37"/>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F19:G19"/>
    <mergeCell ref="F20:G2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R26:T26"/>
    <mergeCell ref="V26:W26"/>
    <mergeCell ref="Y26:Y29"/>
    <mergeCell ref="F27:G27"/>
    <mergeCell ref="F28:H28"/>
    <mergeCell ref="N26:P26"/>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R36:T36"/>
    <mergeCell ref="AH33:AI36"/>
    <mergeCell ref="F36:H36"/>
    <mergeCell ref="J36:L36"/>
    <mergeCell ref="V36:W36"/>
    <mergeCell ref="Y36:Y39"/>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R41:T41"/>
    <mergeCell ref="AH53:AI56"/>
    <mergeCell ref="AH57:AI60"/>
    <mergeCell ref="AH61:AI64"/>
    <mergeCell ref="AH65:AI68"/>
    <mergeCell ref="N66:N67"/>
    <mergeCell ref="AH69:AI72"/>
    <mergeCell ref="A47:D47"/>
    <mergeCell ref="F47:G47"/>
    <mergeCell ref="F48:G48"/>
    <mergeCell ref="F49:G49"/>
    <mergeCell ref="AH49:AI52"/>
    <mergeCell ref="F50:G50"/>
    <mergeCell ref="AH93:AI96"/>
    <mergeCell ref="AH97:AI100"/>
    <mergeCell ref="AH101:AI104"/>
    <mergeCell ref="AH73:AI76"/>
    <mergeCell ref="N75:N76"/>
    <mergeCell ref="AH77:AI80"/>
    <mergeCell ref="AH81:AI84"/>
    <mergeCell ref="AH85:AI88"/>
    <mergeCell ref="AH89:AI92"/>
  </mergeCells>
  <conditionalFormatting sqref="M66">
    <cfRule type="cellIs" dxfId="483" priority="167" operator="lessThan">
      <formula>0</formula>
    </cfRule>
  </conditionalFormatting>
  <conditionalFormatting sqref="J7:L9">
    <cfRule type="cellIs" dxfId="482" priority="162" operator="greaterThan">
      <formula>0</formula>
    </cfRule>
  </conditionalFormatting>
  <conditionalFormatting sqref="D1">
    <cfRule type="cellIs" dxfId="481" priority="159" operator="greaterThan">
      <formula>0</formula>
    </cfRule>
  </conditionalFormatting>
  <conditionalFormatting sqref="Z53:AE54 Q50">
    <cfRule type="cellIs" dxfId="480" priority="157" operator="lessThan">
      <formula>0</formula>
    </cfRule>
    <cfRule type="cellIs" dxfId="479" priority="158" operator="greaterThan">
      <formula>0</formula>
    </cfRule>
  </conditionalFormatting>
  <conditionalFormatting sqref="B48:D50">
    <cfRule type="colorScale" priority="156">
      <colorScale>
        <cfvo type="min"/>
        <cfvo type="percentile" val="50"/>
        <cfvo type="max"/>
        <color rgb="FF63BE7B"/>
        <color rgb="FFFFEB84"/>
        <color rgb="FFF8696B"/>
      </colorScale>
    </cfRule>
  </conditionalFormatting>
  <conditionalFormatting sqref="AK2:AM4">
    <cfRule type="colorScale" priority="151">
      <colorScale>
        <cfvo type="min"/>
        <cfvo type="percentile" val="50"/>
        <cfvo type="max"/>
        <color rgb="FFF8696B"/>
        <color rgb="FFFFEB84"/>
        <color rgb="FF63BE7B"/>
      </colorScale>
    </cfRule>
  </conditionalFormatting>
  <conditionalFormatting sqref="Z55:AE55">
    <cfRule type="cellIs" dxfId="478" priority="148" operator="lessThan">
      <formula>0</formula>
    </cfRule>
    <cfRule type="cellIs" dxfId="477" priority="149" operator="greaterThan">
      <formula>0</formula>
    </cfRule>
  </conditionalFormatting>
  <conditionalFormatting sqref="AJ112">
    <cfRule type="colorScale" priority="175">
      <colorScale>
        <cfvo type="min"/>
        <cfvo type="percentile" val="50"/>
        <cfvo type="max"/>
        <color rgb="FFF8696B"/>
        <color rgb="FFFFEB84"/>
        <color rgb="FF63BE7B"/>
      </colorScale>
    </cfRule>
  </conditionalFormatting>
  <conditionalFormatting sqref="T46">
    <cfRule type="cellIs" dxfId="476" priority="138" operator="greaterThan">
      <formula>0</formula>
    </cfRule>
  </conditionalFormatting>
  <conditionalFormatting sqref="D35">
    <cfRule type="cellIs" dxfId="475" priority="177" operator="between">
      <formula>$D$40-$D$40*0.05</formula>
      <formula>$D$40+$D$40*0.05</formula>
    </cfRule>
  </conditionalFormatting>
  <conditionalFormatting sqref="B33:B34">
    <cfRule type="cellIs" dxfId="474" priority="178" operator="between">
      <formula>$B$38-$B$38*0.05</formula>
      <formula>$B$38+$B$38*0.05</formula>
    </cfRule>
  </conditionalFormatting>
  <conditionalFormatting sqref="B35">
    <cfRule type="cellIs" dxfId="473" priority="179" operator="between">
      <formula>$B$40-$B$40*0.05</formula>
      <formula>$B$40+$B$40*0.05</formula>
    </cfRule>
  </conditionalFormatting>
  <conditionalFormatting sqref="C33:C34">
    <cfRule type="cellIs" dxfId="472" priority="180" operator="between">
      <formula>$C$38-$C$38*0.05</formula>
      <formula>$C$38+$C$38*0.05</formula>
    </cfRule>
  </conditionalFormatting>
  <conditionalFormatting sqref="C35">
    <cfRule type="cellIs" dxfId="471" priority="181" operator="between">
      <formula>$C$40-$C$40*0.05</formula>
      <formula>$C$40+$C$40*0.05</formula>
    </cfRule>
  </conditionalFormatting>
  <conditionalFormatting sqref="D33:D34">
    <cfRule type="cellIs" dxfId="470" priority="182" operator="between">
      <formula>$D$38-$D$38*0.05</formula>
      <formula>$D$38+$D$38*0.05</formula>
    </cfRule>
  </conditionalFormatting>
  <conditionalFormatting sqref="M67">
    <cfRule type="cellIs" dxfId="469" priority="133" operator="lessThan">
      <formula>0</formula>
    </cfRule>
  </conditionalFormatting>
  <conditionalFormatting sqref="O67">
    <cfRule type="cellIs" dxfId="468" priority="132" operator="greaterThan">
      <formula>$P$72</formula>
    </cfRule>
  </conditionalFormatting>
  <conditionalFormatting sqref="I10">
    <cfRule type="cellIs" dxfId="467" priority="127" operator="equal">
      <formula>0</formula>
    </cfRule>
  </conditionalFormatting>
  <conditionalFormatting sqref="J37:L39">
    <cfRule type="cellIs" dxfId="466" priority="117" operator="lessThan">
      <formula>0</formula>
    </cfRule>
  </conditionalFormatting>
  <conditionalFormatting sqref="I26">
    <cfRule type="cellIs" dxfId="465" priority="116" operator="lessThan">
      <formula>$I$27</formula>
    </cfRule>
  </conditionalFormatting>
  <conditionalFormatting sqref="H19">
    <cfRule type="cellIs" dxfId="464" priority="115" operator="greaterThan">
      <formula>0</formula>
    </cfRule>
  </conditionalFormatting>
  <conditionalFormatting sqref="A13">
    <cfRule type="cellIs" dxfId="463" priority="106" operator="lessThan">
      <formula>0</formula>
    </cfRule>
  </conditionalFormatting>
  <conditionalFormatting sqref="D55:D71 D74:D76 D80:D81">
    <cfRule type="cellIs" dxfId="462" priority="105" operator="between">
      <formula>C55-C55*0.01</formula>
      <formula>C55+C55*0.01</formula>
    </cfRule>
  </conditionalFormatting>
  <conditionalFormatting sqref="I56 I58:I78 I80:I83">
    <cfRule type="cellIs" dxfId="461" priority="104" operator="between">
      <formula>H56-H56*0.01</formula>
      <formula>H56+H56*0.01</formula>
    </cfRule>
  </conditionalFormatting>
  <conditionalFormatting sqref="N56:N59 N80 N83:N86 N70 N62:N66 N68 N73:N75 N77:N78">
    <cfRule type="cellIs" dxfId="460" priority="103" operator="between">
      <formula>M56-M56*0.01</formula>
      <formula>M56+M56*0.01</formula>
    </cfRule>
  </conditionalFormatting>
  <conditionalFormatting sqref="S56:S60 S76:S79 S69:S74 S63:S66">
    <cfRule type="cellIs" dxfId="459" priority="102" operator="between">
      <formula>R56-R56*0.01</formula>
      <formula>R56+R56*0.01</formula>
    </cfRule>
  </conditionalFormatting>
  <conditionalFormatting sqref="H31">
    <cfRule type="cellIs" dxfId="458" priority="98" operator="lessThan">
      <formula>0</formula>
    </cfRule>
  </conditionalFormatting>
  <conditionalFormatting sqref="I15">
    <cfRule type="cellIs" dxfId="457" priority="7" operator="lessThan">
      <formula>1</formula>
    </cfRule>
    <cfRule type="cellIs" dxfId="456" priority="95" operator="greaterThan">
      <formula>$I$16</formula>
    </cfRule>
  </conditionalFormatting>
  <conditionalFormatting sqref="I2">
    <cfRule type="cellIs" dxfId="455" priority="89" operator="lessThan">
      <formula>$I$6</formula>
    </cfRule>
    <cfRule type="cellIs" dxfId="454" priority="90" operator="greaterThan">
      <formula>$I$3</formula>
    </cfRule>
  </conditionalFormatting>
  <conditionalFormatting sqref="I49">
    <cfRule type="cellIs" dxfId="453" priority="87" operator="lessThan">
      <formula>$I$50</formula>
    </cfRule>
  </conditionalFormatting>
  <conditionalFormatting sqref="B10:D10">
    <cfRule type="cellIs" dxfId="452" priority="85" operator="lessThan">
      <formula>B$11</formula>
    </cfRule>
  </conditionalFormatting>
  <conditionalFormatting sqref="H32">
    <cfRule type="cellIs" dxfId="451" priority="67" operator="lessThan">
      <formula>0</formula>
    </cfRule>
  </conditionalFormatting>
  <conditionalFormatting sqref="B16:D17">
    <cfRule type="cellIs" dxfId="450" priority="66" operator="equal">
      <formula>"Major"</formula>
    </cfRule>
  </conditionalFormatting>
  <conditionalFormatting sqref="B13">
    <cfRule type="cellIs" dxfId="449" priority="30" operator="lessThan">
      <formula>0</formula>
    </cfRule>
  </conditionalFormatting>
  <conditionalFormatting sqref="E9">
    <cfRule type="cellIs" dxfId="448" priority="28" operator="greaterThan">
      <formula>0</formula>
    </cfRule>
    <cfRule type="cellIs" dxfId="447" priority="29" operator="lessThan">
      <formula>0</formula>
    </cfRule>
  </conditionalFormatting>
  <conditionalFormatting sqref="E7">
    <cfRule type="cellIs" dxfId="446" priority="26" operator="greaterThan">
      <formula>0</formula>
    </cfRule>
    <cfRule type="cellIs" dxfId="445" priority="27" operator="lessThan">
      <formula>0</formula>
    </cfRule>
  </conditionalFormatting>
  <conditionalFormatting sqref="H45">
    <cfRule type="cellIs" dxfId="444" priority="24" operator="lessThan">
      <formula>$I$45</formula>
    </cfRule>
  </conditionalFormatting>
  <conditionalFormatting sqref="O66">
    <cfRule type="cellIs" dxfId="443" priority="23" operator="greaterThan">
      <formula>$P$72</formula>
    </cfRule>
  </conditionalFormatting>
  <conditionalFormatting sqref="H42">
    <cfRule type="expression" dxfId="442" priority="21">
      <formula>AND(H42&gt;0,H82&lt;H80)</formula>
    </cfRule>
  </conditionalFormatting>
  <conditionalFormatting sqref="C110:C122">
    <cfRule type="colorScale" priority="20">
      <colorScale>
        <cfvo type="min"/>
        <cfvo type="percentile" val="50"/>
        <cfvo type="max"/>
        <color rgb="FFF8696B"/>
        <color rgb="FFFFEB84"/>
        <color rgb="FF63BE7B"/>
      </colorScale>
    </cfRule>
  </conditionalFormatting>
  <conditionalFormatting sqref="C94:C106">
    <cfRule type="colorScale" priority="19">
      <colorScale>
        <cfvo type="min"/>
        <cfvo type="percentile" val="50"/>
        <cfvo type="max"/>
        <color rgb="FFF8696B"/>
        <color rgb="FFFFEB84"/>
        <color rgb="FF63BE7B"/>
      </colorScale>
    </cfRule>
  </conditionalFormatting>
  <conditionalFormatting sqref="C126:C138">
    <cfRule type="colorScale" priority="17">
      <colorScale>
        <cfvo type="min"/>
        <cfvo type="percentile" val="50"/>
        <cfvo type="max"/>
        <color rgb="FFF8696B"/>
        <color rgb="FFFFEB84"/>
        <color rgb="FF63BE7B"/>
      </colorScale>
    </cfRule>
  </conditionalFormatting>
  <conditionalFormatting sqref="E13">
    <cfRule type="cellIs" dxfId="441" priority="11" operator="greaterThan">
      <formula>0</formula>
    </cfRule>
    <cfRule type="cellIs" dxfId="440" priority="12" operator="lessThan">
      <formula>0</formula>
    </cfRule>
  </conditionalFormatting>
  <conditionalFormatting sqref="B43:D45">
    <cfRule type="cellIs" dxfId="439" priority="10" operator="lessThan">
      <formula>1</formula>
    </cfRule>
  </conditionalFormatting>
  <conditionalFormatting sqref="I12">
    <cfRule type="cellIs" dxfId="438" priority="9" operator="lessThan">
      <formula>10</formula>
    </cfRule>
  </conditionalFormatting>
  <conditionalFormatting sqref="C28:C30">
    <cfRule type="cellIs" dxfId="437" priority="8" operator="lessThan">
      <formula>5</formula>
    </cfRule>
  </conditionalFormatting>
  <conditionalFormatting sqref="B18">
    <cfRule type="cellIs" dxfId="436" priority="5" operator="lessThan">
      <formula>E20</formula>
    </cfRule>
  </conditionalFormatting>
  <conditionalFormatting sqref="C18">
    <cfRule type="cellIs" dxfId="435" priority="4" operator="lessThan">
      <formula>E21</formula>
    </cfRule>
  </conditionalFormatting>
  <conditionalFormatting sqref="D18">
    <cfRule type="cellIs" dxfId="434" priority="3" operator="lessThan">
      <formula>E22</formula>
    </cfRule>
  </conditionalFormatting>
  <conditionalFormatting sqref="B8:D8">
    <cfRule type="cellIs" dxfId="433" priority="2" operator="lessThan">
      <formula>#REF!</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2572" r:id="rId4" name="Button 156">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2574" r:id="rId5" name="Button 158">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2575" r:id="rId6" name="Button 159">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2576" r:id="rId7" name="Button 160">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2577" r:id="rId8" name="Button 161">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2578" r:id="rId9" name="Button 162">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2579" r:id="rId10" name="Button 163">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2580" r:id="rId11" name="Button 164">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2581" r:id="rId12" name="Button 165">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2582" r:id="rId13" name="Button 166">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2593" r:id="rId14" name="Button 177">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2594" r:id="rId15" name="Button 178">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2595" r:id="rId16" name="Button 179">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2596" r:id="rId17" name="Button 180">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2600" r:id="rId18" name="Button 184">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DB5A8535-1ACB-4C8C-807C-0FEAF7BE802B}">
            <xm:f>'71'!$P$25*1.15</xm:f>
            <x14:dxf>
              <font>
                <color rgb="FF9C0006"/>
              </font>
              <fill>
                <patternFill>
                  <bgColor rgb="FFFFC7CE"/>
                </patternFill>
              </fill>
            </x14:dxf>
          </x14:cfRule>
          <xm:sqref>H26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7">
    <tabColor theme="9" tint="0.59999389629810485"/>
  </sheetPr>
  <dimension ref="A1:AQ157"/>
  <sheetViews>
    <sheetView tabSelected="1" zoomScale="80" zoomScaleNormal="80" workbookViewId="0">
      <selection activeCell="K45" sqref="K45"/>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100" t="str">
        <f>Lang!$A$1</f>
        <v>Production plan</v>
      </c>
      <c r="B1" s="1101"/>
      <c r="C1" s="1101"/>
      <c r="D1" s="69">
        <v>1</v>
      </c>
      <c r="F1" s="1100" t="str">
        <f>Lang!$A$2</f>
        <v>Production details</v>
      </c>
      <c r="G1" s="1101"/>
      <c r="H1" s="1102"/>
      <c r="J1" s="1131" t="str">
        <f>Lang!$A$3</f>
        <v>Stocks previous quarter</v>
      </c>
      <c r="K1" s="1139"/>
      <c r="L1" s="1140"/>
      <c r="N1" s="1141" t="str">
        <f>Lang!$A$4</f>
        <v>Total demand</v>
      </c>
      <c r="O1" s="1142"/>
      <c r="P1" s="1143"/>
      <c r="Q1" s="3"/>
      <c r="R1" s="1100" t="str">
        <f>Lang!$A$5</f>
        <v>A&amp;D - commission</v>
      </c>
      <c r="S1" s="1101"/>
      <c r="T1" s="1102"/>
      <c r="U1" s="2"/>
      <c r="V1" s="1131" t="str">
        <f>IF(X1=4,"Taxes","")</f>
        <v/>
      </c>
      <c r="W1" s="1132"/>
      <c r="X1" s="631">
        <f>'11'!S9</f>
        <v>2</v>
      </c>
      <c r="Y1" s="1114">
        <f>SUM(V2:X4)</f>
        <v>0</v>
      </c>
      <c r="AH1" s="1082" t="str">
        <f>Lang!$A$6</f>
        <v>Revenues, marginal costs</v>
      </c>
      <c r="AI1" s="1083"/>
      <c r="AJ1" s="136">
        <f ca="1">SUM(AK2:AM4)</f>
        <v>3165927.3028367087</v>
      </c>
      <c r="AK1" s="26"/>
      <c r="AL1" s="26"/>
      <c r="AM1" s="27"/>
      <c r="AN1" s="138">
        <f ca="1">SUM(AO2:AQ4)</f>
        <v>0.64080754231501913</v>
      </c>
      <c r="AO1" s="26"/>
      <c r="AP1" s="26"/>
      <c r="AQ1" s="27"/>
    </row>
    <row r="2" spans="1:43" ht="12.9" customHeight="1" x14ac:dyDescent="0.25">
      <c r="A2" s="888" t="str">
        <f>Lang!$A$7</f>
        <v>Europe</v>
      </c>
      <c r="B2" s="391">
        <f ca="1">MAX(IF($D$1=2,'92'!U12,IF($D$1=1,J22,IF($M22&gt;0,FLOOR(J22/$M22*CEILING($J22/500+$K22/250+$L22/125,1),1),0))),0)</f>
        <v>1704.0307028523102</v>
      </c>
      <c r="C2" s="391">
        <f ca="1">MAX(IF($D$1=2,'92'!W12,IF($D$1=1,K22,IF($M22&gt;0,FLOOR(K22/$M22*CEILING($J22/500+$K22/250+$L22/125,1),1),0))),0)</f>
        <v>972.76154528578707</v>
      </c>
      <c r="D2" s="392">
        <f ca="1">MAX(IF($D$1=2,'92'!Y12,IF($D$1=1,L22,IF($M22&gt;0,FLOOR(L22/$M22*CEILING($J22/500+$K22/250+$L22/125,1),1),0))),0)</f>
        <v>504.61955568684544</v>
      </c>
      <c r="E2" s="447">
        <f ca="1">B2/500+C2/250+D2/125</f>
        <v>11.336064032342533</v>
      </c>
      <c r="F2" s="1124" t="str">
        <f>Lang!$A$8</f>
        <v>Hours for details</v>
      </c>
      <c r="G2" s="1125"/>
      <c r="H2" s="394">
        <f ca="1">IF(ISNUMBER(H10),IF(H10&gt;0,MAX(((SUM(B2:B5)*60+SUM(C2:C5)*75+SUM(D2:D5)*120)-(IF(SUM(B2:B5)&lt;B7,SUM(B2:B5),B7)*60+IF(SUM(C2:C5)&lt;C7,SUM(C2:C5),C7)*75+IF(SUM(D2:D5)&lt;D7,SUM(D2:D5),D7)*120))/60/H10,0),0),0)</f>
        <v>5694.8396426828413</v>
      </c>
      <c r="I2" s="455">
        <f ca="1">(H2+H6)/H5</f>
        <v>1.3700094387340098</v>
      </c>
      <c r="J2" s="397">
        <f>'82'!U31</f>
        <v>0</v>
      </c>
      <c r="K2" s="398">
        <f>'82'!W31</f>
        <v>0</v>
      </c>
      <c r="L2" s="399">
        <f>'82'!Y31</f>
        <v>0</v>
      </c>
      <c r="M2" s="482">
        <f ca="1">SUM(J2:L2)/SUM(J12:L12)</f>
        <v>0</v>
      </c>
      <c r="N2" s="900">
        <f ca="1">R17+N7+N12+N22+N27+N32+N37+N17+R2+R7+R12+R22+R27+R32+R37+R42</f>
        <v>0.41944905054006898</v>
      </c>
      <c r="O2" s="901">
        <f t="shared" ref="O2:P4" ca="1" si="0">S17+O7+O12+O22+O27+O32+O37+O17+S2+S7+S12+S22+S27+S32+S37+S42</f>
        <v>0.35629321724078034</v>
      </c>
      <c r="P2" s="902">
        <f t="shared" ca="1" si="0"/>
        <v>0.3570786658039819</v>
      </c>
      <c r="Q2" s="113"/>
      <c r="R2" s="900">
        <f ca="1">($D28*100+OFFSET(History!$C$45,$B$52,0)*Config!$H9+OFFSET(History!$C$44,$B$52,0)*Config!$H9^2+OFFSET(History!$C$43,$B$52,0)*Config!$H9^3+1)^Config!$G9-(OFFSET(History!$C$45,$B$52,0)+OFFSET(History!$C$44,$B$52,0)*Config!$H9+OFFSET(History!$C$43,$B$52,0)*Config!$H9^2+OFFSET(History!$C$42,$B$52,0)*Config!$H9^3+1)^Config!$G9</f>
        <v>1.5018862016824563E-4</v>
      </c>
      <c r="S2" s="901">
        <f ca="1">($D28*100+OFFSET(History!$C$45,$B$52,0)*Config!$H9+OFFSET(History!$C$44,$B$52,0)*Config!$H9^2+OFFSET(History!$C$43,$B$52,0)*Config!$H9^3+1)^Config!$G9-(OFFSET(History!$C$45,$B$52,0)+OFFSET(History!$C$44,$B$52,0)*Config!$H9+OFFSET(History!$C$43,$B$52,0)*Config!$H9^2+OFFSET(History!$C$42,$B$52,0)*Config!$H9^3+1)^Config!$G9</f>
        <v>1.5018862016824563E-4</v>
      </c>
      <c r="T2" s="902">
        <f ca="1">($D28*100+OFFSET(History!$C$45,$B$52,0)*Config!$H9+OFFSET(History!$C$44,$B$52,0)*Config!$H9^2+OFFSET(History!$C$43,$B$52,0)*Config!$H9^3+1)^Config!$G9-(OFFSET(History!$C$45,$B$52,0)+OFFSET(History!$C$44,$B$52,0)*Config!$H9+OFFSET(History!$C$43,$B$52,0)*Config!$H9^2+OFFSET(History!$C$42,$B$52,0)*Config!$H9^3+1)^Config!$G9</f>
        <v>1.5018862016824563E-4</v>
      </c>
      <c r="U2" s="2"/>
      <c r="V2" s="638">
        <f>'12'!$U$17</f>
        <v>0</v>
      </c>
      <c r="W2" s="639">
        <f>'12'!$W$17</f>
        <v>0</v>
      </c>
      <c r="X2" s="640">
        <f>'12'!$Y$17</f>
        <v>0</v>
      </c>
      <c r="Y2" s="1114"/>
      <c r="AH2" s="1084"/>
      <c r="AI2" s="1085"/>
      <c r="AJ2" s="5"/>
      <c r="AK2" s="34">
        <f t="shared" ref="AK2:AM4" ca="1" si="1">J17*J42</f>
        <v>557875.0295984213</v>
      </c>
      <c r="AL2" s="34">
        <f t="shared" ca="1" si="1"/>
        <v>478598.68028060725</v>
      </c>
      <c r="AM2" s="35">
        <f t="shared" ca="1" si="1"/>
        <v>359289.12364903395</v>
      </c>
      <c r="AN2" s="5"/>
      <c r="AO2" s="63">
        <f t="shared" ref="AO2:AQ4" ca="1" si="2">B48/SUM($AO$6:$AQ$8)*AO6</f>
        <v>9.9683499848948351E-2</v>
      </c>
      <c r="AP2" s="63">
        <f t="shared" ca="1" si="2"/>
        <v>9.5841914551587387E-2</v>
      </c>
      <c r="AQ2" s="64">
        <f t="shared" ca="1" si="2"/>
        <v>8.7880804060401649E-2</v>
      </c>
    </row>
    <row r="3" spans="1:43" ht="12.9" customHeight="1" x14ac:dyDescent="0.25">
      <c r="A3" s="888" t="str">
        <f>Lang!$A$9</f>
        <v>Nafta</v>
      </c>
      <c r="B3" s="391">
        <f ca="1">MAX(IF($D$1=2,'92'!U13,IF($D$1=1,J23,IF($M23&gt;0,FLOOR(J23/$M23*CEILING($J23/500+$K23/250+$L23/125,1),1),0))),0)</f>
        <v>1024.7805450298436</v>
      </c>
      <c r="C3" s="391">
        <f ca="1">MAX(IF($D$1=2,'92'!W13,IF($D$1=1,K23,IF($M23&gt;0,FLOOR(K23/$M23*CEILING($J23/500+$K23/250+$L23/125,1),1),0))),0)</f>
        <v>530.44824602410017</v>
      </c>
      <c r="D3" s="392">
        <f ca="1">MAX(IF($D$1=2,'92'!Y13,IF($D$1=1,L23,IF($M23&gt;0,FLOOR(L23/$M23*CEILING($J23/500+$K23/250+$L23/125,1),1),0))),0)</f>
        <v>405.0480767591547</v>
      </c>
      <c r="E3" s="447">
        <f ca="1">B3/500+C3/250+D3/125</f>
        <v>7.4117386882293257</v>
      </c>
      <c r="F3" s="1124" t="str">
        <f>Lang!$A$10</f>
        <v>7 days</v>
      </c>
      <c r="G3" s="1125"/>
      <c r="H3" s="454">
        <f>IF(H11=1,H7*(420+84+72),H7*H11*(420+42+72))</f>
        <v>5340</v>
      </c>
      <c r="I3" s="456">
        <f>H3/H5</f>
        <v>1.2714285714285714</v>
      </c>
      <c r="J3" s="397">
        <f>'82'!U32</f>
        <v>0</v>
      </c>
      <c r="K3" s="398">
        <f>'82'!W32</f>
        <v>0</v>
      </c>
      <c r="L3" s="399">
        <f>'82'!Y32</f>
        <v>0</v>
      </c>
      <c r="M3" s="482">
        <f ca="1">SUM(J3:L3)/SUM(J13:L13)</f>
        <v>0</v>
      </c>
      <c r="N3" s="900">
        <f ca="1">R18+N8+N13+N23+N28+N33+N38+N18+R3+R8+R13+R23+R28+R33+R38+R43</f>
        <v>0.38260191281287487</v>
      </c>
      <c r="O3" s="901">
        <f t="shared" ca="1" si="0"/>
        <v>0.34377968514944784</v>
      </c>
      <c r="P3" s="902">
        <f t="shared" ca="1" si="0"/>
        <v>0.326484479856683</v>
      </c>
      <c r="Q3" s="113"/>
      <c r="R3" s="900">
        <f ca="1">($D29*100+OFFSET(History!$F$45,$B$52,0)*Config!$H10+OFFSET(History!$F$44,$B$52,0)*Config!$H10^2+OFFSET(History!$F$43,$B$52,0)*Config!$H10^3+1)^Config!$G10-(OFFSET(History!$F$45,$B$52,0)+OFFSET(History!$F$44,$B$52,0)*Config!$H10+OFFSET(History!$F$43,$B$52,0)*Config!$H10^2+OFFSET(History!$F$42,$B$52,0)*Config!$H10^3+1)^Config!$G10</f>
        <v>1.5074750544741278E-4</v>
      </c>
      <c r="S3" s="901">
        <f ca="1">($D29*100+OFFSET(History!$F$45,$B$52,0)*Config!$H10+OFFSET(History!$F$44,$B$52,0)*Config!$H10^2+OFFSET(History!$F$43,$B$52,0)*Config!$H10^3+1)^Config!$G10-(OFFSET(History!$F$45,$B$52,0)+OFFSET(History!$F$44,$B$52,0)*Config!$H10+OFFSET(History!$F$43,$B$52,0)*Config!$H10^2+OFFSET(History!$F$42,$B$52,0)*Config!$H10^3+1)^Config!$G10</f>
        <v>1.5074750544741278E-4</v>
      </c>
      <c r="T3" s="902">
        <f ca="1">($D29*100+OFFSET(History!$F$45,$B$52,0)*Config!$H10+OFFSET(History!$F$44,$B$52,0)*Config!$H10^2+OFFSET(History!$F$43,$B$52,0)*Config!$H10^3+1)^Config!$G10-(OFFSET(History!$F$45,$B$52,0)+OFFSET(History!$F$44,$B$52,0)*Config!$H10+OFFSET(History!$F$43,$B$52,0)*Config!$H10^2+OFFSET(History!$F$42,$B$52,0)*Config!$H10^3+1)^Config!$G10</f>
        <v>1.5074750544741278E-4</v>
      </c>
      <c r="U3" s="2"/>
      <c r="V3" s="638">
        <f>'12'!$U$18</f>
        <v>0</v>
      </c>
      <c r="W3" s="639">
        <f>'12'!$W$18</f>
        <v>0</v>
      </c>
      <c r="X3" s="640">
        <f>'12'!$Y$18</f>
        <v>0</v>
      </c>
      <c r="Y3" s="1114"/>
      <c r="AH3" s="1084"/>
      <c r="AI3" s="1085"/>
      <c r="AJ3" s="5"/>
      <c r="AK3" s="34">
        <f t="shared" ca="1" si="1"/>
        <v>324603.88558080798</v>
      </c>
      <c r="AL3" s="34">
        <f t="shared" ca="1" si="1"/>
        <v>259919.64055180908</v>
      </c>
      <c r="AM3" s="35">
        <f t="shared" ca="1" si="1"/>
        <v>200903.07684439427</v>
      </c>
      <c r="AN3" s="5"/>
      <c r="AO3" s="63">
        <f t="shared" ca="1" si="2"/>
        <v>7.4195481787103335E-2</v>
      </c>
      <c r="AP3" s="63">
        <f t="shared" ca="1" si="2"/>
        <v>6.2963009329193978E-2</v>
      </c>
      <c r="AQ3" s="64">
        <f t="shared" ca="1" si="2"/>
        <v>7.7837989789809825E-2</v>
      </c>
    </row>
    <row r="4" spans="1:43" ht="12.9" customHeight="1" thickBot="1" x14ac:dyDescent="0.3">
      <c r="A4" s="888" t="str">
        <f>Lang!$A$11</f>
        <v>Internet</v>
      </c>
      <c r="B4" s="391">
        <f ca="1">MAX(IF($D$1=2,'92'!U14,IF($D$1=1,J24,IF($M24&gt;0,FLOOR(J24/$M24*CEILING($J24/500+$K24/250+$L24/125,1),1),0))),0)</f>
        <v>1195.7795213788227</v>
      </c>
      <c r="C4" s="391">
        <f ca="1">MAX(IF($D$1=2,'92'!W14,IF($D$1=1,K24,IF($M24&gt;0,FLOOR(K24/$M24*CEILING($J24/500+$K24/250+$L24/125,1),1),0))),0)</f>
        <v>233.88460347086436</v>
      </c>
      <c r="D4" s="392">
        <f ca="1">MAX(IF($D$1=2,'92'!Y14,IF($D$1=1,L24,IF($M24&gt;0,FLOOR(L24/$M24*CEILING($J24/500+$K24/250+$L24/125,1),1),0))),0)</f>
        <v>186.45769231228871</v>
      </c>
      <c r="E4" s="447">
        <f ca="1">B4/500+C4/250+D4/125</f>
        <v>4.8187589951394125</v>
      </c>
      <c r="F4" s="1133" t="str">
        <f>Lang!$A$12</f>
        <v>6 days</v>
      </c>
      <c r="G4" s="1134"/>
      <c r="H4" s="399">
        <f>IF(H11=1,H7*(420+84),H7*H11*(420+42))</f>
        <v>4620</v>
      </c>
      <c r="I4" s="456">
        <f>H4/H5</f>
        <v>1.1000000000000001</v>
      </c>
      <c r="J4" s="400">
        <f>'82'!U33</f>
        <v>160</v>
      </c>
      <c r="K4" s="401">
        <f>'82'!W33</f>
        <v>341</v>
      </c>
      <c r="L4" s="402">
        <f>'82'!Y33</f>
        <v>106</v>
      </c>
      <c r="M4" s="482">
        <f ca="1">SUM(J4:L4)/SUM(J14:L14)</f>
        <v>0.30256508369576629</v>
      </c>
      <c r="N4" s="903">
        <f ca="1">R19+N9+N14+N24+N29+N34+N39+N19+R4+R9+R14+R24+R29+R34+R39+R44</f>
        <v>0.22719573212112332</v>
      </c>
      <c r="O4" s="904">
        <f t="shared" ca="1" si="0"/>
        <v>0.20017662520013443</v>
      </c>
      <c r="P4" s="905">
        <f t="shared" ca="1" si="0"/>
        <v>0.15140823744995549</v>
      </c>
      <c r="Q4" s="113"/>
      <c r="R4" s="903">
        <f ca="1">($D30*100+OFFSET(History!$I$45,$B$52,0)*Config!$H11+OFFSET(History!$I$44,$B$52,0)*Config!$H11^2+OFFSET(History!$I$43,$B$52,0)*Config!$H11^3+1)^Config!$G11-(OFFSET(History!$I$45,$B$52,0)+OFFSET(History!$I$44,$B$52,0)*Config!$H11+OFFSET(History!$I$43,$B$52,0)*Config!$H11^2+OFFSET(History!$I$42,$B$52,0)*Config!$H11^3+1)^Config!$G11</f>
        <v>4.4483181064203237E-5</v>
      </c>
      <c r="S4" s="904">
        <f ca="1">($D30*100+OFFSET(History!$I$45,$B$52,0)*Config!$H11+OFFSET(History!$I$44,$B$52,0)*Config!$H11^2+OFFSET(History!$I$43,$B$52,0)*Config!$H11^3+1)^Config!$G11-(OFFSET(History!$I$45,$B$52,0)+OFFSET(History!$I$44,$B$52,0)*Config!$H11+OFFSET(History!$I$43,$B$52,0)*Config!$H11^2+OFFSET(History!$I$42,$B$52,0)*Config!$H11^3+1)^Config!$G11</f>
        <v>4.4483181064203237E-5</v>
      </c>
      <c r="T4" s="905">
        <f ca="1">($D30*100+OFFSET(History!$I$45,$B$52,0)*Config!$H11+OFFSET(History!$I$44,$B$52,0)*Config!$H11^2+OFFSET(History!$I$43,$B$52,0)*Config!$H11^3+1)^Config!$G11-(OFFSET(History!$I$45,$B$52,0)+OFFSET(History!$I$44,$B$52,0)*Config!$H11+OFFSET(History!$I$43,$B$52,0)*Config!$H11^2+OFFSET(History!$I$42,$B$52,0)*Config!$H11^3+1)^Config!$G11</f>
        <v>4.4483181064203237E-5</v>
      </c>
      <c r="U4" s="2"/>
      <c r="V4" s="641">
        <f>'12'!$U$19</f>
        <v>0</v>
      </c>
      <c r="W4" s="642">
        <f>'12'!$W$19</f>
        <v>0</v>
      </c>
      <c r="X4" s="643">
        <f>'12'!$Y$19</f>
        <v>0</v>
      </c>
      <c r="Y4" s="1114"/>
      <c r="AH4" s="1086"/>
      <c r="AI4" s="1087"/>
      <c r="AJ4" s="9"/>
      <c r="AK4" s="36">
        <f t="shared" ca="1" si="1"/>
        <v>415675.73838406691</v>
      </c>
      <c r="AL4" s="36">
        <f t="shared" ca="1" si="1"/>
        <v>321935.37794368406</v>
      </c>
      <c r="AM4" s="37">
        <f t="shared" ca="1" si="1"/>
        <v>247126.75000388396</v>
      </c>
      <c r="AN4" s="9"/>
      <c r="AO4" s="65">
        <f t="shared" ca="1" si="2"/>
        <v>7.0060215902229994E-2</v>
      </c>
      <c r="AP4" s="65">
        <f t="shared" ca="1" si="2"/>
        <v>3.608943496781402E-2</v>
      </c>
      <c r="AQ4" s="66">
        <f t="shared" ca="1" si="2"/>
        <v>3.625519207793057E-2</v>
      </c>
    </row>
    <row r="5" spans="1:43" ht="12.9" customHeight="1" thickBot="1" x14ac:dyDescent="0.3">
      <c r="A5" s="888" t="str">
        <f>Lang!$A$13</f>
        <v>Rejected</v>
      </c>
      <c r="B5" s="386">
        <f ca="1">IF($D$1=2,'92'!U8+'92'!U9,(B2+B3+B4)*AVERAGEIF(OFFSET(History!J2:J6,$B52,),"&gt;0"))</f>
        <v>113.51928697866842</v>
      </c>
      <c r="C5" s="386">
        <f ca="1">IF($D$1=2,'92'!W8+'92'!W9,(C2+C3+C4)*AVERAGEIF(OFFSET(History!K2:K6,$B52,),"&gt;0"))</f>
        <v>53.16696338949788</v>
      </c>
      <c r="D5" s="387">
        <f ca="1">IF($D$1=2,'92'!Y8+'92'!Y9,(D2+D3+D4)*AVERAGEIF(OFFSET(History!L2:L6,$B52,),"&gt;0"))</f>
        <v>34.57741239091721</v>
      </c>
      <c r="E5" s="18"/>
      <c r="F5" s="1133" t="str">
        <f>Lang!$A$14</f>
        <v>5 days</v>
      </c>
      <c r="G5" s="1134"/>
      <c r="H5" s="399">
        <f>H7*H11*420</f>
        <v>4200</v>
      </c>
      <c r="I5" s="456">
        <v>1</v>
      </c>
      <c r="J5" s="108">
        <f ca="1">SUM(J2:J4)/SUM(J12:J14)</f>
        <v>4.5545849488112085E-2</v>
      </c>
      <c r="K5" s="108">
        <f ca="1">SUM(K2:K4)/SUM(K12:K14)</f>
        <v>0.16947515031329194</v>
      </c>
      <c r="L5" s="108">
        <f ca="1">SUM(L2:L4)/SUM(L12:L14)</f>
        <v>0.10220716378171266</v>
      </c>
      <c r="Q5" s="3"/>
      <c r="R5" s="3"/>
      <c r="S5" s="3"/>
      <c r="U5" s="2"/>
      <c r="V5" s="2"/>
      <c r="W5" s="8"/>
      <c r="AH5" s="1082" t="str">
        <f>Lang!$A$15</f>
        <v>Costs per products</v>
      </c>
      <c r="AI5" s="1083"/>
      <c r="AJ5" s="136">
        <f ca="1">SUM(AJ9:AM12)</f>
        <v>786183.87025813421</v>
      </c>
      <c r="AK5" s="26"/>
      <c r="AL5" s="26"/>
      <c r="AM5" s="27"/>
      <c r="AN5" s="136">
        <f ca="1">SUM(AN9:AQ12)</f>
        <v>1988412.5838488976</v>
      </c>
      <c r="AO5" s="26"/>
      <c r="AP5" s="26"/>
      <c r="AQ5" s="27"/>
    </row>
    <row r="6" spans="1:43" ht="12.9" customHeight="1" x14ac:dyDescent="0.25">
      <c r="A6" s="888" t="str">
        <f>Lang!$A$16</f>
        <v>Guarantee</v>
      </c>
      <c r="B6" s="393">
        <f ca="1">IF($D$1=2,'92'!U36,AVERAGE(OFFSET(History!N2:N6,$B52,)))</f>
        <v>50.2</v>
      </c>
      <c r="C6" s="393">
        <f ca="1">IF($D$1=2,'92'!W36,AVERAGE(OFFSET(History!O2:O6,$B52,)))</f>
        <v>23.4</v>
      </c>
      <c r="D6" s="394">
        <f ca="1">IF($D$1=2,'92'!Y36,AVERAGE(OFFSET(History!P2:P6,$B52,)))</f>
        <v>13.2</v>
      </c>
      <c r="F6" s="1124" t="str">
        <f>Lang!$A$17</f>
        <v>Hours breakdown</v>
      </c>
      <c r="G6" s="1125"/>
      <c r="H6" s="454">
        <f ca="1">IF(D1=2,'92'!G24,AVERAGE(OFFSET(History!E2:E6,$B52,)))</f>
        <v>59.2</v>
      </c>
      <c r="I6" s="456">
        <f>(H7*H11*4)*360/4/H5</f>
        <v>0.8571428571428571</v>
      </c>
      <c r="J6" s="1131" t="str">
        <f>Lang!$A$18</f>
        <v>Backlog of orders</v>
      </c>
      <c r="K6" s="1139"/>
      <c r="L6" s="1140"/>
      <c r="N6" s="1116" t="str">
        <f>Lang!$A$18</f>
        <v>Backlog of orders</v>
      </c>
      <c r="O6" s="1117"/>
      <c r="P6" s="1118"/>
      <c r="Q6" s="113"/>
      <c r="R6" s="1100" t="str">
        <f>Lang!$A$19</f>
        <v>A&amp;D - support</v>
      </c>
      <c r="S6" s="1101"/>
      <c r="T6" s="1102"/>
      <c r="U6" s="2"/>
      <c r="V6" s="1131" t="str">
        <f>IF(X6=4,"Taxes","")</f>
        <v/>
      </c>
      <c r="W6" s="1132"/>
      <c r="X6" s="634">
        <f>IF(X1=4,1,X1+1)</f>
        <v>3</v>
      </c>
      <c r="Y6" s="1114">
        <f>SUM(V7:X9)</f>
        <v>1175</v>
      </c>
      <c r="AH6" s="1084"/>
      <c r="AI6" s="1085"/>
      <c r="AJ6" s="5"/>
      <c r="AK6" s="6"/>
      <c r="AL6" s="6"/>
      <c r="AM6" s="7"/>
      <c r="AN6" s="5"/>
      <c r="AO6" s="6">
        <f t="shared" ref="AO6:AQ8" ca="1" si="3">AO10+$AN$9/SUM($AO$10:$AQ$12)*AO10+$AN10/SUM($AO10:$AQ10)*AO10</f>
        <v>345230.14224228094</v>
      </c>
      <c r="AP6" s="6">
        <f t="shared" ca="1" si="3"/>
        <v>306661.51148111804</v>
      </c>
      <c r="AQ6" s="7">
        <f t="shared" ca="1" si="3"/>
        <v>254372.37605173647</v>
      </c>
    </row>
    <row r="7" spans="1:43" ht="12.9" customHeight="1" x14ac:dyDescent="0.25">
      <c r="A7" s="888" t="str">
        <f>Lang!$A$20</f>
        <v>Components</v>
      </c>
      <c r="B7" s="393">
        <f>'82'!U45</f>
        <v>1000</v>
      </c>
      <c r="C7" s="393">
        <f>'82'!W45</f>
        <v>1000</v>
      </c>
      <c r="D7" s="394">
        <f>'82'!Y45</f>
        <v>500</v>
      </c>
      <c r="E7" s="473">
        <f ca="1">C13-(C13*0.25+(H7+H8)*25+(H20+H21)*10+FLOOR(IF(H31&gt;0,H31/1000*5,0),1)+(FLOOR(B7*0.25/6,1)+FLOOR(C7*0.5/6,1)+FLOOR(D7/6,1)))</f>
        <v>-203</v>
      </c>
      <c r="F7" s="1124" t="str">
        <f>Lang!$A$21</f>
        <v>Machines</v>
      </c>
      <c r="G7" s="1125"/>
      <c r="H7" s="454">
        <f>'82'!G21-H9</f>
        <v>5</v>
      </c>
      <c r="J7" s="397">
        <f>'82'!U27</f>
        <v>75</v>
      </c>
      <c r="K7" s="398">
        <f>'82'!W27</f>
        <v>22</v>
      </c>
      <c r="L7" s="399">
        <f>'82'!Y27</f>
        <v>12</v>
      </c>
      <c r="N7" s="900">
        <f>IF('82'!U22&lt;'82'!U17,('82'!U17-'82'!U22)/'82'!U17*Config!$H$27,0)</f>
        <v>-2.7632972403239798E-2</v>
      </c>
      <c r="O7" s="901">
        <f>IF('82'!W22&lt;'82'!W17,('82'!W17-'82'!W22)/'82'!W17*Config!$H$27,0)</f>
        <v>0</v>
      </c>
      <c r="P7" s="902">
        <f>IF('82'!Y22&lt;'82'!Y17,('82'!Y17-'82'!Y22)/'82'!Y17*Config!$H$27,0)</f>
        <v>0</v>
      </c>
      <c r="Q7" s="113"/>
      <c r="R7" s="900"/>
      <c r="S7" s="901"/>
      <c r="T7" s="902"/>
      <c r="U7" s="2"/>
      <c r="V7" s="638">
        <f>'22'!$U$17</f>
        <v>592</v>
      </c>
      <c r="W7" s="639">
        <f>'22'!$W$17</f>
        <v>363</v>
      </c>
      <c r="X7" s="640">
        <f>'22'!$Y$17</f>
        <v>220</v>
      </c>
      <c r="Y7" s="1114"/>
      <c r="AH7" s="1084"/>
      <c r="AI7" s="1085"/>
      <c r="AJ7" s="5"/>
      <c r="AK7" s="6"/>
      <c r="AL7" s="6"/>
      <c r="AM7" s="7"/>
      <c r="AN7" s="5"/>
      <c r="AO7" s="6">
        <f t="shared" ca="1" si="3"/>
        <v>226554.36609811339</v>
      </c>
      <c r="AP7" s="6">
        <f t="shared" ca="1" si="3"/>
        <v>183171.5711578218</v>
      </c>
      <c r="AQ7" s="7">
        <f t="shared" ca="1" si="3"/>
        <v>215683.1619300266</v>
      </c>
    </row>
    <row r="8" spans="1:43" ht="12.9" customHeight="1" thickBot="1" x14ac:dyDescent="0.3">
      <c r="A8" s="888" t="str">
        <f>Lang!$A$22</f>
        <v>Subcontracting</v>
      </c>
      <c r="B8" s="428">
        <v>1500</v>
      </c>
      <c r="C8" s="428">
        <v>1500</v>
      </c>
      <c r="D8" s="429">
        <v>1250</v>
      </c>
      <c r="F8" s="1124" t="str">
        <f>Lang!$A$295</f>
        <v>Machines to buy</v>
      </c>
      <c r="G8" s="1125"/>
      <c r="H8" s="458">
        <v>0</v>
      </c>
      <c r="I8" s="650"/>
      <c r="J8" s="397">
        <f>'82'!U28</f>
        <v>161</v>
      </c>
      <c r="K8" s="398">
        <f>'82'!W28</f>
        <v>44</v>
      </c>
      <c r="L8" s="399">
        <f>'82'!Y28</f>
        <v>27</v>
      </c>
      <c r="N8" s="900">
        <f>IF('82'!U23&lt;'82'!U18,('82'!U18-'82'!U23)/'82'!U18*Config!$H$27,0)</f>
        <v>-0.18422277300098905</v>
      </c>
      <c r="O8" s="901">
        <f>IF('82'!W23&lt;'82'!W18,('82'!W18-'82'!W23)/'82'!W18*Config!$H$27,0)</f>
        <v>-8.3433256455085925E-2</v>
      </c>
      <c r="P8" s="902">
        <f>IF('82'!Y23&lt;'82'!Y18,('82'!Y18-'82'!Y23)/'82'!Y18*Config!$H$27,0)</f>
        <v>-9.8235135187508024E-2</v>
      </c>
      <c r="Q8" s="113"/>
      <c r="R8" s="900"/>
      <c r="S8" s="901"/>
      <c r="T8" s="902"/>
      <c r="U8" s="2"/>
      <c r="V8" s="638">
        <f>'22'!$U$18</f>
        <v>0</v>
      </c>
      <c r="W8" s="639">
        <f>'22'!$W$18</f>
        <v>0</v>
      </c>
      <c r="X8" s="640">
        <f>'22'!$Y$18</f>
        <v>0</v>
      </c>
      <c r="Y8" s="1114"/>
      <c r="AH8" s="1086"/>
      <c r="AI8" s="1087"/>
      <c r="AJ8" s="9"/>
      <c r="AK8" s="10"/>
      <c r="AL8" s="10"/>
      <c r="AM8" s="11"/>
      <c r="AN8" s="9"/>
      <c r="AO8" s="10">
        <f t="shared" ca="1" si="3"/>
        <v>250103.07093751486</v>
      </c>
      <c r="AP8" s="10">
        <f t="shared" ca="1" si="3"/>
        <v>98442.05127311789</v>
      </c>
      <c r="AQ8" s="11">
        <f t="shared" ca="1" si="3"/>
        <v>108194.33267716774</v>
      </c>
    </row>
    <row r="9" spans="1:43" ht="12.9" customHeight="1" thickBot="1" x14ac:dyDescent="0.3">
      <c r="A9" s="888" t="str">
        <f>Lang!$A$23</f>
        <v>Components next quarter</v>
      </c>
      <c r="B9" s="393">
        <f ca="1">IF(SUM(B2:B5)&lt;B7,B7-SUM(B2:B5)+B8,B8)</f>
        <v>1500</v>
      </c>
      <c r="C9" s="393">
        <f ca="1">IF(SUM(C2:C5)&lt;C7,C7-SUM(C2:C5)+C8,C8)</f>
        <v>1500</v>
      </c>
      <c r="D9" s="394">
        <f ca="1">IF(SUM(D2:D5)&lt;D7,D7-SUM(D2:D5)+D8,D8)</f>
        <v>1250</v>
      </c>
      <c r="E9" s="473">
        <f ca="1">C13-(C13*0.25+(H7+H8)*25+(H20+H21)*10+FLOOR(IF(H31&gt;0,H31/1000*5,0),1)+(FLOOR(B9*0.25/6,1)+FLOOR(C9*0.5/6,1)+FLOOR(D9/6,1)))</f>
        <v>-391</v>
      </c>
      <c r="F9" s="1124" t="str">
        <f>Lang!$A$24</f>
        <v>Machines to sell</v>
      </c>
      <c r="G9" s="1125"/>
      <c r="H9" s="480">
        <v>0</v>
      </c>
      <c r="I9" s="380"/>
      <c r="J9" s="400">
        <f>'82'!U29</f>
        <v>0</v>
      </c>
      <c r="K9" s="401">
        <f>'82'!W29</f>
        <v>0</v>
      </c>
      <c r="L9" s="402">
        <f>'82'!Y29</f>
        <v>0</v>
      </c>
      <c r="N9" s="903">
        <f>IF('82'!U24&lt;'82'!U19,('82'!U19-'82'!U24)/'82'!U19*Config!$H$27,0)</f>
        <v>0</v>
      </c>
      <c r="O9" s="904">
        <f>IF('82'!W24&lt;'82'!W19,('82'!W19-'82'!W24)/'82'!W19*Config!$H$27,0)</f>
        <v>0</v>
      </c>
      <c r="P9" s="905">
        <f>IF('82'!Y24&lt;'82'!Y19,('82'!Y19-'82'!Y24)/'82'!Y19*Config!$H$27,0)</f>
        <v>0</v>
      </c>
      <c r="Q9" s="113"/>
      <c r="R9" s="903">
        <f ca="1">($C30+OFFSET(History!$H$45,$B$52,0)*Config!$H2+OFFSET(History!$H$44,$B$52,0)*Config!$H2^2+OFFSET(History!$H$43,$B$52,0)*Config!$H2^3)^Config!$G2-(OFFSET(History!$H$45,$B$52,0)+OFFSET(History!$H$44,$B$52,0)*Config!$H2+OFFSET(History!$H$43,$B$52,0)*Config!$H2^2+OFFSET(History!$H$42,$B$52,0)*Config!$H2^3)^Config!$G2</f>
        <v>3.881686431264364E-2</v>
      </c>
      <c r="S9" s="904">
        <f ca="1">($C30+OFFSET(History!$H$45,$B$52,0)*Config!$H2+OFFSET(History!$H$44,$B$52,0)*Config!$H2^2+OFFSET(History!$H$43,$B$52,0)*Config!$H2^3)^Config!$G2-(OFFSET(History!$H$45,$B$52,0)+OFFSET(History!$H$44,$B$52,0)*Config!$H2+OFFSET(History!$H$43,$B$52,0)*Config!$H2^2+OFFSET(History!$H$42,$B$52,0)*Config!$H2^3)^Config!$G2</f>
        <v>3.881686431264364E-2</v>
      </c>
      <c r="T9" s="905">
        <f ca="1">($C30+OFFSET(History!$H$45,$B$52,0)*Config!$H2+OFFSET(History!$H$44,$B$52,0)*Config!$H2^2+OFFSET(History!$H$43,$B$52,0)*Config!$H2^3)^Config!$G2-(OFFSET(History!$H$45,$B$52,0)+OFFSET(History!$H$44,$B$52,0)*Config!$H2+OFFSET(History!$H$43,$B$52,0)*Config!$H2^2+OFFSET(History!$H$42,$B$52,0)*Config!$H2^3)^Config!$G2</f>
        <v>3.881686431264364E-2</v>
      </c>
      <c r="U9" s="2"/>
      <c r="V9" s="641">
        <f>'22'!$U$19</f>
        <v>0</v>
      </c>
      <c r="W9" s="642">
        <f>'22'!$W$19</f>
        <v>0</v>
      </c>
      <c r="X9" s="643">
        <f>'22'!$Y$19</f>
        <v>0</v>
      </c>
      <c r="Y9" s="1114"/>
      <c r="AH9" s="1082" t="str">
        <f>Lang!$A$25</f>
        <v>Costs per items</v>
      </c>
      <c r="AI9" s="1083"/>
      <c r="AJ9" s="5">
        <f ca="1">AJ13+AJ17+AJ21+AJ25+AJ29+AJ33+AJ37+AJ41+AJ45+AJ49+AJ53+AJ57+AJ61+AJ65+AJ69+AJ73+AJ77+AJ81+AJ85+AJ89+AJ93+AJ97+AJ101</f>
        <v>334361.87025813421</v>
      </c>
      <c r="AK9" s="6">
        <f ca="1">AK13+AK17+AK21+AK25+AK29+AK33+AK37+AK41+AK45+AK49+AK53+AK57+AK61+AK65+AK69+AK73+AK77+AK81+AK85+AK89+AK93+AK97+AK101</f>
        <v>13012</v>
      </c>
      <c r="AL9" s="6">
        <f ca="1">AL13+AL17+AL21+AL25+AL29+AL33+AL37+AL41+AL45+AL49+AL53+AL57+AL61+AL65+AL69+AL73+AL77+AL81+AL85+AL89+AL93+AL97+AL101</f>
        <v>38510</v>
      </c>
      <c r="AM9" s="7">
        <f ca="1">AM13+AM17+AM21+AM25+AM29+AM33+AM37+AM41+AM45+AM49+AM53+AM57+AM61+AM65+AM69+AM73+AM77+AM81+AM85+AM89+AM93+AM97+AM101</f>
        <v>18300</v>
      </c>
      <c r="AN9" s="5">
        <f t="shared" ref="AJ9:AQ12" si="4">AN13+AN17+AN21+AN25+AN29+AN33+AN37+AN41+AN45+AN49+AN53+AN57+AN61+AN65+AN69+AN73+AN77+AN81+AN85+AN89+AN93+AN97+AN101</f>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127.31</v>
      </c>
      <c r="C10" s="398">
        <f ca="1">IF(H39&gt;0,INT(2*G33*H39/1000)+75,0)+(IF(H39&gt;0,INT(2*G33*1.5*H39/1000)+75,0)-IF(H39&gt;0,INT(2*G33*H39/1000)+75,0))*C22</f>
        <v>210.62</v>
      </c>
      <c r="D10" s="399">
        <f ca="1">IF(H39&gt;0,INT(3*G33*H39/1000)+120,0)+(IF(H39&gt;0,INT(3*G33*1.5*H39/1000)+120,0)-IF(H39&gt;0,INT(3*G33*H39/1000)+120,0))*D22</f>
        <v>326.89999999999998</v>
      </c>
      <c r="F10" s="1124" t="str">
        <f>Lang!$A$27</f>
        <v>Efficiency, %</v>
      </c>
      <c r="G10" s="1125"/>
      <c r="H10" s="922">
        <f>IF(D1=2,IF('92'!G$27=0,(I10*'82'!G19+1*'82'!G20)/'82'!G21,'92'!G$27/100),I10)</f>
        <v>0.92844444444444452</v>
      </c>
      <c r="I10" s="923">
        <f>(INDEX(Config!$AH$2:$ED$52,101-ROUND('82'!G27,0),ROUND(IF(I11&gt;100,100,I11),0)+1)/100)</f>
        <v>0.92844444444444452</v>
      </c>
      <c r="J10" s="8"/>
      <c r="K10" s="8"/>
      <c r="L10" s="8"/>
      <c r="Q10" s="3"/>
      <c r="R10" s="3"/>
      <c r="S10" s="3"/>
      <c r="U10" s="2"/>
      <c r="V10" s="2"/>
      <c r="W10" s="8"/>
      <c r="AH10" s="1084"/>
      <c r="AI10" s="1085"/>
      <c r="AJ10" s="5">
        <f t="shared" si="4"/>
        <v>122500</v>
      </c>
      <c r="AK10" s="6">
        <f t="shared" si="4"/>
        <v>12000</v>
      </c>
      <c r="AL10" s="6">
        <f t="shared" si="4"/>
        <v>10000</v>
      </c>
      <c r="AM10" s="7">
        <f t="shared" si="4"/>
        <v>10000</v>
      </c>
      <c r="AN10" s="5">
        <f t="shared" ca="1" si="4"/>
        <v>31200</v>
      </c>
      <c r="AO10" s="6">
        <f t="shared" ref="AO10:AQ12" ca="1" si="5">AO14+AO18+AO22+AO26+AO30+AO34+AO38+AO42+AO46+AO50+AO54+AO58+AO62+AO66+AO70+AO74+AO78+AO82+AO86+AO90+AO94+AO98+AO102</f>
        <v>333344.88575623045</v>
      </c>
      <c r="AP10" s="6">
        <f t="shared" ca="1" si="5"/>
        <v>296104.05929956684</v>
      </c>
      <c r="AQ10" s="7">
        <f t="shared" ca="1" si="5"/>
        <v>245615.08471933813</v>
      </c>
    </row>
    <row r="11" spans="1:43" ht="12.9" customHeight="1" x14ac:dyDescent="0.25">
      <c r="A11" s="13" t="str">
        <f>Lang!$A$28</f>
        <v>Price production</v>
      </c>
      <c r="B11" s="398">
        <f ca="1">((SUM(AO82:AO84)+SUM(AO90:AO92)+SUM(AO94:AO96))+($AJ53+$AJ93+$AJ97)/$AN5*SUM(AO6:AO8))/SUM(B2:B5)</f>
        <v>139.09093690418152</v>
      </c>
      <c r="C11" s="398">
        <f ca="1">((SUM(AP82:AP84)+SUM(AP90:AP92)+SUM(AP94:AP96))+($AJ53+$AJ93+$AJ97)/$AN5*SUM(AP6:AP8))/SUM(C2:C5)</f>
        <v>222.62027233375051</v>
      </c>
      <c r="D11" s="399">
        <f ca="1">((SUM(AQ82:AQ84)+SUM(AQ90:AQ92)+SUM(AQ94:AQ96))+($AJ53+$AJ93+$AJ97)/$AN5*SUM(AQ6:AQ8))/SUM(D2:D5)</f>
        <v>346.26189277847362</v>
      </c>
      <c r="F11" s="1124" t="str">
        <f>Lang!$A$29</f>
        <v>Shift level</v>
      </c>
      <c r="G11" s="1125"/>
      <c r="H11" s="458">
        <v>2</v>
      </c>
      <c r="I11" s="481">
        <f>IF('82'!G$23=0,0,'81'!P20/'81'!W20/('82'!G$25/'82'!G$23*IF('81'!W20=1,1.37,1.27)))</f>
        <v>9.9619134037358297</v>
      </c>
      <c r="J11" s="1078" t="str">
        <f>Lang!$A$30</f>
        <v>Orders next quarter</v>
      </c>
      <c r="K11" s="1079"/>
      <c r="L11" s="1088"/>
      <c r="N11" s="1128" t="str">
        <f>Lang!$A$31</f>
        <v>Seasonality</v>
      </c>
      <c r="O11" s="1129"/>
      <c r="P11" s="1130"/>
      <c r="Q11" s="113"/>
      <c r="R11" s="1100" t="str">
        <f>Lang!$A$32</f>
        <v>A&amp;D - recruit</v>
      </c>
      <c r="S11" s="1101"/>
      <c r="T11" s="1102"/>
      <c r="U11" s="2"/>
      <c r="V11" s="1131" t="str">
        <f>IF(X11=4,"Taxes","")</f>
        <v>Taxes</v>
      </c>
      <c r="W11" s="1132"/>
      <c r="X11" s="634">
        <f>IF(X6=4,1,X6+1)</f>
        <v>4</v>
      </c>
      <c r="Y11" s="1114">
        <f>SUM(V12:X14)</f>
        <v>2576</v>
      </c>
      <c r="AH11" s="1084"/>
      <c r="AI11" s="1085"/>
      <c r="AJ11" s="5">
        <f t="shared" si="4"/>
        <v>93500</v>
      </c>
      <c r="AK11" s="6">
        <f t="shared" si="4"/>
        <v>10000</v>
      </c>
      <c r="AL11" s="6">
        <f t="shared" si="4"/>
        <v>10000</v>
      </c>
      <c r="AM11" s="7">
        <f t="shared" si="4"/>
        <v>10000</v>
      </c>
      <c r="AN11" s="5">
        <f t="shared" ca="1" si="4"/>
        <v>74400</v>
      </c>
      <c r="AO11" s="6">
        <f t="shared" ca="1" si="5"/>
        <v>199602.97562483902</v>
      </c>
      <c r="AP11" s="6">
        <f t="shared" ca="1" si="5"/>
        <v>161381.09047584864</v>
      </c>
      <c r="AQ11" s="7">
        <f t="shared" ca="1" si="5"/>
        <v>190025.03308527413</v>
      </c>
    </row>
    <row r="12" spans="1:43" ht="12.9" customHeight="1" thickBot="1" x14ac:dyDescent="0.3">
      <c r="A12" s="885" t="str">
        <f>Lang!$A$33</f>
        <v>CO2</v>
      </c>
      <c r="B12" s="886" t="str">
        <f>Lang!$A$34</f>
        <v>Available space</v>
      </c>
      <c r="C12" s="886" t="str">
        <f>Lang!$A$35</f>
        <v>Factory</v>
      </c>
      <c r="D12" s="493" t="str">
        <f>Lang!$A$36</f>
        <v>Space</v>
      </c>
      <c r="F12" s="1135" t="str">
        <f>Lang!$A$37</f>
        <v>Maintenance hours</v>
      </c>
      <c r="G12" s="1136"/>
      <c r="H12" s="396">
        <v>40</v>
      </c>
      <c r="I12" s="481">
        <f ca="1">H12/H11/(H2/H3*IF(H11=1,1.37,1.27))</f>
        <v>14.7667877351081</v>
      </c>
      <c r="J12" s="385">
        <f ca="1">'82'!U17*(1+N2+IF($T$46=1,R47,0))</f>
        <v>1551.4578122402954</v>
      </c>
      <c r="K12" s="386">
        <f ca="1">'82'!W17*(1+O2+IF($T$46=1,S47,0))</f>
        <v>950.76154528578707</v>
      </c>
      <c r="L12" s="387">
        <f ca="1">'82'!Y17*(1+P2+IF($T$46=1,T47,0))</f>
        <v>492.61955568684544</v>
      </c>
      <c r="N12" s="900">
        <f ca="1">IF(ISNUMBER(OFFSET(Config!G30,($B$52-1)*3,)),OFFSET(Config!G30,($B$52-1)*3,),IF(OFFSET(V7,($B$52-1)*5,)&gt;0,OFFSET(V7,($B$52-1)*5,)/OFFSET(V2,($B$52-1)*5,)-1,0))</f>
        <v>5.298366458718503E-2</v>
      </c>
      <c r="O12" s="901">
        <f ca="1">IF(ISNUMBER(OFFSET(Config!H30,($B$52-1)*3,)),OFFSET(Config!H30,($B$52-1)*3,),IF(OFFSET(W7,($B$52-1)*5,)&gt;0,OFFSET(W7,($B$52-1)*5,)/OFFSET(W2,($B$52-1)*5,)-1,0))</f>
        <v>5.298366458718503E-2</v>
      </c>
      <c r="P12" s="902">
        <f ca="1">IF(ISNUMBER(OFFSET(Config!I30,($B$52-1)*3,)),OFFSET(Config!I30,($B$52-1)*3,),IF(OFFSET(X7,($B$52-1)*5,)&gt;0,OFFSET(X7,($B$52-1)*5,)/OFFSET(X2,($B$52-1)*5,)-1,0))</f>
        <v>5.298366458718503E-2</v>
      </c>
      <c r="Q12" s="113"/>
      <c r="R12" s="900">
        <f ca="1">($E28+OFFSET(History!$A$45,$B$52,0)*Config!$H5+OFFSET(History!$A$44,$B$52,0)*Config!$H5^2+OFFSET(History!$A$43,$B$52,0)*Config!$H5^3)^Config!$G5-(OFFSET(History!$A$45,$B$52,0)+OFFSET(History!$A$44,$B$52,0)*Config!$H5+OFFSET(History!$A$43,$B$52,0)*Config!$H5^2+OFFSET(History!$A$42,$B$52,0)*Config!$H5^3)^Config!$G5</f>
        <v>0.27412616092842512</v>
      </c>
      <c r="S12" s="901">
        <f ca="1">($E28+OFFSET(History!$A$45,$B$52,0)*Config!$H5+OFFSET(History!$A$44,$B$52,0)*Config!$H5^2+OFFSET(History!$A$43,$B$52,0)*Config!$H5^3)^Config!$G5-(OFFSET(History!$A$45,$B$52,0)+OFFSET(History!$A$44,$B$52,0)*Config!$H5+OFFSET(History!$A$43,$B$52,0)*Config!$H5^2+OFFSET(History!$A$42,$B$52,0)*Config!$H5^3)^Config!$G5</f>
        <v>0.27412616092842512</v>
      </c>
      <c r="T12" s="902">
        <f ca="1">($E28+OFFSET(History!$A$45,$B$52,0)*Config!$H5+OFFSET(History!$A$44,$B$52,0)*Config!$H5^2+OFFSET(History!$A$43,$B$52,0)*Config!$H5^3)^Config!$G5-(OFFSET(History!$A$45,$B$52,0)+OFFSET(History!$A$44,$B$52,0)*Config!$H5+OFFSET(History!$A$43,$B$52,0)*Config!$H5^2+OFFSET(History!$A$42,$B$52,0)*Config!$H5^3)^Config!$G5</f>
        <v>0.27412616092842512</v>
      </c>
      <c r="U12" s="2"/>
      <c r="V12" s="638">
        <f>'32'!$U$17</f>
        <v>1367</v>
      </c>
      <c r="W12" s="639">
        <f>'32'!$W$17</f>
        <v>772</v>
      </c>
      <c r="X12" s="640">
        <f>'32'!$Y$17</f>
        <v>437</v>
      </c>
      <c r="Y12" s="1114"/>
      <c r="AH12" s="1086"/>
      <c r="AI12" s="1087"/>
      <c r="AJ12" s="9">
        <f t="shared" si="4"/>
        <v>74000</v>
      </c>
      <c r="AK12" s="10">
        <f t="shared" si="4"/>
        <v>10000</v>
      </c>
      <c r="AL12" s="10">
        <f t="shared" si="4"/>
        <v>10000</v>
      </c>
      <c r="AM12" s="11">
        <f t="shared" si="4"/>
        <v>10000</v>
      </c>
      <c r="AN12" s="9">
        <f t="shared" ca="1" si="4"/>
        <v>3250</v>
      </c>
      <c r="AO12" s="10">
        <f t="shared" ca="1" si="5"/>
        <v>248323.4239815789</v>
      </c>
      <c r="AP12" s="10">
        <f t="shared" ca="1" si="5"/>
        <v>97741.571681933405</v>
      </c>
      <c r="AQ12" s="11">
        <f t="shared" ca="1" si="5"/>
        <v>107424.45922428819</v>
      </c>
    </row>
    <row r="13" spans="1:43" ht="12.9" customHeight="1" thickBot="1" x14ac:dyDescent="0.3">
      <c r="A13" s="525">
        <f ca="1">0.00019*50*C13+0.00052*(6*H2+H15)</f>
        <v>35.438995706277261</v>
      </c>
      <c r="B13" s="505">
        <f>'82'!G7-'82'!G8-'82'!G10-D13</f>
        <v>0</v>
      </c>
      <c r="C13" s="401">
        <f>'82'!G10+D13</f>
        <v>800</v>
      </c>
      <c r="D13" s="396">
        <v>0</v>
      </c>
      <c r="E13" s="473">
        <f ca="1">C13-(C13*0.25+(H7+H8)*25+(H20+H21+H22)*10+FLOOR(IF(H31&gt;0,H31/1000*5,0),1))</f>
        <v>-26</v>
      </c>
      <c r="J13" s="385">
        <f ca="1">'82'!U18*(1+N3+IF($T$46=1,R48,0))</f>
        <v>822.64813812366049</v>
      </c>
      <c r="K13" s="386">
        <f ca="1">'82'!W18*(1+O3+IF($T$46=1,S48,0))</f>
        <v>486.44824602410011</v>
      </c>
      <c r="L13" s="387">
        <f ca="1">'82'!Y18*(1+P3+IF($T$46=1,T48,0))</f>
        <v>252.03205117276977</v>
      </c>
      <c r="M13" s="32"/>
      <c r="N13" s="900">
        <f ca="1">IF(ISNUMBER(OFFSET(Config!G31,($B$52-1)*3,)),OFFSET(Config!G31,($B$52-1)*3,),IF(OFFSET(V8,($B$52-1)*5,)&gt;0,OFFSET(V8,($B$52-1)*5,)/OFFSET(V3,($B$52-1)*5,)-1,0))</f>
        <v>7.5756437424680995E-2</v>
      </c>
      <c r="O13" s="901">
        <f ca="1">IF(ISNUMBER(OFFSET(Config!H31,($B$52-1)*3,)),OFFSET(Config!H31,($B$52-1)*3,),IF(OFFSET(W8,($B$52-1)*5,)&gt;0,OFFSET(W8,($B$52-1)*5,)/OFFSET(W3,($B$52-1)*5,)-1,0))</f>
        <v>7.5756437424680995E-2</v>
      </c>
      <c r="P13" s="902">
        <f ca="1">IF(ISNUMBER(OFFSET(Config!I31,($B$52-1)*3,)),OFFSET(Config!I31,($B$52-1)*3,),IF(OFFSET(X8,($B$52-1)*5,)&gt;0,OFFSET(X8,($B$52-1)*5,)/OFFSET(X3,($B$52-1)*5,)-1,0))</f>
        <v>7.5756437424680995E-2</v>
      </c>
      <c r="Q13" s="113"/>
      <c r="R13" s="900">
        <f ca="1">($E29+OFFSET(History!$D$45,$B$52,0)*Config!$H6+OFFSET(History!$D$44,$B$52,0)*Config!$H6^2+OFFSET(History!$D$43,$B$52,0)*Config!$H6^3)^Config!$G6-(OFFSET(History!$D$45,$B$52,0)+OFFSET(History!$D$44,$B$52,0)*Config!$H6+OFFSET(History!$D$43,$B$52,0)*Config!$H6^2+OFFSET(History!$D$42,$B$52,0)*Config!$H6^3)^Config!$G6</f>
        <v>0.32355523247942908</v>
      </c>
      <c r="S13" s="901">
        <f ca="1">($E29+OFFSET(History!$D$45,$B$52,0)*Config!$H6+OFFSET(History!$D$44,$B$52,0)*Config!$H6^2+OFFSET(History!$D$43,$B$52,0)*Config!$H6^3)^Config!$G6-(OFFSET(History!$D$45,$B$52,0)+OFFSET(History!$D$44,$B$52,0)*Config!$H6+OFFSET(History!$D$43,$B$52,0)*Config!$H6^2+OFFSET(History!$D$42,$B$52,0)*Config!$H6^3)^Config!$G6</f>
        <v>0.32355523247942908</v>
      </c>
      <c r="T13" s="902">
        <f ca="1">($E29+OFFSET(History!$D$45,$B$52,0)*Config!$H6+OFFSET(History!$D$44,$B$52,0)*Config!$H6^2+OFFSET(History!$D$43,$B$52,0)*Config!$H6^3)^Config!$G6-(OFFSET(History!$D$45,$B$52,0)+OFFSET(History!$D$44,$B$52,0)*Config!$H6+OFFSET(History!$D$43,$B$52,0)*Config!$H6^2+OFFSET(History!$D$42,$B$52,0)*Config!$H6^3)^Config!$G6</f>
        <v>0.32355523247942908</v>
      </c>
      <c r="U13" s="2"/>
      <c r="V13" s="638">
        <f>'32'!$U$18</f>
        <v>0</v>
      </c>
      <c r="W13" s="639">
        <f>'32'!$W$18</f>
        <v>0</v>
      </c>
      <c r="X13" s="640">
        <f>'32'!$Y$18</f>
        <v>0</v>
      </c>
      <c r="Y13" s="1114"/>
      <c r="AH13" s="1082" t="str">
        <f>Lang!$A$38</f>
        <v>Advertising</v>
      </c>
      <c r="AI13" s="1083"/>
      <c r="AJ13" s="5"/>
      <c r="AK13" s="6"/>
      <c r="AL13" s="6"/>
      <c r="AM13" s="7"/>
      <c r="AN13" s="5"/>
      <c r="AO13" s="6"/>
      <c r="AP13" s="6"/>
      <c r="AQ13" s="7"/>
    </row>
    <row r="14" spans="1:43" ht="12.9" customHeight="1" thickBot="1" x14ac:dyDescent="0.3">
      <c r="F14" s="1100" t="str">
        <f>Lang!$A$39</f>
        <v>Assembly details</v>
      </c>
      <c r="G14" s="1101"/>
      <c r="H14" s="1102"/>
      <c r="J14" s="388">
        <f ca="1">'82'!U19*(1+N4+IF($T$46=1,R49,0))</f>
        <v>1138.8376394084025</v>
      </c>
      <c r="K14" s="389">
        <f ca="1">'82'!W19*(1+O4+IF($T$46=1,S49,0))</f>
        <v>574.88460347086436</v>
      </c>
      <c r="L14" s="390">
        <f ca="1">'82'!Y19*(1+P4+IF($T$46=1,T49,0))</f>
        <v>292.45769231228871</v>
      </c>
      <c r="M14" s="128"/>
      <c r="N14" s="903">
        <f ca="1">IF(ISNUMBER(OFFSET(Config!G32,($B$52-1)*3,)),OFFSET(Config!G32,($B$52-1)*3,),IF(OFFSET(V9,($B$52-1)*5,)&gt;0,OFFSET(V9,($B$52-1)*5,)/OFFSET(V4,($B$52-1)*5,)-1,0))</f>
        <v>5.5961655562070917E-2</v>
      </c>
      <c r="O14" s="904">
        <f ca="1">IF(ISNUMBER(OFFSET(Config!H32,($B$52-1)*3,)),OFFSET(Config!H32,($B$52-1)*3,),IF(OFFSET(W9,($B$52-1)*5,)&gt;0,OFFSET(W9,($B$52-1)*5,)/OFFSET(W4,($B$52-1)*5,)-1,0))</f>
        <v>5.5961655562070917E-2</v>
      </c>
      <c r="P14" s="905">
        <f ca="1">IF(ISNUMBER(OFFSET(Config!I32,($B$52-1)*3,)),OFFSET(Config!I32,($B$52-1)*3,),IF(OFFSET(X9,($B$52-1)*5,)&gt;0,OFFSET(X9,($B$52-1)*5,)/OFFSET(X4,($B$52-1)*5,)-1,0))</f>
        <v>5.5961655562070917E-2</v>
      </c>
      <c r="Q14" s="113"/>
      <c r="R14" s="903"/>
      <c r="S14" s="904"/>
      <c r="T14" s="905"/>
      <c r="U14" s="2"/>
      <c r="V14" s="641">
        <f>'32'!$U$19</f>
        <v>0</v>
      </c>
      <c r="W14" s="642">
        <f>'32'!$W$19</f>
        <v>0</v>
      </c>
      <c r="X14" s="643">
        <f>'32'!$Y$19</f>
        <v>0</v>
      </c>
      <c r="Y14" s="1114"/>
      <c r="AH14" s="1084"/>
      <c r="AI14" s="1085"/>
      <c r="AJ14" s="5">
        <f t="shared" ref="AJ14:AM16" si="6">A38*1000</f>
        <v>25000</v>
      </c>
      <c r="AK14" s="6">
        <f t="shared" si="6"/>
        <v>12000</v>
      </c>
      <c r="AL14" s="6">
        <f t="shared" si="6"/>
        <v>10000</v>
      </c>
      <c r="AM14" s="7">
        <f t="shared" si="6"/>
        <v>10000</v>
      </c>
      <c r="AN14" s="5"/>
      <c r="AO14" s="6"/>
      <c r="AP14" s="6"/>
      <c r="AQ14" s="7"/>
    </row>
    <row r="15" spans="1:43" ht="12.9" customHeight="1" thickBot="1" x14ac:dyDescent="0.3">
      <c r="A15" s="1100" t="str">
        <f>Lang!$A$40</f>
        <v>Quality</v>
      </c>
      <c r="B15" s="1101"/>
      <c r="C15" s="1101"/>
      <c r="D15" s="1102"/>
      <c r="F15" s="1124" t="str">
        <f>Lang!$A$41</f>
        <v>Hours for assembly</v>
      </c>
      <c r="G15" s="1125"/>
      <c r="H15" s="394">
        <f ca="1">(SUM(B2:B5)*B20+SUM(C2:C5)*C20+SUM(D2:D5)*D20)/60</f>
        <v>19367.4923482823</v>
      </c>
      <c r="I15" s="455">
        <f ca="1">(H15+I19)/H18</f>
        <v>1.2280383676868609</v>
      </c>
      <c r="N15" s="113"/>
      <c r="O15" s="113"/>
      <c r="P15" s="113"/>
      <c r="Q15" s="113"/>
      <c r="R15" s="743"/>
      <c r="S15" s="744"/>
      <c r="T15" s="113"/>
      <c r="U15" s="2"/>
      <c r="V15" s="2"/>
      <c r="W15" s="8"/>
      <c r="AH15" s="1084"/>
      <c r="AI15" s="1085"/>
      <c r="AJ15" s="5">
        <f t="shared" si="6"/>
        <v>20000</v>
      </c>
      <c r="AK15" s="6">
        <f t="shared" si="6"/>
        <v>10000</v>
      </c>
      <c r="AL15" s="6">
        <f t="shared" si="6"/>
        <v>10000</v>
      </c>
      <c r="AM15" s="7">
        <f t="shared" si="6"/>
        <v>10000</v>
      </c>
      <c r="AN15" s="5"/>
      <c r="AO15" s="6"/>
      <c r="AP15" s="6"/>
      <c r="AQ15" s="7"/>
    </row>
    <row r="16" spans="1:43" ht="12.9" customHeight="1" thickBot="1" x14ac:dyDescent="0.3">
      <c r="A16" s="13" t="str">
        <f>Lang!$A$42</f>
        <v>Next quarter</v>
      </c>
      <c r="B16" s="494" t="str">
        <f ca="1">TRIM(OFFSET(History!AA7,$B$52-1,))</f>
        <v>Minor</v>
      </c>
      <c r="C16" s="494" t="str">
        <f ca="1">TRIM(OFFSET(History!AA17,$B$52-1,))</f>
        <v>Major</v>
      </c>
      <c r="D16" s="495" t="str">
        <f ca="1">TRIM(OFFSET(History!AA27,$B$52-1,))</f>
        <v>Major</v>
      </c>
      <c r="E16" s="483"/>
      <c r="F16" s="1124" t="str">
        <f>Lang!$A$10</f>
        <v>7 days</v>
      </c>
      <c r="G16" s="1125"/>
      <c r="H16" s="454">
        <f>H20*(420+84+72)</f>
        <v>21888</v>
      </c>
      <c r="I16" s="456">
        <f>H16/H18</f>
        <v>1.3714285714285714</v>
      </c>
      <c r="J16" s="1078" t="str">
        <f>Lang!$A$43</f>
        <v>Sales next quarter</v>
      </c>
      <c r="K16" s="1079"/>
      <c r="L16" s="1088"/>
      <c r="N16" s="1128" t="str">
        <f>Lang!$A$44</f>
        <v>Assembly time</v>
      </c>
      <c r="O16" s="1129"/>
      <c r="P16" s="1130"/>
      <c r="Q16" s="113"/>
      <c r="R16" s="1128" t="str">
        <f>Lang!$A$45</f>
        <v>Premium materials</v>
      </c>
      <c r="S16" s="1129"/>
      <c r="T16" s="1130"/>
      <c r="U16" s="2"/>
      <c r="V16" s="1131" t="str">
        <f>IF(X16=4,"Taxes","")</f>
        <v/>
      </c>
      <c r="W16" s="1132"/>
      <c r="X16" s="634">
        <f>IF(X11=4,1,X11+1)</f>
        <v>1</v>
      </c>
      <c r="Y16" s="1114">
        <f>SUM(V17:X19)</f>
        <v>2543</v>
      </c>
      <c r="AH16" s="1086"/>
      <c r="AI16" s="1087"/>
      <c r="AJ16" s="9">
        <f t="shared" si="6"/>
        <v>25000</v>
      </c>
      <c r="AK16" s="10">
        <f t="shared" si="6"/>
        <v>10000</v>
      </c>
      <c r="AL16" s="10">
        <f t="shared" si="6"/>
        <v>10000</v>
      </c>
      <c r="AM16" s="11">
        <f t="shared" si="6"/>
        <v>10000</v>
      </c>
      <c r="AN16" s="9"/>
      <c r="AO16" s="10"/>
      <c r="AP16" s="10"/>
      <c r="AQ16" s="11"/>
    </row>
    <row r="17" spans="1:43" ht="12.9" customHeight="1" x14ac:dyDescent="0.25">
      <c r="A17" s="13" t="str">
        <f>Lang!$A$46</f>
        <v>Previous quarter</v>
      </c>
      <c r="B17" s="494" t="str">
        <f>TRIM('82'!U39)</f>
        <v>Major</v>
      </c>
      <c r="C17" s="494" t="str">
        <f>TRIM('82'!W39)</f>
        <v>Minor</v>
      </c>
      <c r="D17" s="495" t="str">
        <f>TRIM('82'!Y39)</f>
        <v>Minor</v>
      </c>
      <c r="E17" s="457">
        <f ca="1">B18*B10*SUM(J2:J4)+C18*C10*SUM(K2:K4)+D18*D10*SUM(L2:L4)</f>
        <v>20369.599999999999</v>
      </c>
      <c r="F17" s="1133" t="str">
        <f>Lang!$A$12</f>
        <v>6 days</v>
      </c>
      <c r="G17" s="1134"/>
      <c r="H17" s="399">
        <f>H20*(420+84)</f>
        <v>19152</v>
      </c>
      <c r="I17" s="456">
        <f>H17/H18</f>
        <v>1.2</v>
      </c>
      <c r="J17" s="385">
        <f t="shared" ref="J17:L19" ca="1" si="7">J7+J12+IF(J37&lt;0,J37,0)</f>
        <v>1626.4578122402954</v>
      </c>
      <c r="K17" s="386">
        <f t="shared" ca="1" si="7"/>
        <v>972.76154528578707</v>
      </c>
      <c r="L17" s="387">
        <f t="shared" ca="1" si="7"/>
        <v>504.61955568684544</v>
      </c>
      <c r="N17" s="900">
        <f ca="1">((OFFSET(History!G$19,$B$52,0)/1-100+1)^Config!J17-(OFFSET(History!G$18,$B$52,0)/1-100+1)^Config!J17)*(100-'3'!B43)/(100-Config!M27)</f>
        <v>4.0423951540833952E-3</v>
      </c>
      <c r="O17" s="901">
        <f ca="1">((OFFSET(History!H$19,$B$52,0)/1.5-100+1)^Config!K17-(OFFSET(History!H$18,$B$52,0)/1.5-100+1)^Config!K17)*(100-'3'!C43)/(100-Config!N27)</f>
        <v>3.628091630506312E-3</v>
      </c>
      <c r="P17" s="902">
        <f ca="1">((OFFSET(History!I$19,$B$52,0)/3-100+1)^Config!L17-(OFFSET(History!I$18,$B$52,0)/3-100+1)^Config!L17)*(100-'3'!D43)/(100-Config!O27)</f>
        <v>1.8484881379068356E-3</v>
      </c>
      <c r="Q17" s="113"/>
      <c r="R17" s="900">
        <f ca="1">((B$22*100)-OFFSET(History!N$19,$B$52,0))*(Config!J2+('3'!B43-Config!M27)*Config!M2)</f>
        <v>5.4718461152819222E-19</v>
      </c>
      <c r="S17" s="901">
        <f ca="1">((C$22*100)-OFFSET(History!O$19,$B$52,0))*(Config!K2+('3'!C43-Config!N27)*Config!N2)</f>
        <v>4.3893447498009612E-19</v>
      </c>
      <c r="T17" s="902">
        <f ca="1">((D$22*100)-OFFSET(History!P$19,$B$52,0))*(Config!L2+('3'!D43-Config!O27)*Config!O2)</f>
        <v>0</v>
      </c>
      <c r="U17" s="2"/>
      <c r="V17" s="638">
        <f>'42'!$U$17</f>
        <v>1112</v>
      </c>
      <c r="W17" s="639">
        <f>'42'!$W$17</f>
        <v>686</v>
      </c>
      <c r="X17" s="640">
        <f>'42'!$Y$17</f>
        <v>381</v>
      </c>
      <c r="Y17" s="1114"/>
      <c r="AH17" s="1082" t="str">
        <f>Lang!$A$47</f>
        <v>Internet distributor</v>
      </c>
      <c r="AI17" s="1083"/>
      <c r="AJ17" s="5"/>
      <c r="AK17" s="6"/>
      <c r="AL17" s="6"/>
      <c r="AM17" s="7"/>
      <c r="AN17" s="5"/>
      <c r="AO17" s="6"/>
      <c r="AP17" s="6"/>
      <c r="AQ17" s="7"/>
    </row>
    <row r="18" spans="1:43" ht="12.9" customHeight="1" x14ac:dyDescent="0.25">
      <c r="A18" s="1137" t="str">
        <f>Lang!$A$48</f>
        <v>R&amp;D</v>
      </c>
      <c r="B18" s="488">
        <v>1</v>
      </c>
      <c r="C18" s="488">
        <v>0</v>
      </c>
      <c r="D18" s="489">
        <v>0</v>
      </c>
      <c r="E18" s="457">
        <f>B18*(J2*J42+J3*J43+J4*J44)+C18*(K2*K42+K3*K43+K4*K44)+D18*(L2*L42+L3*L43+L4*L44)</f>
        <v>58400</v>
      </c>
      <c r="F18" s="1133" t="str">
        <f>Lang!$A$14</f>
        <v>5 days</v>
      </c>
      <c r="G18" s="1134"/>
      <c r="H18" s="399">
        <f>H20*420</f>
        <v>15960</v>
      </c>
      <c r="I18" s="456">
        <v>1</v>
      </c>
      <c r="J18" s="385">
        <f t="shared" ca="1" si="7"/>
        <v>983.64813812366049</v>
      </c>
      <c r="K18" s="386">
        <f t="shared" ca="1" si="7"/>
        <v>530.44824602410017</v>
      </c>
      <c r="L18" s="387">
        <f t="shared" ca="1" si="7"/>
        <v>279.0320511727698</v>
      </c>
      <c r="N18" s="900">
        <f ca="1">((OFFSET(History!G$19,$B$52,0)/1-100+1)^Config!J18-(OFFSET(History!G$18,$B$52,0)/1-100+1)^Config!J18)*(100-'3'!B44)/(100-Config!M28)</f>
        <v>8.9874186558700827E-3</v>
      </c>
      <c r="O18" s="901">
        <f ca="1">((OFFSET(History!H$19,$B$52,0)/1.5-100+1)^Config!K18-(OFFSET(History!H$18,$B$52,0)/1.5-100+1)^Config!K18)*(100-'3'!C44)/(100-Config!N28)</f>
        <v>7.8405820445369475E-3</v>
      </c>
      <c r="P18" s="902">
        <f ca="1">((OFFSET(History!I$19,$B$52,0)/3-100+1)^Config!L18-(OFFSET(History!I$18,$B$52,0)/3-100+1)^Config!L18)*(100-'3'!D44)/(100-Config!O28)</f>
        <v>4.4333579092286019E-3</v>
      </c>
      <c r="Q18" s="113"/>
      <c r="R18" s="900">
        <f ca="1">((B$22*100)-OFFSET(History!N$19,$B$52,0))*(Config!J3+('3'!B44-Config!M28)*Config!M3)</f>
        <v>8.7704773077263E-19</v>
      </c>
      <c r="S18" s="901">
        <f ca="1">((C$22*100)-OFFSET(History!O$19,$B$52,0))*(Config!K3+('3'!C44-Config!N28)*Config!N3)</f>
        <v>7.4672324857475903E-19</v>
      </c>
      <c r="T18" s="902">
        <f ca="1">((D$22*100)-OFFSET(History!P$19,$B$52,0))*(Config!L3+('3'!D44-Config!O28)*Config!O3)</f>
        <v>0</v>
      </c>
      <c r="U18" s="2"/>
      <c r="V18" s="638">
        <f>'42'!$U$18</f>
        <v>172</v>
      </c>
      <c r="W18" s="639">
        <f>'42'!$W$18</f>
        <v>123</v>
      </c>
      <c r="X18" s="640">
        <f>'42'!$Y$18</f>
        <v>69</v>
      </c>
      <c r="Y18" s="1114"/>
      <c r="AH18" s="1084"/>
      <c r="AI18" s="1085"/>
      <c r="AJ18" s="5"/>
      <c r="AK18" s="6"/>
      <c r="AL18" s="6"/>
      <c r="AM18" s="7"/>
      <c r="AN18" s="5"/>
      <c r="AO18" s="6"/>
      <c r="AP18" s="6"/>
      <c r="AQ18" s="7"/>
    </row>
    <row r="19" spans="1:43" ht="12.9" customHeight="1" thickBot="1" x14ac:dyDescent="0.3">
      <c r="A19" s="1138"/>
      <c r="B19" s="700">
        <f ca="1">IF($D$1=2,OFFSET(History!$T$6,$B$52,0),OFFSET(Config!$B$27,$B$52,0))</f>
        <v>10</v>
      </c>
      <c r="C19" s="700">
        <f ca="1">IF($D$1=2,OFFSET(History!$T$16,$B$52,0),OFFSET(Config!$B$32,$B$52,0))</f>
        <v>35</v>
      </c>
      <c r="D19" s="477">
        <f ca="1">IF($D$1=2,OFFSET(History!$T$26,$B$52,0),OFFSET(Config!$B$37,$B$52,0))</f>
        <v>15</v>
      </c>
      <c r="E19" s="457">
        <f ca="1">E17-E18</f>
        <v>-38030.400000000001</v>
      </c>
      <c r="F19" s="1124" t="str">
        <f>Lang!$A$49</f>
        <v>Weeks of strike</v>
      </c>
      <c r="G19" s="1125"/>
      <c r="H19" s="454">
        <f>'82'!O20</f>
        <v>0</v>
      </c>
      <c r="I19" s="457">
        <f ca="1">H19*48*H20+AVERAGE(OFFSET(History!E16:E19,$B52,))</f>
        <v>232</v>
      </c>
      <c r="J19" s="388">
        <f t="shared" ca="1" si="7"/>
        <v>1138.8376394084025</v>
      </c>
      <c r="K19" s="389">
        <f t="shared" ca="1" si="7"/>
        <v>574.88460347086436</v>
      </c>
      <c r="L19" s="390">
        <f t="shared" ca="1" si="7"/>
        <v>292.45769231228871</v>
      </c>
      <c r="N19" s="903">
        <f ca="1">((OFFSET(History!G$19,$B$52,0)/1-100+1)^Config!J19-(OFFSET(History!G$18,$B$52,0)/1-100+1)^Config!J19)*(100-'3'!B45)/(100-Config!M29)</f>
        <v>3.3778234491220658E-3</v>
      </c>
      <c r="O19" s="904">
        <f ca="1">((OFFSET(History!H$19,$B$52,0)/1.5-100+1)^Config!K19-(OFFSET(History!H$18,$B$52,0)/1.5-100+1)^Config!K19)*(100-'3'!C45)/(100-Config!N29)</f>
        <v>2.939730954998992E-3</v>
      </c>
      <c r="P19" s="905">
        <f ca="1">((OFFSET(History!I$19,$B$52,0)/3-100+1)^Config!L19-(OFFSET(History!I$18,$B$52,0)/3-100+1)^Config!L19)*(100-'3'!D45)/(100-Config!O29)</f>
        <v>1.4489981325163429E-3</v>
      </c>
      <c r="Q19" s="113"/>
      <c r="R19" s="903">
        <f ca="1">((B$22*100)-OFFSET(History!N$19,$B$52,0))*(Config!J4+('3'!B45-Config!M29)*Config!M4)</f>
        <v>5.3140976123610879E-19</v>
      </c>
      <c r="S19" s="904">
        <f ca="1">((C$22*100)-OFFSET(History!O$19,$B$52,0))*(Config!K4+('3'!C45-Config!N29)*Config!N4)</f>
        <v>4.4689533983885712E-19</v>
      </c>
      <c r="T19" s="905">
        <f ca="1">((D$22*100)-OFFSET(History!P$19,$B$52,0))*(Config!L4+('3'!D45-Config!O29)*Config!O4)</f>
        <v>0</v>
      </c>
      <c r="U19" s="2"/>
      <c r="V19" s="641">
        <f>'42'!$U$19</f>
        <v>0</v>
      </c>
      <c r="W19" s="642">
        <f>'42'!$W$19</f>
        <v>0</v>
      </c>
      <c r="X19" s="643">
        <f>'42'!$Y$19</f>
        <v>0</v>
      </c>
      <c r="Y19" s="1114"/>
      <c r="AH19" s="1084"/>
      <c r="AI19" s="1085"/>
      <c r="AJ19" s="5"/>
      <c r="AK19" s="6"/>
      <c r="AL19" s="6"/>
      <c r="AM19" s="7"/>
      <c r="AN19" s="5"/>
      <c r="AO19" s="6"/>
      <c r="AP19" s="6"/>
      <c r="AQ19" s="7"/>
    </row>
    <row r="20" spans="1:43" ht="12.9" customHeight="1" thickBot="1" x14ac:dyDescent="0.3">
      <c r="A20" s="539" t="str">
        <f>Lang!$A$44</f>
        <v>Assembly time</v>
      </c>
      <c r="B20" s="463">
        <v>120</v>
      </c>
      <c r="C20" s="463">
        <v>170</v>
      </c>
      <c r="D20" s="458">
        <v>330</v>
      </c>
      <c r="E20" s="868">
        <f>IF(B17="Major",1,0)+'3'!E20*IF('3'!B18=0,1,0)</f>
        <v>1</v>
      </c>
      <c r="F20" s="1124" t="str">
        <f>Lang!$A$50</f>
        <v>Workers next quarter</v>
      </c>
      <c r="G20" s="1125"/>
      <c r="H20" s="474">
        <f>'82'!N12</f>
        <v>38</v>
      </c>
      <c r="I20" s="472">
        <f>(H20+H21)*0.055</f>
        <v>2.5299999999999998</v>
      </c>
      <c r="Q20" s="3"/>
      <c r="R20" s="3"/>
      <c r="S20" s="3"/>
      <c r="U20" s="2"/>
      <c r="V20" s="2"/>
      <c r="W20" s="8"/>
      <c r="AH20" s="1086"/>
      <c r="AI20" s="1087"/>
      <c r="AJ20" s="9">
        <f>C30*1000</f>
        <v>13000</v>
      </c>
      <c r="AK20" s="10"/>
      <c r="AL20" s="10"/>
      <c r="AM20" s="11"/>
      <c r="AN20" s="9"/>
      <c r="AO20" s="10">
        <f ca="1">(J19*J44)*$D$30</f>
        <v>33254.05907072535</v>
      </c>
      <c r="AP20" s="10">
        <f ca="1">(K19*K44)*$D$30</f>
        <v>25754.830235494726</v>
      </c>
      <c r="AQ20" s="11">
        <f ca="1">(L19*L44)*$D$30</f>
        <v>19770.140000310719</v>
      </c>
    </row>
    <row r="21" spans="1:43" ht="12.9" customHeight="1" x14ac:dyDescent="0.25">
      <c r="A21" s="699">
        <v>1.02</v>
      </c>
      <c r="B21" s="700">
        <f>100*A21</f>
        <v>102</v>
      </c>
      <c r="C21" s="702">
        <f>150*A21</f>
        <v>153</v>
      </c>
      <c r="D21" s="477">
        <f>300*A21</f>
        <v>306</v>
      </c>
      <c r="E21" s="868">
        <f>IF(C17="Major",1,0)+'3'!E21*IF('3'!C18=0,1,0)</f>
        <v>0</v>
      </c>
      <c r="F21" s="1124" t="str">
        <f>Lang!$A$51</f>
        <v>Recruit workers</v>
      </c>
      <c r="G21" s="1125"/>
      <c r="H21" s="458">
        <v>8</v>
      </c>
      <c r="I21" s="472">
        <f ca="1">ROUNDUP((H20+H21)*AVERAGE(OFFSET(History!C15:C19,B52,)),0)</f>
        <v>3</v>
      </c>
      <c r="J21" s="1078" t="str">
        <f>Lang!$A$52</f>
        <v>Production plan next quarter</v>
      </c>
      <c r="K21" s="1079"/>
      <c r="L21" s="1088"/>
      <c r="N21" s="1128" t="str">
        <f>Lang!$A$48</f>
        <v>R&amp;D</v>
      </c>
      <c r="O21" s="1129"/>
      <c r="P21" s="1130"/>
      <c r="Q21" s="113"/>
      <c r="R21" s="1116" t="str">
        <f>Lang!$A$53</f>
        <v>Training</v>
      </c>
      <c r="S21" s="1117"/>
      <c r="T21" s="1118"/>
      <c r="U21" s="2"/>
      <c r="V21" s="1131" t="str">
        <f>IF(X21=4,"Taxes","")</f>
        <v/>
      </c>
      <c r="W21" s="1132"/>
      <c r="X21" s="634">
        <f>IF(X16=4,1,X16+1)</f>
        <v>2</v>
      </c>
      <c r="Y21" s="1114">
        <f>SUM(V22:X24)</f>
        <v>2892</v>
      </c>
      <c r="AH21" s="1082" t="str">
        <f>Lang!$A$54</f>
        <v>Internet service provider</v>
      </c>
      <c r="AI21" s="1083"/>
      <c r="AJ21" s="5"/>
      <c r="AK21" s="6"/>
      <c r="AL21" s="6"/>
      <c r="AM21" s="7"/>
      <c r="AN21" s="5"/>
      <c r="AO21" s="6"/>
      <c r="AP21" s="6"/>
      <c r="AQ21" s="7"/>
    </row>
    <row r="22" spans="1:43" ht="12.9" customHeight="1" x14ac:dyDescent="0.25">
      <c r="A22" s="888" t="str">
        <f>Lang!$A$45</f>
        <v>Premium materials</v>
      </c>
      <c r="B22" s="600">
        <v>7.0000000000000007E-2</v>
      </c>
      <c r="C22" s="600">
        <v>7.0000000000000007E-2</v>
      </c>
      <c r="D22" s="601">
        <v>0.1</v>
      </c>
      <c r="E22" s="868">
        <f>IF(D17="Major",1,0)+'3'!E22*IF('3'!D18=0,1,0)</f>
        <v>0</v>
      </c>
      <c r="F22" s="1124" t="str">
        <f>Lang!$A$55</f>
        <v>Train workers</v>
      </c>
      <c r="G22" s="1125"/>
      <c r="H22" s="458">
        <v>3</v>
      </c>
      <c r="J22" s="385">
        <f t="shared" ref="J22:L23" ca="1" si="8">J7+J12+J27-J2*(1-B$18)</f>
        <v>1704.0307028523102</v>
      </c>
      <c r="K22" s="386">
        <f t="shared" ca="1" si="8"/>
        <v>972.76154528578707</v>
      </c>
      <c r="L22" s="387">
        <f t="shared" ca="1" si="8"/>
        <v>504.61955568684544</v>
      </c>
      <c r="M22" s="446">
        <f ca="1">J22/500+K22/250+L22/125</f>
        <v>11.336064032342533</v>
      </c>
      <c r="N22" s="900">
        <f ca="1">((B$23*20+60)-OFFSET(History!$W$6,$B$52-1,))*(Config!J7+('3'!B43-Config!M27)*Config!M7)</f>
        <v>8.118063963812637E-2</v>
      </c>
      <c r="O22" s="901">
        <f ca="1">((C$23*20+60)-OFFSET(History!$W$16,$B$52-1,))*(Config!K7+('3'!C43-Config!N27)*Config!N7)</f>
        <v>-3.6178102201490209E-3</v>
      </c>
      <c r="P22" s="902">
        <f ca="1">((D$23*20+60)-OFFSET(History!$W$26,$B$52-1,))*(Config!L7+('3'!D43-Config!O27)*Config!O7)</f>
        <v>-2.3345553568917691E-3</v>
      </c>
      <c r="Q22" s="113"/>
      <c r="R22" s="900">
        <f ca="1">($H$23+OFFSET(History!$P$32,$B$52,0)*Config!$H$22+OFFSET(History!$P$31,$B$52,0)*Config!$H$22^2+OFFSET(History!$P$30,$B$52,0)*Config!$H$22^3+1)^Config!$G$22-(OFFSET(History!$P$32,$B$52,0)+OFFSET(History!$P$31,$B$52,0)*Config!$H$22+OFFSET(History!$P$30,$B$52,0)*Config!$H$22^2+OFFSET(History!$P$29,$B$52,0)*Config!$H$22^3+1)^Config!$G$22</f>
        <v>2.4573849869988784E-3</v>
      </c>
      <c r="S22" s="901">
        <f ca="1">($H$23+OFFSET(History!$P$32,$B$52,0)*Config!$H$22+OFFSET(History!$P$31,$B$52,0)*Config!$H$22^2+OFFSET(History!$P$30,$B$52,0)*Config!$H$22^3+1)^Config!$G$22-(OFFSET(History!$P$32,$B$52,0)+OFFSET(History!$P$31,$B$52,0)*Config!$H$22+OFFSET(History!$P$30,$B$52,0)*Config!$H$22^2+OFFSET(History!$P$29,$B$52,0)*Config!$H$22^3+1)^Config!$G$22</f>
        <v>2.4573849869988784E-3</v>
      </c>
      <c r="T22" s="902">
        <f ca="1">($H$23+OFFSET(History!$P$32,$B$52,0)*Config!$H$22+OFFSET(History!$P$31,$B$52,0)*Config!$H$22^2+OFFSET(History!$P$30,$B$52,0)*Config!$H$22^3+1)^Config!$G$22-(OFFSET(History!$P$32,$B$52,0)+OFFSET(History!$P$31,$B$52,0)*Config!$H$22+OFFSET(History!$P$30,$B$52,0)*Config!$H$22^2+OFFSET(History!$P$29,$B$52,0)*Config!$H$22^3+1)^Config!$G$22</f>
        <v>2.4573849869988784E-3</v>
      </c>
      <c r="U22" s="2"/>
      <c r="V22" s="638">
        <f>'52'!$U$17</f>
        <v>1016</v>
      </c>
      <c r="W22" s="639">
        <f>'52'!$W$17</f>
        <v>670</v>
      </c>
      <c r="X22" s="640">
        <f>'52'!$Y$17</f>
        <v>396</v>
      </c>
      <c r="Y22" s="1114"/>
      <c r="AH22" s="1084"/>
      <c r="AI22" s="1085"/>
      <c r="AJ22" s="5"/>
      <c r="AK22" s="6"/>
      <c r="AL22" s="6"/>
      <c r="AM22" s="7"/>
      <c r="AN22" s="5"/>
      <c r="AO22" s="6"/>
      <c r="AP22" s="6"/>
      <c r="AQ22" s="7"/>
    </row>
    <row r="23" spans="1:43" ht="12.9" customHeight="1" x14ac:dyDescent="0.25">
      <c r="A23" s="539" t="str">
        <f>Lang!$A$48</f>
        <v>R&amp;D</v>
      </c>
      <c r="B23" s="491">
        <f ca="1">(OFFSET(History!W6,$B$52-1,)+E23+INDEX(Config!$M59:$O258,(OFFSET(History!W6,$B$52-1,)+E23)-60,2)-60)/20</f>
        <v>4.3</v>
      </c>
      <c r="C23" s="491">
        <f ca="1">(OFFSET(History!W16,$B$52-1,)+E24+INDEX(Config!$M59:$O258,(OFFSET(History!W16,$B$52-1,)+E24)-60,2)-60)/20</f>
        <v>3.5</v>
      </c>
      <c r="D23" s="492">
        <f ca="1">(OFFSET(History!W26,$B$52-1,)+E25+INDEX(Config!$M59:$O258,(OFFSET(History!W26,$B$52-1,)+E25)-60,2)-60)/20</f>
        <v>2.7</v>
      </c>
      <c r="E23" s="476">
        <f ca="1">Config!$O55*B$18*E$20+IF(B$16="Major",Config!$O56,0)+IF(B$16="Minor",Config!$O54,0)</f>
        <v>26</v>
      </c>
      <c r="F23" s="1124" t="str">
        <f>Lang!$A$53</f>
        <v>Training</v>
      </c>
      <c r="G23" s="1125"/>
      <c r="H23" s="458">
        <v>12</v>
      </c>
      <c r="J23" s="385">
        <f t="shared" ca="1" si="8"/>
        <v>1024.7805450298436</v>
      </c>
      <c r="K23" s="386">
        <f t="shared" ca="1" si="8"/>
        <v>530.44824602410017</v>
      </c>
      <c r="L23" s="387">
        <f t="shared" ca="1" si="8"/>
        <v>405.0480767591547</v>
      </c>
      <c r="M23" s="446">
        <f ca="1">J23/500+K23/250+L23/125</f>
        <v>7.4117386882293257</v>
      </c>
      <c r="N23" s="900">
        <f ca="1">((B$23*20+60)-OFFSET(History!$W$6,$B$52-1,))*(Config!J8+('3'!B44-Config!M28)*Config!M8)</f>
        <v>0.13011933135042308</v>
      </c>
      <c r="O23" s="901">
        <f ca="1">((C$23*20+60)-OFFSET(History!$W$16,$B$52-1,))*(Config!K8+('3'!C44-Config!N28)*Config!N8)</f>
        <v>-6.1546840230290497E-3</v>
      </c>
      <c r="P23" s="902">
        <f ca="1">((D$23*20+60)-OFFSET(History!$W$26,$B$52-1,))*(Config!L8+('3'!D44-Config!O28)*Config!O8)</f>
        <v>-5.2407864480634309E-3</v>
      </c>
      <c r="Q23" s="113"/>
      <c r="R23" s="900">
        <f ca="1">($H$23+OFFSET(History!$P$32,$B$52,0)*Config!$H$22+OFFSET(History!$P$31,$B$52,0)*Config!$H$22^2+OFFSET(History!$P$30,$B$52,0)*Config!$H$22^3+1)^Config!$G$22-(OFFSET(History!$P$32,$B$52,0)+OFFSET(History!$P$31,$B$52,0)*Config!$H$22+OFFSET(History!$P$30,$B$52,0)*Config!$H$22^2+OFFSET(History!$P$29,$B$52,0)*Config!$H$22^3+1)^Config!$G$22</f>
        <v>2.4573849869988784E-3</v>
      </c>
      <c r="S23" s="901">
        <f ca="1">($H$23+OFFSET(History!$P$32,$B$52,0)*Config!$H$22+OFFSET(History!$P$31,$B$52,0)*Config!$H$22^2+OFFSET(History!$P$30,$B$52,0)*Config!$H$22^3+1)^Config!$G$22-(OFFSET(History!$P$32,$B$52,0)+OFFSET(History!$P$31,$B$52,0)*Config!$H$22+OFFSET(History!$P$30,$B$52,0)*Config!$H$22^2+OFFSET(History!$P$29,$B$52,0)*Config!$H$22^3+1)^Config!$G$22</f>
        <v>2.4573849869988784E-3</v>
      </c>
      <c r="T23" s="902">
        <f ca="1">($H$23+OFFSET(History!$P$32,$B$52,0)*Config!$H$22+OFFSET(History!$P$31,$B$52,0)*Config!$H$22^2+OFFSET(History!$P$30,$B$52,0)*Config!$H$22^3+1)^Config!$G$22-(OFFSET(History!$P$32,$B$52,0)+OFFSET(History!$P$31,$B$52,0)*Config!$H$22+OFFSET(History!$P$30,$B$52,0)*Config!$H$22^2+OFFSET(History!$P$29,$B$52,0)*Config!$H$22^3+1)^Config!$G$22</f>
        <v>2.4573849869988784E-3</v>
      </c>
      <c r="U23" s="2"/>
      <c r="V23" s="638">
        <f>'52'!$U$18</f>
        <v>122</v>
      </c>
      <c r="W23" s="639">
        <f>'52'!$W$18</f>
        <v>120</v>
      </c>
      <c r="X23" s="640">
        <f>'52'!$Y$18</f>
        <v>63</v>
      </c>
      <c r="Y23" s="1114"/>
      <c r="AH23" s="1084"/>
      <c r="AI23" s="1085"/>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6.3E-2</v>
      </c>
      <c r="C24" s="546">
        <f>(C20-150)/150*IF(C20&lt;150*1.21,0.315,IF(C20&lt;150*1.41,0.31,IF(C20&lt;150*1.61,0.305,IF(C20&lt;150*1.81,0.3,0.295))))</f>
        <v>4.2000000000000003E-2</v>
      </c>
      <c r="D24" s="545">
        <f>(D20-300)/300*IF(D20&lt;300*1.21,0.315,IF(D20&lt;300*1.41,0.31,IF(D20&lt;300*1.61,0.305,IF(D20&lt;300*1.81,0.3,0.295))))</f>
        <v>3.15E-2</v>
      </c>
      <c r="E24" s="476">
        <f ca="1">Config!$O55*C$18*E$21+IF(C$16="Major",Config!$O56,0)+IF(C$16="Minor",Config!$O54,0)</f>
        <v>6</v>
      </c>
      <c r="F24" s="1124" t="str">
        <f>Lang!$A$56</f>
        <v>Mechanics next quarter</v>
      </c>
      <c r="G24" s="1125"/>
      <c r="H24" s="503">
        <f>'82'!O12-I24</f>
        <v>30</v>
      </c>
      <c r="I24" s="768">
        <f>CEILING(IF(H7*4*H11&lt;'82'!O12,('82'!O12-H7*4*H11)/2,0),1)</f>
        <v>0</v>
      </c>
      <c r="J24" s="388">
        <f ca="1">J14+J29-J4*(1-B$18)</f>
        <v>1195.7795213788227</v>
      </c>
      <c r="K24" s="389">
        <f ca="1">K14+K29-K4*(1-C$18)</f>
        <v>233.88460347086436</v>
      </c>
      <c r="L24" s="390">
        <f ca="1">L14+L29-L4*(1-D$18)</f>
        <v>186.45769231228871</v>
      </c>
      <c r="M24" s="446">
        <f ca="1">J24/500+K24/250+L24/125</f>
        <v>4.8187589951394125</v>
      </c>
      <c r="N24" s="903">
        <f ca="1">((B$23*20+60)-OFFSET(History!$W$6,$B$52-1,))*(Config!J9+('3'!B45-Config!M29)*Config!M9)</f>
        <v>7.8840273315816112E-2</v>
      </c>
      <c r="O24" s="904">
        <f ca="1">((C$23*20+60)-OFFSET(History!$W$16,$B$52-1,))*(Config!K9+('3'!C45-Config!N29)*Config!N9)</f>
        <v>-3.6834257046665145E-3</v>
      </c>
      <c r="P24" s="905">
        <f ca="1">((D$23*20+60)-OFFSET(History!$W$26,$B$52-1,))*(Config!L9+('3'!D45-Config!O29)*Config!O9)</f>
        <v>-2.3137327308087314E-3</v>
      </c>
      <c r="Q24" s="113"/>
      <c r="R24" s="903">
        <f ca="1">($H$23+OFFSET(History!$P$32,$B$52,0)*Config!$H$22+OFFSET(History!$P$31,$B$52,0)*Config!$H$22^2+OFFSET(History!$P$30,$B$52,0)*Config!$H$22^3+1)^Config!$G$22-(OFFSET(History!$P$32,$B$52,0)+OFFSET(History!$P$31,$B$52,0)*Config!$H$22+OFFSET(History!$P$30,$B$52,0)*Config!$H$22^2+OFFSET(History!$P$29,$B$52,0)*Config!$H$22^3+1)^Config!$G$22</f>
        <v>2.4573849869988784E-3</v>
      </c>
      <c r="S24" s="904">
        <f ca="1">($H$23+OFFSET(History!$P$32,$B$52,0)*Config!$H$22+OFFSET(History!$P$31,$B$52,0)*Config!$H$22^2+OFFSET(History!$P$30,$B$52,0)*Config!$H$22^3+1)^Config!$G$22-(OFFSET(History!$P$32,$B$52,0)+OFFSET(History!$P$31,$B$52,0)*Config!$H$22+OFFSET(History!$P$30,$B$52,0)*Config!$H$22^2+OFFSET(History!$P$29,$B$52,0)*Config!$H$22^3+1)^Config!$G$22</f>
        <v>2.4573849869988784E-3</v>
      </c>
      <c r="T24" s="905">
        <f ca="1">($H$23+OFFSET(History!$P$32,$B$52,0)*Config!$H$22+OFFSET(History!$P$31,$B$52,0)*Config!$H$22^2+OFFSET(History!$P$30,$B$52,0)*Config!$H$22^3+1)^Config!$G$22-(OFFSET(History!$P$32,$B$52,0)+OFFSET(History!$P$31,$B$52,0)*Config!$H$22+OFFSET(History!$P$30,$B$52,0)*Config!$H$22^2+OFFSET(History!$P$29,$B$52,0)*Config!$H$22^3+1)^Config!$G$22</f>
        <v>2.4573849869988784E-3</v>
      </c>
      <c r="U24" s="2"/>
      <c r="V24" s="641">
        <f>'52'!$U$19</f>
        <v>243</v>
      </c>
      <c r="W24" s="642">
        <f>'52'!$W$19</f>
        <v>167</v>
      </c>
      <c r="X24" s="643">
        <f>'52'!$Y$19</f>
        <v>95</v>
      </c>
      <c r="Y24" s="1114"/>
      <c r="AH24" s="1086"/>
      <c r="AI24" s="1087"/>
      <c r="AJ24" s="366">
        <f>'82'!G42*1000</f>
        <v>9000</v>
      </c>
      <c r="AK24" s="10"/>
      <c r="AL24" s="10"/>
      <c r="AM24" s="11"/>
      <c r="AN24" s="9"/>
      <c r="AO24" s="10">
        <f ca="1">(J19*J44)*0.03</f>
        <v>12470.272151522007</v>
      </c>
      <c r="AP24" s="10">
        <f ca="1">(K19*K44)*0.03</f>
        <v>9658.061338310521</v>
      </c>
      <c r="AQ24" s="11">
        <f ca="1">(L19*L44)*0.03</f>
        <v>7413.8025001165188</v>
      </c>
    </row>
    <row r="25" spans="1:43" ht="12.9" customHeight="1" thickBot="1" x14ac:dyDescent="0.3">
      <c r="A25" s="540" t="str">
        <f>Lang!$A$45</f>
        <v>Premium materials</v>
      </c>
      <c r="B25" s="541">
        <f>B22*IF(B22&lt;21,0.165,IF(B22&lt;41,0.16,IF(B22&lt;61,0.155,IF(B22&lt;81,0.15,0.145))))</f>
        <v>1.1550000000000001E-2</v>
      </c>
      <c r="C25" s="541">
        <f>C22*IF(C22&lt;21,0.165,IF(C22&lt;41,0.16,IF(C22&lt;61,0.155,IF(C22&lt;81,0.15,0.145))))</f>
        <v>1.1550000000000001E-2</v>
      </c>
      <c r="D25" s="542">
        <f>D22*IF(D22&lt;21,0.165,IF(D22&lt;41,0.16,IF(D22&lt;61,0.155,IF(D22&lt;81,0.15,0.145))))</f>
        <v>1.6500000000000001E-2</v>
      </c>
      <c r="E25" s="476">
        <f ca="1">Config!$O55*D$18*E$22+IF(D$16="Major",Config!$O56,0)+IF(D$16="Minor",Config!$O54,0)</f>
        <v>6</v>
      </c>
      <c r="F25" s="1124" t="str">
        <f>Lang!$A$57</f>
        <v>Recruit mechanics</v>
      </c>
      <c r="G25" s="1125"/>
      <c r="H25" s="477">
        <f>IF(H7*4*H11-H24&lt;0,0,H7*4*H11-H24)</f>
        <v>10</v>
      </c>
      <c r="I25" s="768">
        <f ca="1">ROUNDUP((H24+H25)*AVERAGEIF(OFFSET(History!C2:C6,B52,),"&gt;0"),0)</f>
        <v>6</v>
      </c>
      <c r="N25" s="17"/>
      <c r="O25" s="17"/>
      <c r="P25" s="17"/>
      <c r="Q25" s="3"/>
      <c r="R25" s="1"/>
      <c r="S25" s="1"/>
      <c r="T25" s="1"/>
      <c r="U25" s="2"/>
      <c r="V25" s="2"/>
      <c r="W25" s="8"/>
      <c r="AH25" s="1082" t="str">
        <f>Lang!$A$58</f>
        <v>Agents and distributors</v>
      </c>
      <c r="AI25" s="1083"/>
      <c r="AJ25" s="5"/>
      <c r="AK25" s="6"/>
      <c r="AL25" s="6"/>
      <c r="AM25" s="7"/>
      <c r="AN25" s="5"/>
      <c r="AO25" s="6"/>
      <c r="AP25" s="6"/>
      <c r="AQ25" s="7"/>
    </row>
    <row r="26" spans="1:43" ht="12.9" customHeight="1" thickBot="1" x14ac:dyDescent="0.3">
      <c r="A26" s="20"/>
      <c r="B26" s="544">
        <f ca="1">ROUND(SUM(B23:B25),2)</f>
        <v>4.37</v>
      </c>
      <c r="C26" s="544">
        <f ca="1">ROUND(SUM(C23:C25),2)</f>
        <v>3.55</v>
      </c>
      <c r="D26" s="544">
        <f ca="1">ROUND(SUM(D23:D25),2)</f>
        <v>2.75</v>
      </c>
      <c r="E26" s="483"/>
      <c r="F26" s="1124" t="str">
        <f>Lang!$A$59</f>
        <v>Workers wage rate</v>
      </c>
      <c r="G26" s="1125"/>
      <c r="H26" s="478">
        <v>13.25</v>
      </c>
      <c r="I26" s="457">
        <f ca="1">IF(H15&gt;H17,H26*H18+H26*1.5*(H17-H18)+H26*2*(H15-H17),IF(H15&gt;H18,H26*H18+H26*1.5*(H15-H18),H26*H15))/H20</f>
        <v>7384.7775586705511</v>
      </c>
      <c r="J26" s="1078" t="str">
        <f>Lang!$A$60</f>
        <v>Stocks next quarter</v>
      </c>
      <c r="K26" s="1079"/>
      <c r="L26" s="1088"/>
      <c r="N26" s="1116" t="str">
        <f>Lang!$A$61</f>
        <v>Corporate advertising</v>
      </c>
      <c r="O26" s="1117"/>
      <c r="P26" s="1118"/>
      <c r="Q26" s="113"/>
      <c r="R26" s="1116" t="str">
        <f>Lang!$A$115</f>
        <v>Management budget</v>
      </c>
      <c r="S26" s="1117"/>
      <c r="T26" s="1118"/>
      <c r="U26" s="2"/>
      <c r="V26" s="1080" t="str">
        <f>IF(X26=4,"Taxes","")</f>
        <v/>
      </c>
      <c r="W26" s="1104"/>
      <c r="X26" s="634">
        <f>IF(X21=4,1,X21+1)</f>
        <v>3</v>
      </c>
      <c r="Y26" s="1114">
        <f>SUM(V27:X29)</f>
        <v>3376</v>
      </c>
      <c r="AH26" s="1084"/>
      <c r="AI26" s="1085"/>
      <c r="AJ26" s="5">
        <f>(E28*C28)*1000+(B28-E28)*7500</f>
        <v>97500</v>
      </c>
      <c r="AK26" s="6"/>
      <c r="AL26" s="6"/>
      <c r="AM26" s="7"/>
      <c r="AN26" s="5"/>
      <c r="AO26" s="6">
        <f t="shared" ref="AO26:AQ27" ca="1" si="9">(J17*J42)*$D$28</f>
        <v>44630.002367873705</v>
      </c>
      <c r="AP26" s="6">
        <f t="shared" ca="1" si="9"/>
        <v>38287.894422448582</v>
      </c>
      <c r="AQ26" s="7">
        <f t="shared" ca="1" si="9"/>
        <v>28743.129891922716</v>
      </c>
    </row>
    <row r="27" spans="1:43" ht="12.9" customHeight="1" thickBot="1" x14ac:dyDescent="0.3">
      <c r="A27" s="1100" t="str">
        <f>Lang!$A$58</f>
        <v>Agents and distributors</v>
      </c>
      <c r="B27" s="1101"/>
      <c r="C27" s="1101"/>
      <c r="D27" s="1102"/>
      <c r="E27" s="483"/>
      <c r="F27" s="1126" t="str">
        <f>Lang!$A$62</f>
        <v>Machinists wage rate</v>
      </c>
      <c r="G27" s="1127"/>
      <c r="H27" s="479">
        <f>H26*0.65</f>
        <v>8.6125000000000007</v>
      </c>
      <c r="I27" s="457">
        <f ca="1">IF(H24+H25=0,0,H62/(H24+H25))</f>
        <v>8014.998379361592</v>
      </c>
      <c r="J27" s="404">
        <f t="shared" ref="J27:L29" ca="1" si="10">J12*$M32+J12*J$35+J12*J32</f>
        <v>77.572890612014774</v>
      </c>
      <c r="K27" s="405">
        <f t="shared" ca="1" si="10"/>
        <v>0</v>
      </c>
      <c r="L27" s="408">
        <f t="shared" ca="1" si="10"/>
        <v>0</v>
      </c>
      <c r="N27" s="900">
        <f ca="1">Config!$G17*(OFFSET(History!$A$32,$B$52,0)+OFFSET(History!$A$31,$B$52,0)*Config!$H17+OFFSET(History!$A$30,$B$52,0)*Config!$H17^2+OFFSET(History!$A$29,$B$52,0)*Config!$H17^3)-Config!$G17*(OFFSET(History!$A$31,$B$52,0)+OFFSET(History!$A$30,$B$52,0)*Config!$H17+OFFSET(History!$A$29,$B$52,0)*Config!$H17^2+OFFSET(History!$A$28,$B$52,0)*Config!$H17^3)</f>
        <v>2.5576848165659565E-4</v>
      </c>
      <c r="O27" s="901">
        <f ca="1">Config!$G17*(OFFSET(History!$A$32,$B$52,0)+OFFSET(History!$A$31,$B$52,0)*Config!$H17+OFFSET(History!$A$30,$B$52,0)*Config!$H17^2+OFFSET(History!$A$29,$B$52,0)*Config!$H17^3)-Config!$G17*(OFFSET(History!$A$31,$B$52,0)+OFFSET(History!$A$30,$B$52,0)*Config!$H17+OFFSET(History!$A$29,$B$52,0)*Config!$H17^2+OFFSET(History!$A$28,$B$52,0)*Config!$H17^3)</f>
        <v>2.5576848165659565E-4</v>
      </c>
      <c r="P27" s="902">
        <f ca="1">Config!$G17*(OFFSET(History!$A$32,$B$52,0)+OFFSET(History!$A$31,$B$52,0)*Config!$H17+OFFSET(History!$A$30,$B$52,0)*Config!$H17^2+OFFSET(History!$A$29,$B$52,0)*Config!$H17^3)-Config!$G17*(OFFSET(History!$A$31,$B$52,0)+OFFSET(History!$A$30,$B$52,0)*Config!$H17+OFFSET(History!$A$29,$B$52,0)*Config!$H17^2+OFFSET(History!$A$28,$B$52,0)*Config!$H17^3)</f>
        <v>2.5576848165659565E-4</v>
      </c>
      <c r="Q27" s="113"/>
      <c r="R27" s="900">
        <f ca="1">($H$47+OFFSET(History!$Q$19,$B$52,0)*Config!$H$25+OFFSET(History!$Q$18,$B$52,0)*Config!$H$25^2+OFFSET(History!$Q$17,$B$52,0)*Config!$H$25^3+1)^Config!$G$25-(OFFSET(History!$Q$19,$B$52,0)+OFFSET(History!$Q$18,$B$52,0)*Config!$H$25+OFFSET(History!$Q$17,$B$52,0)*Config!$H$25^2+OFFSET(History!$Q$16,$B$52,0)*Config!$H$25^3+1)^Config!$G$25</f>
        <v>1.2800087812651517E-2</v>
      </c>
      <c r="S27" s="901">
        <f ca="1">($H$47+OFFSET(History!$Q$19,$B$52,0)*Config!$H$25+OFFSET(History!$Q$18,$B$52,0)*Config!$H$25^2+OFFSET(History!$Q$17,$B$52,0)*Config!$H$25^3+1)^Config!$G$25-(OFFSET(History!$Q$19,$B$52,0)+OFFSET(History!$Q$18,$B$52,0)*Config!$H$25+OFFSET(History!$Q$17,$B$52,0)*Config!$H$25^2+OFFSET(History!$Q$16,$B$52,0)*Config!$H$25^3+1)^Config!$G$25</f>
        <v>1.2800087812651517E-2</v>
      </c>
      <c r="T27" s="902">
        <f ca="1">($H$47+OFFSET(History!$Q$19,$B$52,0)*Config!$H$25+OFFSET(History!$Q$18,$B$52,0)*Config!$H$25^2+OFFSET(History!$Q$17,$B$52,0)*Config!$H$25^3+1)^Config!$G$25-(OFFSET(History!$Q$19,$B$52,0)+OFFSET(History!$Q$18,$B$52,0)*Config!$H$25+OFFSET(History!$Q$17,$B$52,0)*Config!$H$25^2+OFFSET(History!$Q$16,$B$52,0)*Config!$H$25^3+1)^Config!$G$25</f>
        <v>1.2800087812651517E-2</v>
      </c>
      <c r="U27" s="2"/>
      <c r="V27" s="638">
        <f>'62'!$U$17</f>
        <v>970</v>
      </c>
      <c r="W27" s="639">
        <f>'62'!$W$17</f>
        <v>663</v>
      </c>
      <c r="X27" s="640">
        <f>'62'!$Y$17</f>
        <v>399</v>
      </c>
      <c r="Y27" s="1114"/>
      <c r="AH27" s="1084"/>
      <c r="AI27" s="1085"/>
      <c r="AJ27" s="5">
        <f>(E29*C29)*1000+(B29-E29)*7500</f>
        <v>73500</v>
      </c>
      <c r="AK27" s="6"/>
      <c r="AL27" s="6"/>
      <c r="AM27" s="7"/>
      <c r="AN27" s="5"/>
      <c r="AO27" s="6">
        <f t="shared" ca="1" si="9"/>
        <v>25968.310846464639</v>
      </c>
      <c r="AP27" s="6">
        <f t="shared" ca="1" si="9"/>
        <v>20793.571244144725</v>
      </c>
      <c r="AQ27" s="7">
        <f t="shared" ca="1" si="9"/>
        <v>16072.246147551541</v>
      </c>
    </row>
    <row r="28" spans="1:43" ht="12.9" customHeight="1" thickBot="1" x14ac:dyDescent="0.3">
      <c r="A28" s="603">
        <v>5</v>
      </c>
      <c r="B28" s="463">
        <v>7</v>
      </c>
      <c r="C28" s="463">
        <v>12</v>
      </c>
      <c r="D28" s="523">
        <v>0.08</v>
      </c>
      <c r="E28" s="457">
        <f>'82'!M30+A28</f>
        <v>10</v>
      </c>
      <c r="F28" s="1115">
        <f ca="1">H76+H81</f>
        <v>341298.1075148792</v>
      </c>
      <c r="G28" s="1115"/>
      <c r="H28" s="1115"/>
      <c r="J28" s="404">
        <f t="shared" ca="1" si="10"/>
        <v>41.132406906183029</v>
      </c>
      <c r="K28" s="405">
        <f t="shared" ca="1" si="10"/>
        <v>0</v>
      </c>
      <c r="L28" s="408">
        <f t="shared" ca="1" si="10"/>
        <v>126.01602558638488</v>
      </c>
      <c r="N28" s="900">
        <f ca="1">Config!$G18*(OFFSET(History!$E$32,$B$52,0)+OFFSET(History!$E$31,$B$52,0)*Config!$H18+OFFSET(History!$E$30,$B$52,0)*Config!$H18^2+OFFSET(History!$E$29,$B$52,0)*Config!$H18^3)-Config!$G18*(OFFSET(History!$E$31,$B$52,0)+OFFSET(History!$E$30,$B$52,0)*Config!$H18+OFFSET(History!$E$29,$B$52,0)*Config!$H18^2+OFFSET(History!$E$28,$B$52,0)*Config!$H18^3)</f>
        <v>2.5576848165659478E-4</v>
      </c>
      <c r="O28" s="901">
        <f ca="1">Config!$G18*(OFFSET(History!$E$32,$B$52,0)+OFFSET(History!$E$31,$B$52,0)*Config!$H18+OFFSET(History!$E$30,$B$52,0)*Config!$H18^2+OFFSET(History!$E$29,$B$52,0)*Config!$H18^3)-Config!$G18*(OFFSET(History!$E$31,$B$52,0)+OFFSET(History!$E$30,$B$52,0)*Config!$H18+OFFSET(History!$E$29,$B$52,0)*Config!$H18^2+OFFSET(History!$E$28,$B$52,0)*Config!$H18^3)</f>
        <v>2.5576848165659478E-4</v>
      </c>
      <c r="P28" s="902">
        <f ca="1">Config!$G18*(OFFSET(History!$E$32,$B$52,0)+OFFSET(History!$E$31,$B$52,0)*Config!$H18+OFFSET(History!$E$30,$B$52,0)*Config!$H18^2+OFFSET(History!$E$29,$B$52,0)*Config!$H18^3)-Config!$G18*(OFFSET(History!$E$31,$B$52,0)+OFFSET(History!$E$30,$B$52,0)*Config!$H18+OFFSET(History!$E$29,$B$52,0)*Config!$H18^2+OFFSET(History!$E$28,$B$52,0)*Config!$H18^3)</f>
        <v>2.5576848165659478E-4</v>
      </c>
      <c r="Q28" s="113"/>
      <c r="R28" s="900">
        <f ca="1">($H$47+OFFSET(History!$Q$19,$B$52,0)*Config!$H$25+OFFSET(History!$Q$18,$B$52,0)*Config!$H$25^2+OFFSET(History!$Q$17,$B$52,0)*Config!$H$25^3+1)^Config!$G$25-(OFFSET(History!$Q$19,$B$52,0)+OFFSET(History!$Q$18,$B$52,0)*Config!$H$25+OFFSET(History!$Q$17,$B$52,0)*Config!$H$25^2+OFFSET(History!$Q$16,$B$52,0)*Config!$H$25^3+1)^Config!$G$25</f>
        <v>1.2800087812651517E-2</v>
      </c>
      <c r="S28" s="901">
        <f ca="1">($H$47+OFFSET(History!$Q$19,$B$52,0)*Config!$H$25+OFFSET(History!$Q$18,$B$52,0)*Config!$H$25^2+OFFSET(History!$Q$17,$B$52,0)*Config!$H$25^3+1)^Config!$G$25-(OFFSET(History!$Q$19,$B$52,0)+OFFSET(History!$Q$18,$B$52,0)*Config!$H$25+OFFSET(History!$Q$17,$B$52,0)*Config!$H$25^2+OFFSET(History!$Q$16,$B$52,0)*Config!$H$25^3+1)^Config!$G$25</f>
        <v>1.2800087812651517E-2</v>
      </c>
      <c r="T28" s="902">
        <f ca="1">($H$47+OFFSET(History!$Q$19,$B$52,0)*Config!$H$25+OFFSET(History!$Q$18,$B$52,0)*Config!$H$25^2+OFFSET(History!$Q$17,$B$52,0)*Config!$H$25^3+1)^Config!$G$25-(OFFSET(History!$Q$19,$B$52,0)+OFFSET(History!$Q$18,$B$52,0)*Config!$H$25+OFFSET(History!$Q$17,$B$52,0)*Config!$H$25^2+OFFSET(History!$Q$16,$B$52,0)*Config!$H$25^3+1)^Config!$G$25</f>
        <v>1.2800087812651517E-2</v>
      </c>
      <c r="U28" s="2"/>
      <c r="V28" s="638">
        <f>'62'!$U$18</f>
        <v>155</v>
      </c>
      <c r="W28" s="639">
        <f>'62'!$W$18</f>
        <v>152</v>
      </c>
      <c r="X28" s="640">
        <f>'62'!$Y$18</f>
        <v>77</v>
      </c>
      <c r="Y28" s="1114"/>
      <c r="AH28" s="1086"/>
      <c r="AI28" s="1087"/>
      <c r="AJ28" s="9"/>
      <c r="AK28" s="10"/>
      <c r="AL28" s="10"/>
      <c r="AM28" s="11"/>
      <c r="AN28" s="9"/>
      <c r="AO28" s="10"/>
      <c r="AP28" s="10"/>
      <c r="AQ28" s="11"/>
    </row>
    <row r="29" spans="1:43" ht="12.9" customHeight="1" thickBot="1" x14ac:dyDescent="0.3">
      <c r="A29" s="603">
        <v>4</v>
      </c>
      <c r="B29" s="463">
        <v>5</v>
      </c>
      <c r="C29" s="463">
        <v>12</v>
      </c>
      <c r="D29" s="523">
        <v>0.08</v>
      </c>
      <c r="E29" s="457">
        <f>'82'!N30+A29</f>
        <v>8</v>
      </c>
      <c r="F29" s="1080" t="str">
        <f>Lang!$A$63</f>
        <v>Raw materials</v>
      </c>
      <c r="G29" s="1081"/>
      <c r="H29" s="453">
        <f ca="1">IF(B52=1,G33,IF(B52=2,G34,G35))</f>
        <v>71410</v>
      </c>
      <c r="J29" s="407">
        <f t="shared" ca="1" si="10"/>
        <v>56.941881970420127</v>
      </c>
      <c r="K29" s="406">
        <f t="shared" ca="1" si="10"/>
        <v>0</v>
      </c>
      <c r="L29" s="403">
        <f t="shared" ca="1" si="10"/>
        <v>0</v>
      </c>
      <c r="N29" s="903">
        <f ca="1">Config!$G19*(OFFSET(History!$I$32,$B$52,0)+OFFSET(History!$I$31,$B$52,0)*Config!$H19+OFFSET(History!$I$30,$B$52,0)*Config!$H19^2+OFFSET(History!$I$29,$B$52,0)*Config!$H19^3)-Config!$G19*(OFFSET(History!$I$31,$B$52,0)+OFFSET(History!$I$30,$B$52,0)*Config!$H19+OFFSET(History!$I$29,$B$52,0)*Config!$H19^2+OFFSET(History!$I$28,$B$52,0)*Config!$H19^3)</f>
        <v>2.5576848165659565E-4</v>
      </c>
      <c r="O29" s="904">
        <f ca="1">Config!$G19*(OFFSET(History!$I$32,$B$52,0)+OFFSET(History!$I$31,$B$52,0)*Config!$H19+OFFSET(History!$I$30,$B$52,0)*Config!$H19^2+OFFSET(History!$I$29,$B$52,0)*Config!$H19^3)-Config!$G19*(OFFSET(History!$I$31,$B$52,0)+OFFSET(History!$I$30,$B$52,0)*Config!$H19+OFFSET(History!$I$29,$B$52,0)*Config!$H19^2+OFFSET(History!$I$28,$B$52,0)*Config!$H19^3)</f>
        <v>2.5576848165659565E-4</v>
      </c>
      <c r="P29" s="905">
        <f ca="1">Config!$G19*(OFFSET(History!$I$32,$B$52,0)+OFFSET(History!$I$31,$B$52,0)*Config!$H19+OFFSET(History!$I$30,$B$52,0)*Config!$H19^2+OFFSET(History!$I$29,$B$52,0)*Config!$H19^3)-Config!$G19*(OFFSET(History!$I$31,$B$52,0)+OFFSET(History!$I$30,$B$52,0)*Config!$H19+OFFSET(History!$I$29,$B$52,0)*Config!$H19^2+OFFSET(History!$I$28,$B$52,0)*Config!$H19^3)</f>
        <v>2.5576848165659565E-4</v>
      </c>
      <c r="Q29" s="113"/>
      <c r="R29" s="903">
        <f ca="1">($H$47+OFFSET(History!$Q$19,$B$52,0)*Config!$H$25+OFFSET(History!$Q$18,$B$52,0)*Config!$H$25^2+OFFSET(History!$Q$17,$B$52,0)*Config!$H$25^3+1)^Config!$G$25-(OFFSET(History!$Q$19,$B$52,0)+OFFSET(History!$Q$18,$B$52,0)*Config!$H$25+OFFSET(History!$Q$17,$B$52,0)*Config!$H$25^2+OFFSET(History!$Q$16,$B$52,0)*Config!$H$25^3+1)^Config!$G$25</f>
        <v>1.2800087812651517E-2</v>
      </c>
      <c r="S29" s="904">
        <f ca="1">($H$47+OFFSET(History!$Q$19,$B$52,0)*Config!$H$25+OFFSET(History!$Q$18,$B$52,0)*Config!$H$25^2+OFFSET(History!$Q$17,$B$52,0)*Config!$H$25^3+1)^Config!$G$25-(OFFSET(History!$Q$19,$B$52,0)+OFFSET(History!$Q$18,$B$52,0)*Config!$H$25+OFFSET(History!$Q$17,$B$52,0)*Config!$H$25^2+OFFSET(History!$Q$16,$B$52,0)*Config!$H$25^3+1)^Config!$G$25</f>
        <v>1.2800087812651517E-2</v>
      </c>
      <c r="T29" s="905">
        <f ca="1">($H$47+OFFSET(History!$Q$19,$B$52,0)*Config!$H$25+OFFSET(History!$Q$18,$B$52,0)*Config!$H$25^2+OFFSET(History!$Q$17,$B$52,0)*Config!$H$25^3+1)^Config!$G$25-(OFFSET(History!$Q$19,$B$52,0)+OFFSET(History!$Q$18,$B$52,0)*Config!$H$25+OFFSET(History!$Q$17,$B$52,0)*Config!$H$25^2+OFFSET(History!$Q$16,$B$52,0)*Config!$H$25^3+1)^Config!$G$25</f>
        <v>1.2800087812651517E-2</v>
      </c>
      <c r="U29" s="2"/>
      <c r="V29" s="641">
        <f>'62'!$U$19</f>
        <v>464</v>
      </c>
      <c r="W29" s="642">
        <f>'62'!$W$19</f>
        <v>318</v>
      </c>
      <c r="X29" s="643">
        <f>'62'!$Y$19</f>
        <v>178</v>
      </c>
      <c r="Y29" s="1114"/>
      <c r="AH29" s="1090" t="str">
        <f>Lang!$A$64</f>
        <v>Sales office</v>
      </c>
      <c r="AI29" s="1091"/>
      <c r="AJ29" s="5">
        <f ca="1">C59</f>
        <v>31862.96902836709</v>
      </c>
      <c r="AK29" s="6"/>
      <c r="AL29" s="6"/>
      <c r="AM29" s="7"/>
      <c r="AN29" s="5"/>
      <c r="AO29" s="6"/>
      <c r="AP29" s="6"/>
      <c r="AQ29" s="7"/>
    </row>
    <row r="30" spans="1:43" ht="12.9" customHeight="1" thickBot="1" x14ac:dyDescent="0.3">
      <c r="A30" s="15"/>
      <c r="B30" s="395"/>
      <c r="C30" s="395">
        <v>13</v>
      </c>
      <c r="D30" s="524">
        <v>0.08</v>
      </c>
      <c r="E30" s="457">
        <f>'82'!O30</f>
        <v>1</v>
      </c>
      <c r="F30" s="1107" t="str">
        <f>Lang!$A$65</f>
        <v>Required materials</v>
      </c>
      <c r="G30" s="1108"/>
      <c r="H30" s="394">
        <f ca="1">SUM(B2:B5)*1+SUM(C2:C5)*2+SUM(D2:D5)*3-(IF(SUM(B2:B5)&lt;B7,SUM(B2:B5),B7)*1+IF(SUM(C2:C5)&lt;C7,SUM(C2:C5),C7)*2+IF(SUM(D2:D5)&lt;D7,SUM(D2:D5),D7)*3)</f>
        <v>6510.7409840277633</v>
      </c>
      <c r="I30" s="471">
        <f ca="1">H30/'82'!G34</f>
        <v>0.96958168042111148</v>
      </c>
      <c r="O30" s="2"/>
      <c r="Q30" s="3"/>
      <c r="R30" s="3"/>
      <c r="S30" s="3"/>
      <c r="U30" s="2"/>
      <c r="V30" s="2"/>
      <c r="W30" s="8"/>
      <c r="AH30" s="1092"/>
      <c r="AI30" s="1093"/>
      <c r="AJ30" s="5"/>
      <c r="AK30" s="6"/>
      <c r="AL30" s="6"/>
      <c r="AM30" s="7"/>
      <c r="AN30" s="5"/>
      <c r="AO30" s="6"/>
      <c r="AP30" s="6"/>
      <c r="AQ30" s="7"/>
    </row>
    <row r="31" spans="1:43" ht="12.9" customHeight="1" thickBot="1" x14ac:dyDescent="0.3">
      <c r="E31" s="483"/>
      <c r="F31" s="1107" t="str">
        <f>Lang!$A$66</f>
        <v>Materials will remain</v>
      </c>
      <c r="G31" s="1108"/>
      <c r="H31" s="394">
        <f ca="1">I33+H32+H33-H30</f>
        <v>2376.7741311976079</v>
      </c>
      <c r="J31" s="1119" t="str">
        <f>Lang!$A$60</f>
        <v>Stocks next quarter</v>
      </c>
      <c r="K31" s="1120"/>
      <c r="L31" s="1121"/>
      <c r="N31" s="1116" t="str">
        <f>Lang!$A$67</f>
        <v>Direct advertising</v>
      </c>
      <c r="O31" s="1117"/>
      <c r="P31" s="1118"/>
      <c r="Q31" s="743"/>
      <c r="R31" s="1116" t="str">
        <f>Lang!$A$68</f>
        <v>Ports</v>
      </c>
      <c r="S31" s="1117"/>
      <c r="T31" s="1118"/>
      <c r="U31" s="2"/>
      <c r="V31" s="1080" t="str">
        <f>IF(X31=4,"Taxes","")</f>
        <v>Taxes</v>
      </c>
      <c r="W31" s="1104"/>
      <c r="X31" s="634">
        <f>IF(X26=4,1,X26+1)</f>
        <v>4</v>
      </c>
      <c r="Y31" s="1114">
        <f>SUM(V32:X34)</f>
        <v>3802</v>
      </c>
      <c r="AG31" s="8"/>
      <c r="AH31" s="1092"/>
      <c r="AI31" s="1093"/>
      <c r="AJ31" s="5"/>
      <c r="AK31" s="6"/>
      <c r="AL31" s="6"/>
      <c r="AM31" s="7"/>
      <c r="AN31" s="5"/>
      <c r="AO31" s="6"/>
      <c r="AP31" s="6"/>
      <c r="AQ31" s="7"/>
    </row>
    <row r="32" spans="1:43" ht="12.9" customHeight="1" thickBot="1" x14ac:dyDescent="0.3">
      <c r="A32" s="1078" t="str">
        <f>Lang!$A$69</f>
        <v>Optimal advertising</v>
      </c>
      <c r="B32" s="1079"/>
      <c r="C32" s="1079"/>
      <c r="D32" s="453">
        <f ca="1">H56*E32/1000</f>
        <v>191.17781417020254</v>
      </c>
      <c r="E32" s="445">
        <v>0.06</v>
      </c>
      <c r="F32" s="1107" t="str">
        <f>Lang!$A$70</f>
        <v>Additional materials</v>
      </c>
      <c r="G32" s="1108"/>
      <c r="H32" s="394">
        <f ca="1">SUM(B2:B5)*1*B22+SUM(C2:C5)*2*C22+SUM(D2:D5)*3*D22-(IF(SUM(B2:B5)&lt;B7,SUM(B2:B5),B7)*1*B22+IF(SUM(C2:C5)&lt;C7,SUM(C2:C5),C7)*2*C22+IF(SUM(D2:D5)&lt;D7,SUM(D2:D5),D7)*3*D22)</f>
        <v>512.51511522537203</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1.9085732734013611E-2</v>
      </c>
      <c r="O32" s="901">
        <f ca="1">Config!M22*(C38+OFFSET(History!C$32,$B$52,0)*Config!$O22+OFFSET(History!C$31,$B$52,0)*Config!$O22^2+OFFSET(History!C$30,$B$52,0)*Config!$O22^3)-Config!M22*(OFFSET(History!C$32,$B$52,0)+OFFSET(History!C$31,$B$52,0)*Config!$O22+OFFSET(History!C$30,$B$52,0)*Config!$O22^2+OFFSET(History!C$29,$B$52,0)*Config!$O22^3)</f>
        <v>1.3509680413337655E-2</v>
      </c>
      <c r="P32" s="902">
        <f ca="1">Config!N22*(D38+OFFSET(History!D$32,$B$52,0)*Config!$O22+OFFSET(History!D$31,$B$52,0)*Config!$O22^2+OFFSET(History!D$30,$B$52,0)*Config!$O22^3)-Config!N22*(OFFSET(History!D$32,$B$52,0)+OFFSET(History!D$31,$B$52,0)*Config!$O22+OFFSET(History!D$30,$B$52,0)*Config!$O22^2+OFFSET(History!D$29,$B$52,0)*Config!$O22^3)</f>
        <v>1.479147760588144E-2</v>
      </c>
      <c r="Q32" s="113"/>
      <c r="R32" s="900"/>
      <c r="S32" s="901"/>
      <c r="T32" s="902"/>
      <c r="U32" s="2"/>
      <c r="V32" s="638">
        <f>'72'!$U$17</f>
        <v>1178</v>
      </c>
      <c r="W32" s="639">
        <f>'72'!$W$17</f>
        <v>717</v>
      </c>
      <c r="X32" s="640">
        <f>'72'!$Y$17</f>
        <v>392</v>
      </c>
      <c r="Y32" s="1114"/>
      <c r="AH32" s="1094"/>
      <c r="AI32" s="1095"/>
      <c r="AJ32" s="9"/>
      <c r="AK32" s="10"/>
      <c r="AL32" s="10"/>
      <c r="AM32" s="11"/>
      <c r="AN32" s="9"/>
      <c r="AO32" s="10"/>
      <c r="AP32" s="10"/>
      <c r="AQ32" s="11"/>
    </row>
    <row r="33" spans="1:43" ht="12.9" customHeight="1" x14ac:dyDescent="0.25">
      <c r="A33" s="433">
        <f ca="1">SUM(AK2:AM2)/SUM($AK$2:$AM$4)*SUM($A$38:$A$40)</f>
        <v>30.860910248766913</v>
      </c>
      <c r="B33" s="434">
        <f t="shared" ref="B33:D35" ca="1" si="11">AK2/SUM($AK$2:$AM$4)*$D$32</f>
        <v>33.687864103259912</v>
      </c>
      <c r="C33" s="434">
        <f t="shared" ca="1" si="11"/>
        <v>28.900679266642445</v>
      </c>
      <c r="D33" s="438">
        <f t="shared" ca="1" si="11"/>
        <v>21.696047553841353</v>
      </c>
      <c r="F33" s="888" t="str">
        <f>Lang!$A$71</f>
        <v>Spot - 1, 2, 3, 4, 5</v>
      </c>
      <c r="G33" s="62">
        <f ca="1">OFFSET(History!N45,$B52,)</f>
        <v>79345</v>
      </c>
      <c r="H33" s="429">
        <v>0</v>
      </c>
      <c r="I33" s="457">
        <f>'82'!G35+'82'!G37+'82'!G38</f>
        <v>8375</v>
      </c>
      <c r="J33" s="439">
        <v>0</v>
      </c>
      <c r="K33" s="440">
        <v>0</v>
      </c>
      <c r="L33" s="441">
        <v>0.5</v>
      </c>
      <c r="M33" s="445">
        <v>0</v>
      </c>
      <c r="N33" s="900">
        <f ca="1">Config!L23*(B39+OFFSET(History!F$32,$B$52,0)*Config!$O23+OFFSET(History!F$31,$B$52,0)*Config!$O23^2+OFFSET(History!F$30,$B$52,0)*Config!$O23^3)-Config!L23*(OFFSET(History!F$32,$B$52,0)+OFFSET(History!F$31,$B$52,0)*Config!$O23+OFFSET(History!F$30,$B$52,0)*Config!$O23^2+OFFSET(History!F$29,$B$52,0)*Config!$O23^3)</f>
        <v>1.274227711670629E-2</v>
      </c>
      <c r="O33" s="901">
        <f ca="1">Config!M23*(C39+OFFSET(History!G$32,$B$52,0)*Config!$O23+OFFSET(History!G$31,$B$52,0)*Config!$O23^2+OFFSET(History!G$30,$B$52,0)*Config!$O23^3)-Config!M23*(OFFSET(History!G$32,$B$52,0)+OFFSET(History!G$31,$B$52,0)*Config!$O23+OFFSET(History!G$30,$B$52,0)*Config!$O23^2+OFFSET(History!G$29,$B$52,0)*Config!$O23^3)</f>
        <v>1.055138489216137E-2</v>
      </c>
      <c r="P33" s="902">
        <f ca="1">Config!N23*(D39+OFFSET(History!H$32,$B$52,0)*Config!$O23+OFFSET(History!H$31,$B$52,0)*Config!$O23^2+OFFSET(History!H$30,$B$52,0)*Config!$O23^3)-Config!N23*(OFFSET(History!H$32,$B$52,0)+OFFSET(History!H$31,$B$52,0)*Config!$O23+OFFSET(History!H$30,$B$52,0)*Config!$O23^2+OFFSET(History!H$29,$B$52,0)*Config!$O23^3)</f>
        <v>1.055138489216137E-2</v>
      </c>
      <c r="Q33" s="113"/>
      <c r="R33" s="900"/>
      <c r="S33" s="901"/>
      <c r="T33" s="902"/>
      <c r="U33" s="2"/>
      <c r="V33" s="638">
        <f>'72'!$U$18</f>
        <v>113</v>
      </c>
      <c r="W33" s="639">
        <f>'72'!$W$18</f>
        <v>126</v>
      </c>
      <c r="X33" s="640">
        <f>'72'!$Y$18</f>
        <v>63</v>
      </c>
      <c r="Y33" s="1114"/>
      <c r="AH33" s="1082" t="str">
        <f>Lang!$A$223</f>
        <v>Guarantee servicing</v>
      </c>
      <c r="AI33" s="1083"/>
      <c r="AJ33" s="5"/>
      <c r="AK33" s="6">
        <f ca="1">B6*60</f>
        <v>3012</v>
      </c>
      <c r="AL33" s="6">
        <f ca="1">C6*150</f>
        <v>3510</v>
      </c>
      <c r="AM33" s="7">
        <f ca="1">D6*250</f>
        <v>3300</v>
      </c>
      <c r="AN33" s="5"/>
      <c r="AO33" s="6"/>
      <c r="AP33" s="6"/>
      <c r="AQ33" s="7"/>
    </row>
    <row r="34" spans="1:43" ht="12.9" customHeight="1" thickBot="1" x14ac:dyDescent="0.3">
      <c r="A34" s="433">
        <f ca="1">SUM(AK3:AM3)/SUM($AK$2:$AM$4)*SUM($A$38:$A$40)</f>
        <v>17.366116448450406</v>
      </c>
      <c r="B34" s="434">
        <f t="shared" ca="1" si="11"/>
        <v>19.601543364842751</v>
      </c>
      <c r="C34" s="434">
        <f t="shared" ca="1" si="11"/>
        <v>15.69551792805728</v>
      </c>
      <c r="D34" s="438">
        <f t="shared" ca="1" si="11"/>
        <v>12.131741324813527</v>
      </c>
      <c r="F34" s="13" t="str">
        <f>Lang!$A$72</f>
        <v>3 mth - 1, 2, 3, 4</v>
      </c>
      <c r="G34" s="62">
        <f ca="1">OFFSET(History!O45,$B52,)</f>
        <v>75378</v>
      </c>
      <c r="H34" s="429">
        <v>2000</v>
      </c>
      <c r="I34" s="457">
        <f>'82'!G39</f>
        <v>4000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1.0393318486775646E-2</v>
      </c>
      <c r="O34" s="904">
        <f ca="1">Config!M24*(C40+OFFSET(History!K$32,$B$52,0)*Config!$O24+OFFSET(History!K$31,$B$52,0)*Config!$O24^2+OFFSET(History!K$30,$B$52,0)*Config!$O24^3)-Config!M24*(OFFSET(History!K$32,$B$52,0)+OFFSET(History!K$31,$B$52,0)*Config!$O24+OFFSET(History!K$30,$B$52,0)*Config!$O24^2+OFFSET(History!K$29,$B$52,0)*Config!$O24^3)</f>
        <v>1.055138489216137E-2</v>
      </c>
      <c r="P34" s="905">
        <f ca="1">Config!N24*(D40+OFFSET(History!L$32,$B$52,0)*Config!$O24+OFFSET(History!L$31,$B$52,0)*Config!$O24^2+OFFSET(History!L$30,$B$52,0)*Config!$O24^3)-Config!N24*(OFFSET(History!L$32,$B$52,0)+OFFSET(History!L$31,$B$52,0)*Config!$O24+OFFSET(History!L$30,$B$52,0)*Config!$O24^2+OFFSET(History!L$29,$B$52,0)*Config!$O24^3)</f>
        <v>1.055138489216137E-2</v>
      </c>
      <c r="Q34" s="113"/>
      <c r="R34" s="903"/>
      <c r="S34" s="904"/>
      <c r="T34" s="905"/>
      <c r="U34" s="2"/>
      <c r="V34" s="641">
        <f>'72'!$U$19</f>
        <v>584</v>
      </c>
      <c r="W34" s="642">
        <f>'72'!$W$19</f>
        <v>395</v>
      </c>
      <c r="X34" s="643">
        <f>'72'!$Y$19</f>
        <v>234</v>
      </c>
      <c r="Y34" s="1114"/>
      <c r="AH34" s="1084"/>
      <c r="AI34" s="1085"/>
      <c r="AJ34" s="5"/>
      <c r="AK34" s="6"/>
      <c r="AL34" s="6"/>
      <c r="AM34" s="7"/>
      <c r="AN34" s="5"/>
      <c r="AO34" s="6"/>
      <c r="AP34" s="6"/>
      <c r="AQ34" s="7"/>
    </row>
    <row r="35" spans="1:43" ht="12.9" customHeight="1" thickBot="1" x14ac:dyDescent="0.3">
      <c r="A35" s="437">
        <f ca="1">SUM(AK4:AM4)/SUM($AK$2:$AM$4)*SUM($A$38:$A$40)</f>
        <v>21.772973302782681</v>
      </c>
      <c r="B35" s="436">
        <f t="shared" ca="1" si="11"/>
        <v>25.101011952057966</v>
      </c>
      <c r="C35" s="436">
        <f t="shared" ca="1" si="11"/>
        <v>19.440402754726804</v>
      </c>
      <c r="D35" s="435">
        <f t="shared" ca="1" si="11"/>
        <v>14.923005921960497</v>
      </c>
      <c r="F35" s="15" t="str">
        <f>Lang!$A$73</f>
        <v>6 mth - 1, 2, 3</v>
      </c>
      <c r="G35" s="651">
        <f ca="1">OFFSET(History!P45,$B52,)</f>
        <v>71410</v>
      </c>
      <c r="H35" s="432">
        <v>0</v>
      </c>
      <c r="J35" s="445">
        <v>0.05</v>
      </c>
      <c r="K35" s="445">
        <v>0</v>
      </c>
      <c r="L35" s="445">
        <v>0</v>
      </c>
      <c r="N35" s="2"/>
      <c r="O35" s="2"/>
      <c r="P35" s="2"/>
      <c r="Q35" s="3"/>
      <c r="S35" s="2"/>
      <c r="T35" s="2"/>
      <c r="U35" s="2"/>
      <c r="V35" s="2"/>
      <c r="W35" s="8"/>
      <c r="AH35" s="1084"/>
      <c r="AI35" s="1085"/>
      <c r="AJ35" s="5"/>
      <c r="AK35" s="6"/>
      <c r="AL35" s="6"/>
      <c r="AM35" s="7"/>
      <c r="AN35" s="5"/>
      <c r="AO35" s="6"/>
      <c r="AP35" s="6"/>
      <c r="AQ35" s="7"/>
    </row>
    <row r="36" spans="1:43" ht="12.9" customHeight="1" thickBot="1" x14ac:dyDescent="0.3">
      <c r="E36" s="23"/>
      <c r="F36" s="1115">
        <f ca="1">F28+J42*J37+J43*J38+J44*J39+K42*K37+K43*K38+K44*K39+L42*L37+L43*L38+L44*L39</f>
        <v>492994.62861524121</v>
      </c>
      <c r="G36" s="1115"/>
      <c r="H36" s="1115"/>
      <c r="J36" s="1080" t="str">
        <f>Lang!$A$60</f>
        <v>Stocks next quarter</v>
      </c>
      <c r="K36" s="1081"/>
      <c r="L36" s="1103"/>
      <c r="N36" s="1116" t="str">
        <f>Lang!$A$74</f>
        <v>Prices</v>
      </c>
      <c r="O36" s="1117"/>
      <c r="P36" s="1118"/>
      <c r="Q36" s="743"/>
      <c r="R36" s="1080" t="str">
        <f>Lang!$A$75</f>
        <v>Web-site development</v>
      </c>
      <c r="S36" s="1081"/>
      <c r="T36" s="1103"/>
      <c r="U36" s="2"/>
      <c r="V36" s="1080" t="str">
        <f>IF(X36=4,"Taxes","")</f>
        <v/>
      </c>
      <c r="W36" s="1104"/>
      <c r="X36" s="634">
        <f>IF(X31=4,1,X31+1)</f>
        <v>1</v>
      </c>
      <c r="Y36" s="1114">
        <f>SUM(V37:X39)</f>
        <v>4965</v>
      </c>
      <c r="AH36" s="1086"/>
      <c r="AI36" s="1087"/>
      <c r="AJ36" s="9"/>
      <c r="AK36" s="10"/>
      <c r="AL36" s="10"/>
      <c r="AM36" s="11"/>
      <c r="AN36" s="9"/>
      <c r="AO36" s="10"/>
      <c r="AP36" s="10"/>
      <c r="AQ36" s="11"/>
    </row>
    <row r="37" spans="1:43" ht="12.9" customHeight="1" x14ac:dyDescent="0.25">
      <c r="A37" s="1080" t="str">
        <f>Lang!$A$38</f>
        <v>Advertising</v>
      </c>
      <c r="B37" s="1081"/>
      <c r="C37" s="1081"/>
      <c r="D37" s="453">
        <f>SUM(B38:D40)</f>
        <v>92</v>
      </c>
      <c r="F37" s="1080" t="str">
        <f>Lang!$A$76</f>
        <v>Operations</v>
      </c>
      <c r="G37" s="1081"/>
      <c r="H37" s="1103"/>
      <c r="J37" s="385">
        <f t="shared" ref="J37:L39" ca="1" si="12">B2+J2*(1-B$18)-J7-J12</f>
        <v>77.572890612014817</v>
      </c>
      <c r="K37" s="386">
        <f t="shared" ca="1" si="12"/>
        <v>0</v>
      </c>
      <c r="L37" s="387">
        <f t="shared" ca="1" si="12"/>
        <v>0</v>
      </c>
      <c r="M37" s="448">
        <f ca="1">SUM(J37:L37)/SUM(J12:L12)</f>
        <v>2.5902191356527063E-2</v>
      </c>
      <c r="N37" s="900">
        <f ca="1">((Config!J12/J42)-(Config!J12/J47))*(100-'3'!B43)/(100-Config!M27)</f>
        <v>0</v>
      </c>
      <c r="O37" s="901">
        <f ca="1">((Config!K12/K42)-(Config!K12/K47))*(100-'3'!C43)/(100-Config!N27)</f>
        <v>0</v>
      </c>
      <c r="P37" s="902">
        <f ca="1">((Config!L12/L42)-(Config!L12/L47))*(100-'3'!D43)/(100-Config!O27)</f>
        <v>0</v>
      </c>
      <c r="Q37" s="743"/>
      <c r="R37" s="900"/>
      <c r="S37" s="901"/>
      <c r="T37" s="902"/>
      <c r="U37" s="2"/>
      <c r="V37" s="638">
        <f>'82'!$U$17</f>
        <v>1093</v>
      </c>
      <c r="W37" s="639">
        <f>'82'!$W$17</f>
        <v>701</v>
      </c>
      <c r="X37" s="640">
        <f>'82'!$Y$17</f>
        <v>363</v>
      </c>
      <c r="Y37" s="1114"/>
      <c r="AH37" s="1082" t="str">
        <f>Lang!$A$77</f>
        <v>Transport</v>
      </c>
      <c r="AI37" s="1083"/>
      <c r="AJ37" s="5"/>
      <c r="AK37" s="6"/>
      <c r="AL37" s="6"/>
      <c r="AM37" s="7"/>
      <c r="AN37" s="5"/>
      <c r="AO37" s="6"/>
      <c r="AP37" s="6"/>
      <c r="AQ37" s="7"/>
    </row>
    <row r="38" spans="1:43" ht="12.9" customHeight="1" x14ac:dyDescent="0.25">
      <c r="A38" s="427">
        <v>25</v>
      </c>
      <c r="B38" s="428">
        <v>12</v>
      </c>
      <c r="C38" s="428">
        <v>10</v>
      </c>
      <c r="D38" s="429">
        <v>10</v>
      </c>
      <c r="E38" s="457">
        <f>SUM(A38:D38)</f>
        <v>57</v>
      </c>
      <c r="F38" s="1122" t="str">
        <f>Lang!$A$78</f>
        <v>Share price</v>
      </c>
      <c r="G38" s="1123"/>
      <c r="H38" s="484">
        <f ca="1">IF('81'!$O$5&gt;0,OFFSET('84'!E35,,'81'!$O$5),'84'!F35)</f>
        <v>105.38</v>
      </c>
      <c r="I38" s="483"/>
      <c r="J38" s="385">
        <f t="shared" ca="1" si="12"/>
        <v>41.132406906183064</v>
      </c>
      <c r="K38" s="386">
        <f t="shared" ca="1" si="12"/>
        <v>0</v>
      </c>
      <c r="L38" s="387">
        <f t="shared" ca="1" si="12"/>
        <v>126.01602558638493</v>
      </c>
      <c r="M38" s="448">
        <f ca="1">SUM(J38:L38)/SUM(J13:L13)</f>
        <v>0.10706898209707463</v>
      </c>
      <c r="N38" s="900">
        <f ca="1">((Config!J13/J43)-(Config!J13/J48))*(100-'3'!B44)/(100-Config!M28)</f>
        <v>0</v>
      </c>
      <c r="O38" s="901">
        <f ca="1">((Config!K13/K43)-(Config!K13/K48))*(100-'3'!C44)/(100-Config!N28)</f>
        <v>0</v>
      </c>
      <c r="P38" s="902">
        <f ca="1">((Config!L13/L43)-(Config!L13/L48))*(100-'3'!D44)/(100-Config!O28)</f>
        <v>0</v>
      </c>
      <c r="Q38" s="743"/>
      <c r="R38" s="900"/>
      <c r="S38" s="901"/>
      <c r="T38" s="902"/>
      <c r="U38" s="2"/>
      <c r="V38" s="638">
        <f>'82'!$U$18</f>
        <v>595</v>
      </c>
      <c r="W38" s="639">
        <f>'82'!$W$18</f>
        <v>362</v>
      </c>
      <c r="X38" s="640">
        <f>'82'!$Y$18</f>
        <v>190</v>
      </c>
      <c r="Y38" s="1114"/>
      <c r="Z38" s="23"/>
      <c r="AA38" s="23"/>
      <c r="AB38" s="23"/>
      <c r="AH38" s="1084"/>
      <c r="AI38" s="1085"/>
      <c r="AJ38" s="5"/>
      <c r="AK38" s="6"/>
      <c r="AL38" s="6"/>
      <c r="AM38" s="7"/>
      <c r="AN38" s="5">
        <f ca="1">CEILING(E2,1)*CEILING('82'!M36/400,1)*650</f>
        <v>31200</v>
      </c>
      <c r="AO38" s="6"/>
      <c r="AP38" s="6"/>
      <c r="AQ38" s="7"/>
    </row>
    <row r="39" spans="1:43" ht="12.9" customHeight="1" thickBot="1" x14ac:dyDescent="0.3">
      <c r="A39" s="427">
        <v>20</v>
      </c>
      <c r="B39" s="428">
        <v>10</v>
      </c>
      <c r="C39" s="428">
        <v>10</v>
      </c>
      <c r="D39" s="429">
        <v>10</v>
      </c>
      <c r="E39" s="457">
        <f>SUM(A39:D39)</f>
        <v>50</v>
      </c>
      <c r="F39" s="1096" t="str">
        <f>Lang!$A$79</f>
        <v>Exchange rate</v>
      </c>
      <c r="G39" s="1097"/>
      <c r="H39" s="485">
        <f ca="1">OFFSET(History!Q45,$B52,)</f>
        <v>0.83</v>
      </c>
      <c r="I39" s="483"/>
      <c r="J39" s="388">
        <f t="shared" ca="1" si="12"/>
        <v>56.941881970420127</v>
      </c>
      <c r="K39" s="389">
        <f t="shared" ca="1" si="12"/>
        <v>0</v>
      </c>
      <c r="L39" s="390">
        <f t="shared" ca="1" si="12"/>
        <v>0</v>
      </c>
      <c r="M39" s="448">
        <f ca="1">SUM(J39:L39)/SUM(J14:L14)</f>
        <v>2.8383237700452407E-2</v>
      </c>
      <c r="N39" s="903">
        <f ca="1">((Config!J14/J44)-(Config!J14/J49))*(100-'3'!B45)/(100-Config!M29)</f>
        <v>0</v>
      </c>
      <c r="O39" s="904">
        <f ca="1">((Config!K14/K44)-(Config!K14/K49))*(100-'3'!C45)/(100-Config!N29)</f>
        <v>5.5784618188231078E-2</v>
      </c>
      <c r="P39" s="905">
        <f ca="1">((Config!L14/L44)-(Config!L14/L49))*(100-'3'!D45)/(100-Config!O29)</f>
        <v>7.1372702866770122E-3</v>
      </c>
      <c r="Q39" s="743"/>
      <c r="R39" s="903">
        <f ca="1">($H$46+OFFSET(History!$N$58,$B$52,0)*Config!$H$14+OFFSET(History!$N$57,$B$52,0)*Config!$H$14^2+OFFSET(History!$N$56,$B$52,0)*Config!$H$14^3+1)^Config!$G$14-(OFFSET(History!$N$58,$B$52,0)+OFFSET(History!$N$57,$B$52,0)*Config!$H$14+OFFSET(History!$N$56,$B$52,0)*Config!$H$14^2+OFFSET(History!$N$55,$B$52,0)*Config!$H$14^3+1)^Config!$G$14</f>
        <v>2.424807253232375E-2</v>
      </c>
      <c r="S39" s="904">
        <f ca="1">($H$46+OFFSET(History!$N$58,$B$52,0)*Config!$H$14+OFFSET(History!$N$57,$B$52,0)*Config!$H$14^2+OFFSET(History!$N$56,$B$52,0)*Config!$H$14^3+1)^Config!$G$14-(OFFSET(History!$N$58,$B$52,0)+OFFSET(History!$N$57,$B$52,0)*Config!$H$14+OFFSET(History!$N$56,$B$52,0)*Config!$H$14^2+OFFSET(History!$N$55,$B$52,0)*Config!$H$14^3+1)^Config!$G$14</f>
        <v>2.424807253232375E-2</v>
      </c>
      <c r="T39" s="905">
        <f ca="1">($H$46+OFFSET(History!$N$58,$B$52,0)*Config!$H$14+OFFSET(History!$N$57,$B$52,0)*Config!$H$14^2+OFFSET(History!$N$56,$B$52,0)*Config!$H$14^3+1)^Config!$G$14-(OFFSET(History!$N$58,$B$52,0)+OFFSET(History!$N$57,$B$52,0)*Config!$H$14+OFFSET(History!$N$56,$B$52,0)*Config!$H$14^2+OFFSET(History!$N$55,$B$52,0)*Config!$H$14^3+1)^Config!$G$14</f>
        <v>2.424807253232375E-2</v>
      </c>
      <c r="U39" s="2"/>
      <c r="V39" s="641">
        <f>'82'!$U$19</f>
        <v>928</v>
      </c>
      <c r="W39" s="642">
        <f>'82'!$W$19</f>
        <v>479</v>
      </c>
      <c r="X39" s="643">
        <f>'82'!$Y$19</f>
        <v>254</v>
      </c>
      <c r="Y39" s="1114"/>
      <c r="Z39" s="29"/>
      <c r="AA39" s="23"/>
      <c r="AB39" s="23"/>
      <c r="AH39" s="1084"/>
      <c r="AI39" s="1085"/>
      <c r="AJ39" s="5"/>
      <c r="AK39" s="6"/>
      <c r="AL39" s="6"/>
      <c r="AM39" s="7"/>
      <c r="AN39" s="5">
        <f ca="1">CEILING(E3,1)*CEILING('82'!N36/400,1)*650+CEILING(E3,1)*8000</f>
        <v>74400</v>
      </c>
      <c r="AO39" s="6"/>
      <c r="AP39" s="6"/>
      <c r="AQ39" s="7"/>
    </row>
    <row r="40" spans="1:43" ht="12.9" customHeight="1" thickBot="1" x14ac:dyDescent="0.3">
      <c r="A40" s="430">
        <v>25</v>
      </c>
      <c r="B40" s="431">
        <v>10</v>
      </c>
      <c r="C40" s="431">
        <v>10</v>
      </c>
      <c r="D40" s="432">
        <v>10</v>
      </c>
      <c r="E40" s="457">
        <f>SUM(A40:D40)</f>
        <v>55</v>
      </c>
      <c r="F40" s="1096" t="str">
        <f>Lang!$A$80</f>
        <v>Bank base rate</v>
      </c>
      <c r="G40" s="1097"/>
      <c r="H40" s="486">
        <f>'84'!G10</f>
        <v>0.6</v>
      </c>
      <c r="I40" s="483"/>
      <c r="J40" s="448">
        <f ca="1">SUM(J37:J39)/SUM(J12:J14)</f>
        <v>5.0000000000000024E-2</v>
      </c>
      <c r="K40" s="448">
        <f ca="1">SUM(K37:K39)/SUM(K12:K14)</f>
        <v>0</v>
      </c>
      <c r="L40" s="448">
        <f ca="1">SUM(L37:L39)/SUM(L12:L14)</f>
        <v>0.12150698647385035</v>
      </c>
      <c r="R40" s="107"/>
      <c r="S40" s="3"/>
      <c r="U40" s="2"/>
      <c r="V40" s="2"/>
      <c r="W40" s="8"/>
      <c r="Z40" s="23"/>
      <c r="AA40" s="23"/>
      <c r="AB40" s="23"/>
      <c r="AG40" s="8"/>
      <c r="AH40" s="1086"/>
      <c r="AI40" s="1087"/>
      <c r="AJ40" s="9"/>
      <c r="AK40" s="10"/>
      <c r="AL40" s="10"/>
      <c r="AM40" s="11"/>
      <c r="AN40" s="9">
        <f ca="1">CEILING(E4,1)*CEILING('82'!O36/400,1)*650</f>
        <v>3250</v>
      </c>
      <c r="AO40" s="10"/>
      <c r="AP40" s="10"/>
      <c r="AQ40" s="11"/>
    </row>
    <row r="41" spans="1:43" ht="12.9" customHeight="1" thickBot="1" x14ac:dyDescent="0.3">
      <c r="E41" s="3"/>
      <c r="F41" s="1096" t="str">
        <f>Lang!$A$81</f>
        <v>Issue/repurchase shares</v>
      </c>
      <c r="G41" s="1097"/>
      <c r="H41" s="392">
        <f ca="1">IF($D$1=2,OFFSET(History!$N$72,$B$52,0),OFFSET(Config!$E$20,$B$52,0)*OFFSET(History!$O$71,$B$52-(D52-1),0)/1000)</f>
        <v>0</v>
      </c>
      <c r="I41" s="483"/>
      <c r="J41" s="1100" t="str">
        <f>Lang!$A$74</f>
        <v>Prices</v>
      </c>
      <c r="K41" s="1101"/>
      <c r="L41" s="1102"/>
      <c r="N41" s="1078" t="str">
        <f>Lang!$A$82</f>
        <v>Average prices</v>
      </c>
      <c r="O41" s="1079"/>
      <c r="P41" s="1088"/>
      <c r="R41" s="1116" t="str">
        <f>Lang!$A$83</f>
        <v>Manual correction</v>
      </c>
      <c r="S41" s="1117"/>
      <c r="T41" s="1118"/>
      <c r="U41" s="2"/>
      <c r="V41" s="1080" t="str">
        <f>IF(X41=4,"Taxes","")</f>
        <v/>
      </c>
      <c r="W41" s="1104"/>
      <c r="X41" s="634">
        <f>IF(X36=4,1,X36+1)</f>
        <v>2</v>
      </c>
      <c r="Y41" s="1114">
        <f>SUM(V42:X44)</f>
        <v>0</v>
      </c>
      <c r="AH41" s="1082" t="str">
        <f>Lang!$A$48</f>
        <v>R&amp;D</v>
      </c>
      <c r="AI41" s="1083"/>
      <c r="AJ41" s="5"/>
      <c r="AK41" s="6">
        <f ca="1">B19*1000</f>
        <v>10000</v>
      </c>
      <c r="AL41" s="6">
        <f ca="1">C19*1000</f>
        <v>35000</v>
      </c>
      <c r="AM41" s="7">
        <f ca="1">D19*1000</f>
        <v>15000</v>
      </c>
      <c r="AN41" s="5"/>
      <c r="AO41" s="6"/>
      <c r="AP41" s="6"/>
      <c r="AQ41" s="7"/>
    </row>
    <row r="42" spans="1:43" ht="12.9" customHeight="1" x14ac:dyDescent="0.25">
      <c r="A42" s="1078" t="str">
        <f>Lang!$A$84</f>
        <v>Market shares</v>
      </c>
      <c r="B42" s="1079"/>
      <c r="C42" s="1079"/>
      <c r="D42" s="918">
        <v>3</v>
      </c>
      <c r="E42" s="457">
        <f ca="1">SUM(B43:D45)</f>
        <v>600.42367361320839</v>
      </c>
      <c r="F42" s="1096" t="str">
        <f>Lang!$A$85</f>
        <v>Dividends</v>
      </c>
      <c r="G42" s="1097"/>
      <c r="H42" s="475">
        <v>0.01</v>
      </c>
      <c r="I42" s="455">
        <f ca="1">OFFSET(Config!$E$7,$B$52,0)</f>
        <v>0.06</v>
      </c>
      <c r="J42" s="409">
        <v>343</v>
      </c>
      <c r="K42" s="410">
        <v>492</v>
      </c>
      <c r="L42" s="411">
        <v>712</v>
      </c>
      <c r="M42" s="923">
        <f>AVERAGE(J42:L42)/AVERAGE(N47:P47)-1</f>
        <v>5.7583356552428633E-3</v>
      </c>
      <c r="N42" s="421">
        <f>IF(ISNUMBER(AVERAGEIF('94'!F43:M43,"&gt;0")),AVERAGEIF('94'!F43:M43,"&gt;0"),0)</f>
        <v>0</v>
      </c>
      <c r="O42" s="422">
        <f>IF(ISNUMBER(AVERAGEIF('94'!F46:M46,"&gt;0")),AVERAGEIF('94'!F46:M46,"&gt;0"),0)</f>
        <v>0</v>
      </c>
      <c r="P42" s="423">
        <f>IF(ISNUMBER(AVERAGEIF('94'!F49:M49,"&gt;0")),AVERAGEIF('94'!F49:M49,"&gt;0"),0)</f>
        <v>0</v>
      </c>
      <c r="Q42" s="923">
        <f>AVERAGE(N42:P42)/AVERAGE(N47:P47)-1</f>
        <v>-1</v>
      </c>
      <c r="R42" s="962">
        <v>0</v>
      </c>
      <c r="S42" s="600">
        <v>0</v>
      </c>
      <c r="T42" s="601">
        <v>0</v>
      </c>
      <c r="U42" s="2"/>
      <c r="V42" s="638">
        <f>'92'!$U$17</f>
        <v>0</v>
      </c>
      <c r="W42" s="639">
        <f>'92'!$W$17</f>
        <v>0</v>
      </c>
      <c r="X42" s="640">
        <f>'92'!$Y$17</f>
        <v>0</v>
      </c>
      <c r="Y42" s="1114"/>
      <c r="Z42" s="30"/>
      <c r="AA42" s="30"/>
      <c r="AB42" s="30"/>
      <c r="AH42" s="1084"/>
      <c r="AI42" s="1085"/>
      <c r="AJ42" s="5"/>
      <c r="AK42" s="6"/>
      <c r="AL42" s="6"/>
      <c r="AM42" s="7"/>
      <c r="AN42" s="5"/>
      <c r="AO42" s="6"/>
      <c r="AP42" s="6"/>
      <c r="AQ42" s="7"/>
    </row>
    <row r="43" spans="1:43" ht="12.9" customHeight="1" x14ac:dyDescent="0.25">
      <c r="A43" s="884" t="str">
        <f>Lang!$A$7</f>
        <v>Europe</v>
      </c>
      <c r="B43" s="393">
        <f ca="1">IF($D$1=2,OFFSET(History!A$72,$B$52,0),'3'!B43+(OFFSET(Config!M27,$B$52*3,0)-OFFSET(Config!M27,($B$52-1)*3,0))+IF($D$42&lt;&gt;0,$D$42,0))</f>
        <v>64.236363636363649</v>
      </c>
      <c r="C43" s="393">
        <f ca="1">IF($D$1=2,OFFSET(History!B$72,$B$52,0),'3'!C43+(OFFSET(Config!N27,$B$52*3,0)-OFFSET(Config!N27,($B$52-1)*3,0))+IF($D$42&lt;&gt;0,$D$42,0))</f>
        <v>71.645454545454527</v>
      </c>
      <c r="D43" s="394">
        <f ca="1">IF($D$1=2,OFFSET(History!C$72,$B$52,0),'3'!D43+(OFFSET(Config!O27,$B$52*3,0)-OFFSET(Config!O27,($B$52-1)*3,0))+IF($D$42&lt;&gt;0,$D$42,0))</f>
        <v>82.375000000000028</v>
      </c>
      <c r="F43" s="1096" t="str">
        <f>Lang!$A$86</f>
        <v>Term deposit</v>
      </c>
      <c r="G43" s="1097"/>
      <c r="H43" s="429">
        <v>-300</v>
      </c>
      <c r="I43" s="483"/>
      <c r="J43" s="409">
        <v>330</v>
      </c>
      <c r="K43" s="410">
        <v>490</v>
      </c>
      <c r="L43" s="411">
        <v>720</v>
      </c>
      <c r="M43" s="923">
        <f>AVERAGE(J43:L43)/AVERAGE(N48:P48)-1</f>
        <v>-1.7409534226597301E-2</v>
      </c>
      <c r="N43" s="421">
        <f>IF(ISNUMBER(AVERAGEIF('94'!F44:M44,"&gt;0")),AVERAGEIF('94'!F44:M44,"&gt;0"),0)</f>
        <v>0</v>
      </c>
      <c r="O43" s="422">
        <f>IF(ISNUMBER(AVERAGEIF('94'!F47:M47,"&gt;0")),AVERAGEIF('94'!F47:M47,"&gt;0"),0)</f>
        <v>0</v>
      </c>
      <c r="P43" s="423">
        <f>IF(ISNUMBER(AVERAGEIF('94'!F50:M50,"&gt;0")),AVERAGEIF('94'!F50:M50,"&gt;0"),0)</f>
        <v>0</v>
      </c>
      <c r="Q43" s="923">
        <f>AVERAGE(N43:P43)/AVERAGE(N48:P48)-1</f>
        <v>-1</v>
      </c>
      <c r="R43" s="962">
        <v>0</v>
      </c>
      <c r="S43" s="600">
        <v>0</v>
      </c>
      <c r="T43" s="601">
        <v>0</v>
      </c>
      <c r="U43" s="2"/>
      <c r="V43" s="638">
        <f>'92'!$U$18</f>
        <v>0</v>
      </c>
      <c r="W43" s="639">
        <f>'92'!$W$18</f>
        <v>0</v>
      </c>
      <c r="X43" s="640">
        <f>'92'!$Y$18</f>
        <v>0</v>
      </c>
      <c r="Y43" s="1114"/>
      <c r="AH43" s="1084"/>
      <c r="AI43" s="1085"/>
      <c r="AJ43" s="5"/>
      <c r="AK43" s="6"/>
      <c r="AL43" s="6"/>
      <c r="AM43" s="7"/>
      <c r="AN43" s="5"/>
      <c r="AO43" s="6"/>
      <c r="AP43" s="6"/>
      <c r="AQ43" s="7"/>
    </row>
    <row r="44" spans="1:43" ht="12.9" customHeight="1" thickBot="1" x14ac:dyDescent="0.3">
      <c r="A44" s="884" t="str">
        <f>Lang!$A$9</f>
        <v>Nafta</v>
      </c>
      <c r="B44" s="393">
        <f ca="1">IF($D$1=2,OFFSET(History!D$72,$B$52,0),'3'!B44+(OFFSET(Config!M28,$B$52*3,0)-OFFSET(Config!M28,($B$52-1)*3,0))+IF($D$42&lt;&gt;0,$D$42,0))</f>
        <v>42.825581395348834</v>
      </c>
      <c r="C44" s="393">
        <f ca="1">IF($D$1=2,OFFSET(History!E$72,$B$52,0),'3'!C44+(OFFSET(Config!N28,$B$52*3,0)-OFFSET(Config!N28,($B$52-1)*3,0))+IF($D$42&lt;&gt;0,$D$42,0))</f>
        <v>52.72558139534884</v>
      </c>
      <c r="D44" s="394">
        <f ca="1">IF($D$1=2,OFFSET(History!F$72,$B$52,0),'3'!D44+(OFFSET(Config!O28,$B$52*3,0)-OFFSET(Config!O28,($B$52-1)*3,0))+IF($D$42&lt;&gt;0,$D$42,0))</f>
        <v>60.795238095238076</v>
      </c>
      <c r="F44" s="1096" t="str">
        <f>Lang!$A$87</f>
        <v>Term loans</v>
      </c>
      <c r="G44" s="1097"/>
      <c r="H44" s="429">
        <v>0</v>
      </c>
      <c r="I44" s="483"/>
      <c r="J44" s="412">
        <v>365</v>
      </c>
      <c r="K44" s="413">
        <v>560</v>
      </c>
      <c r="L44" s="414">
        <v>845</v>
      </c>
      <c r="M44" s="923">
        <f>AVERAGE(J44:L44)/AVERAGE(N49:P49)-1</f>
        <v>-2.0940721649485017E-3</v>
      </c>
      <c r="N44" s="424">
        <f>IF(ISNUMBER(AVERAGEIF('94'!F45:M45,"&gt;0")),AVERAGEIF('94'!F45:M45,"&gt;0"),0)</f>
        <v>0</v>
      </c>
      <c r="O44" s="425">
        <f>IF(ISNUMBER(AVERAGEIF('94'!F48:M48,"&gt;0")),AVERAGEIF('94'!F48:M48,"&gt;0"),0)</f>
        <v>0</v>
      </c>
      <c r="P44" s="426">
        <f>IF(ISNUMBER(AVERAGEIF('94'!F51:M51,"&gt;0")),AVERAGEIF('94'!F51:M51,"&gt;0"),0)</f>
        <v>0</v>
      </c>
      <c r="Q44" s="923">
        <f>AVERAGE(N44:P44)/AVERAGE(N49:P49)-1</f>
        <v>-1</v>
      </c>
      <c r="R44" s="963">
        <v>0</v>
      </c>
      <c r="S44" s="964">
        <v>0</v>
      </c>
      <c r="T44" s="965">
        <v>0</v>
      </c>
      <c r="U44" s="2"/>
      <c r="V44" s="641">
        <f>'92'!$U$19</f>
        <v>0</v>
      </c>
      <c r="W44" s="642">
        <f>'92'!$W$19</f>
        <v>0</v>
      </c>
      <c r="X44" s="643">
        <f>'92'!$Y$19</f>
        <v>0</v>
      </c>
      <c r="Y44" s="1114"/>
      <c r="AC44" s="23"/>
      <c r="AD44" s="23"/>
      <c r="AE44" s="23"/>
      <c r="AH44" s="1086"/>
      <c r="AI44" s="1087"/>
      <c r="AJ44" s="9"/>
      <c r="AK44" s="10"/>
      <c r="AL44" s="10"/>
      <c r="AM44" s="11"/>
      <c r="AN44" s="9"/>
      <c r="AO44" s="10"/>
      <c r="AP44" s="10"/>
      <c r="AQ44" s="11"/>
    </row>
    <row r="45" spans="1:43" ht="12.9" customHeight="1" thickBot="1" x14ac:dyDescent="0.3">
      <c r="A45" s="887" t="str">
        <f>Lang!$A$11</f>
        <v>Internet</v>
      </c>
      <c r="B45" s="919">
        <f ca="1">IF($D$1=2,OFFSET(History!G$72,$B$52,0),'3'!B45+(OFFSET(Config!M29,$B$52*3,0)-OFFSET(Config!M29,($B$52-1)*3,0))+IF($D$42&lt;&gt;0,$D$42,0))</f>
        <v>67.963636363636354</v>
      </c>
      <c r="C45" s="919">
        <f ca="1">IF($D$1=2,OFFSET(History!H$72,$B$52,0),'3'!C45+(OFFSET(Config!N29,$B$52*3,0)-OFFSET(Config!N29,($B$52-1)*3,0))+IF($D$42&lt;&gt;0,$D$42,0))</f>
        <v>73.315909090909088</v>
      </c>
      <c r="D45" s="920">
        <f ca="1">IF($D$1=2,OFFSET(History!I$72,$B$52,0),'3'!D45+(OFFSET(Config!O29,$B$52*3,0)-OFFSET(Config!O29,($B$52-1)*3,0))+IF($D$42&lt;&gt;0,$D$42,0))</f>
        <v>84.540909090909082</v>
      </c>
      <c r="E45" s="151"/>
      <c r="F45" s="1105" t="str">
        <f>Lang!$A$68</f>
        <v>Ports</v>
      </c>
      <c r="G45" s="1106"/>
      <c r="H45" s="567">
        <f ca="1">IF($D$1=2,OFFSET(History!$K$59,$B$52,0),I45)</f>
        <v>10</v>
      </c>
      <c r="I45" s="481">
        <f>CEILING(I49*0.0001+6,1)</f>
        <v>10</v>
      </c>
      <c r="J45" s="923">
        <f>AVERAGE(J42:J44)/AVERAGE(N47:N49)-1</f>
        <v>-1.9230769230770273E-3</v>
      </c>
      <c r="K45" s="923">
        <f>AVERAGE(K42:K44)/AVERAGE(O47:O49)-1</f>
        <v>-2.4138866286954053E-2</v>
      </c>
      <c r="L45" s="923">
        <f>AVERAGE(L42:L44)/AVERAGE(P47:P49)-1</f>
        <v>7.9681274900398336E-3</v>
      </c>
      <c r="M45" s="703"/>
      <c r="N45" s="923">
        <f>AVERAGE(N42:N44)/AVERAGE(N47:N49)-1</f>
        <v>-1</v>
      </c>
      <c r="O45" s="923">
        <f>AVERAGE(O42:O44)/AVERAGE(O47:O49)-1</f>
        <v>-1</v>
      </c>
      <c r="P45" s="923">
        <f>AVERAGE(P42:P44)/AVERAGE(P47:P49)-1</f>
        <v>-1</v>
      </c>
      <c r="Q45" s="3"/>
      <c r="R45" s="3"/>
      <c r="S45" s="3"/>
      <c r="U45" s="2"/>
      <c r="V45" s="2"/>
      <c r="W45" s="8"/>
      <c r="AC45" s="23"/>
      <c r="AD45" s="23"/>
      <c r="AE45" s="23"/>
      <c r="AH45" s="1082" t="str">
        <f>Lang!$A$75</f>
        <v>Web-site development</v>
      </c>
      <c r="AI45" s="1083"/>
      <c r="AJ45" s="5"/>
      <c r="AK45" s="6"/>
      <c r="AL45" s="6"/>
      <c r="AM45" s="7"/>
      <c r="AN45" s="5"/>
      <c r="AO45" s="6"/>
      <c r="AP45" s="6"/>
      <c r="AQ45" s="7"/>
    </row>
    <row r="46" spans="1:43" ht="12.9" customHeight="1" thickBot="1" x14ac:dyDescent="0.3">
      <c r="F46" s="1107" t="str">
        <f>Lang!$A$75</f>
        <v>Web-site development</v>
      </c>
      <c r="G46" s="1108"/>
      <c r="H46" s="429">
        <v>27</v>
      </c>
      <c r="I46" s="487"/>
      <c r="J46" s="1109" t="str">
        <f>Lang!$A$88</f>
        <v>Prices previous quarter</v>
      </c>
      <c r="K46" s="1110"/>
      <c r="L46" s="1111"/>
      <c r="N46" s="1109" t="str">
        <f>Lang!$A$89</f>
        <v>Average prices previous quarter</v>
      </c>
      <c r="O46" s="1110"/>
      <c r="P46" s="1111"/>
      <c r="Q46" s="3"/>
      <c r="R46" s="1112" t="str">
        <f>Lang!$A$90</f>
        <v>Deviation</v>
      </c>
      <c r="S46" s="1113"/>
      <c r="T46" s="69">
        <v>0</v>
      </c>
      <c r="U46" s="2"/>
      <c r="V46" s="1080" t="str">
        <f>IF(X46=4,"Taxes","")</f>
        <v/>
      </c>
      <c r="W46" s="1104"/>
      <c r="X46" s="634">
        <f>IF(X41=4,1,X41+1)</f>
        <v>3</v>
      </c>
      <c r="Y46" s="1114">
        <f>SUM(V47:X49)</f>
        <v>0</v>
      </c>
      <c r="AC46" s="23"/>
      <c r="AD46" s="23"/>
      <c r="AE46" s="23"/>
      <c r="AH46" s="1084"/>
      <c r="AI46" s="1085"/>
      <c r="AJ46" s="5"/>
      <c r="AK46" s="6"/>
      <c r="AL46" s="6"/>
      <c r="AM46" s="7"/>
      <c r="AN46" s="5"/>
      <c r="AO46" s="6"/>
      <c r="AP46" s="6"/>
      <c r="AQ46" s="7"/>
    </row>
    <row r="47" spans="1:43" ht="12.9" customHeight="1" x14ac:dyDescent="0.25">
      <c r="A47" s="1078" t="str">
        <f>Lang!$A$91</f>
        <v>Variable costs in price</v>
      </c>
      <c r="B47" s="1079"/>
      <c r="C47" s="1079"/>
      <c r="D47" s="1088"/>
      <c r="F47" s="1096" t="str">
        <f>Lang!$A$115</f>
        <v>Management budget</v>
      </c>
      <c r="G47" s="1097"/>
      <c r="H47" s="429">
        <v>100</v>
      </c>
      <c r="I47" s="457">
        <f ca="1">(C71-C70)*0.14/1000</f>
        <v>136.31157592905086</v>
      </c>
      <c r="J47" s="415">
        <f>'81'!F19</f>
        <v>343</v>
      </c>
      <c r="K47" s="416">
        <f>'81'!H19</f>
        <v>492</v>
      </c>
      <c r="L47" s="417">
        <f>'81'!J19</f>
        <v>712</v>
      </c>
      <c r="N47" s="421">
        <f>AVERAGEIF('84'!F43:M43,"&gt;0")</f>
        <v>331</v>
      </c>
      <c r="O47" s="422">
        <f>AVERAGEIF('84'!F46:M46,"&gt;0")</f>
        <v>499.28571428571428</v>
      </c>
      <c r="P47" s="423">
        <f>AVERAGEIF('84'!F49:M49,"&gt;0")</f>
        <v>707.85714285714289</v>
      </c>
      <c r="R47" s="908">
        <f ca="1">IF('82'!U17&gt;0,'92'!U17/'82'!U17-1-N2,0)</f>
        <v>-1.419449050540069</v>
      </c>
      <c r="S47" s="909">
        <f ca="1">IF('82'!W17&gt;0,'92'!W17/'82'!W17-1-O2,0)</f>
        <v>-1.3562932172407804</v>
      </c>
      <c r="T47" s="910">
        <f ca="1">IF('82'!Y17&gt;0,'92'!Y17/'82'!Y17-1-P2,0)</f>
        <v>-1.357078665803982</v>
      </c>
      <c r="U47" s="2"/>
      <c r="V47" s="638">
        <f>'102'!$U$17</f>
        <v>0</v>
      </c>
      <c r="W47" s="639">
        <f>'102'!$W$17</f>
        <v>0</v>
      </c>
      <c r="X47" s="640">
        <f>'102'!$Y$17</f>
        <v>0</v>
      </c>
      <c r="Y47" s="1114"/>
      <c r="AH47" s="1084"/>
      <c r="AI47" s="1085"/>
      <c r="AJ47" s="5"/>
      <c r="AK47" s="6"/>
      <c r="AL47" s="6"/>
      <c r="AM47" s="7"/>
      <c r="AN47" s="5"/>
      <c r="AO47" s="6"/>
      <c r="AP47" s="6"/>
      <c r="AQ47" s="7"/>
    </row>
    <row r="48" spans="1:43" ht="12.9" customHeight="1" thickBot="1" x14ac:dyDescent="0.3">
      <c r="A48" s="884" t="str">
        <f>Lang!$A$7</f>
        <v>Europe</v>
      </c>
      <c r="B48" s="449">
        <f ca="1">AO6/(B2*(1+'82'!U$8/'82'!U$6))/J42</f>
        <v>0.57414432069678412</v>
      </c>
      <c r="C48" s="449">
        <f ca="1">AP6/(C2*(1+'82'!W$8/'82'!W$6))/K42</f>
        <v>0.62144501940955577</v>
      </c>
      <c r="D48" s="450">
        <f ca="1">AQ6/(D2*(1+'82'!Y$8/'82'!Y$6))/L42</f>
        <v>0.68695862099790705</v>
      </c>
      <c r="E48" s="448">
        <f ca="1">E49+E50</f>
        <v>0.89417173735177147</v>
      </c>
      <c r="F48" s="1096" t="str">
        <f>Lang!$A$92</f>
        <v>Insurance plan</v>
      </c>
      <c r="G48" s="1097"/>
      <c r="H48" s="392">
        <f ca="1">IF($D$1=2,OFFSET(History!$O$33,$B$52,0),IF(OFFSET(Config!D20,B52,)&gt;('83'!R12+'83'!L18)*0.005,4,0))</f>
        <v>0</v>
      </c>
      <c r="I48" s="483"/>
      <c r="J48" s="415">
        <f>'81'!F20</f>
        <v>330</v>
      </c>
      <c r="K48" s="416">
        <f>'81'!H20</f>
        <v>490</v>
      </c>
      <c r="L48" s="417">
        <f>'81'!J20</f>
        <v>720</v>
      </c>
      <c r="N48" s="421">
        <f>AVERAGEIF('84'!F44:M44,"&gt;0")</f>
        <v>339.14285714285717</v>
      </c>
      <c r="O48" s="422">
        <f>AVERAGEIF('84'!F47:M47,"&gt;0")</f>
        <v>499</v>
      </c>
      <c r="P48" s="423">
        <f>AVERAGEIF('84'!F50:M50,"&gt;0")</f>
        <v>729.14285714285711</v>
      </c>
      <c r="R48" s="908">
        <f ca="1">IF('82'!U18&gt;0,'92'!U18/'82'!U18-1-N3,0)</f>
        <v>-1.3826019128128748</v>
      </c>
      <c r="S48" s="909">
        <f ca="1">IF('82'!W18&gt;0,'92'!W18/'82'!W18-1-O3,0)</f>
        <v>-1.3437796851494479</v>
      </c>
      <c r="T48" s="910">
        <f ca="1">IF('82'!Y18&gt;0,'92'!Y18/'82'!Y18-1-P3,0)</f>
        <v>-1.3264844798566831</v>
      </c>
      <c r="U48" s="2"/>
      <c r="V48" s="638">
        <f>'102'!$U$18</f>
        <v>0</v>
      </c>
      <c r="W48" s="639">
        <f>'102'!$W$18</f>
        <v>0</v>
      </c>
      <c r="X48" s="640">
        <f>'102'!$Y$18</f>
        <v>0</v>
      </c>
      <c r="Y48" s="1114"/>
      <c r="AB48" s="23"/>
      <c r="AC48" s="23"/>
      <c r="AD48" s="23"/>
      <c r="AE48" s="23"/>
      <c r="AH48" s="1086"/>
      <c r="AI48" s="1087"/>
      <c r="AJ48" s="9">
        <f>C62</f>
        <v>27000</v>
      </c>
      <c r="AK48" s="10"/>
      <c r="AL48" s="10"/>
      <c r="AM48" s="11"/>
      <c r="AN48" s="9"/>
      <c r="AO48" s="10"/>
      <c r="AP48" s="10"/>
      <c r="AQ48" s="11"/>
    </row>
    <row r="49" spans="1:43" ht="12.9" customHeight="1" thickBot="1" x14ac:dyDescent="0.3">
      <c r="A49" s="884" t="str">
        <f>Lang!$A$9</f>
        <v>Nafta</v>
      </c>
      <c r="B49" s="449">
        <f ca="1">AO7/(B3*(1+'82'!U$8/'82'!U$6))/J43</f>
        <v>0.65119570278472116</v>
      </c>
      <c r="C49" s="449">
        <f ca="1">AP7/(C3*(1+'82'!W$8/'82'!W$6))/K43</f>
        <v>0.68349274549430361</v>
      </c>
      <c r="D49" s="450">
        <f ca="1">AQ7/(D3*(1+'82'!Y$8/'82'!Y$6))/L43</f>
        <v>0.71759907919827648</v>
      </c>
      <c r="E49" s="448">
        <f ca="1">AN1</f>
        <v>0.64080754231501913</v>
      </c>
      <c r="F49" s="1096" t="str">
        <f>Lang!$A$93</f>
        <v>Corporate activity</v>
      </c>
      <c r="G49" s="1097"/>
      <c r="H49" s="429">
        <v>1</v>
      </c>
      <c r="I49" s="457">
        <f>I50*0.85+A40*500</f>
        <v>32993.5</v>
      </c>
      <c r="J49" s="418">
        <f>'81'!F21</f>
        <v>365</v>
      </c>
      <c r="K49" s="419">
        <f>'81'!H21</f>
        <v>580</v>
      </c>
      <c r="L49" s="420">
        <f>'81'!J21</f>
        <v>855</v>
      </c>
      <c r="N49" s="424">
        <f>AVERAGEIF('84'!F45:M45,"&gt;0")</f>
        <v>369.85714285714283</v>
      </c>
      <c r="O49" s="425">
        <f>AVERAGEIF('84'!F48:M48,"&gt;0")</f>
        <v>581.85714285714289</v>
      </c>
      <c r="P49" s="426">
        <f>AVERAGEIF('84'!F51:M51,"&gt;0")</f>
        <v>822</v>
      </c>
      <c r="R49" s="911">
        <f ca="1">IF('82'!U19&gt;0,'92'!U19/'82'!U19-1-N4,0)</f>
        <v>-1.2271957321211233</v>
      </c>
      <c r="S49" s="912">
        <f ca="1">IF('82'!W19&gt;0,'92'!W19/'82'!W19-1-O4,0)</f>
        <v>-1.2001766252001345</v>
      </c>
      <c r="T49" s="913">
        <f ca="1">IF('82'!Y19&gt;0,'92'!Y19/'82'!Y19-1-P4,0)</f>
        <v>-1.1514082374499555</v>
      </c>
      <c r="U49" s="2"/>
      <c r="V49" s="641">
        <f>'102'!$U$19</f>
        <v>0</v>
      </c>
      <c r="W49" s="642">
        <f>'102'!$W$19</f>
        <v>0</v>
      </c>
      <c r="X49" s="643">
        <f>'102'!$Y$19</f>
        <v>0</v>
      </c>
      <c r="Y49" s="1114"/>
      <c r="AC49" s="23"/>
      <c r="AD49" s="23"/>
      <c r="AE49" s="23"/>
      <c r="AH49" s="1082" t="str">
        <f>Lang!$A$106</f>
        <v>Personnel department</v>
      </c>
      <c r="AI49" s="1083"/>
      <c r="AJ49" s="5">
        <f>C63</f>
        <v>63500</v>
      </c>
      <c r="AK49" s="6"/>
      <c r="AL49" s="6"/>
      <c r="AM49" s="7"/>
      <c r="AN49" s="5"/>
      <c r="AO49" s="6"/>
      <c r="AP49" s="6"/>
      <c r="AQ49" s="7"/>
    </row>
    <row r="50" spans="1:43" ht="12.9" customHeight="1" thickBot="1" x14ac:dyDescent="0.3">
      <c r="A50" s="887" t="str">
        <f>Lang!$A$11</f>
        <v>Internet</v>
      </c>
      <c r="B50" s="451">
        <f ca="1">AO8/(B4*(1+'82'!U$8/'82'!U$6))/J44</f>
        <v>0.55700481567445159</v>
      </c>
      <c r="C50" s="451">
        <f ca="1">AP8/(C4*(1+'82'!W$8/'82'!W$6))/K44</f>
        <v>0.72896374776775819</v>
      </c>
      <c r="D50" s="452">
        <f ca="1">AQ8/(D4*(1+'82'!Y$8/'82'!Y$6))/L44</f>
        <v>0.66630366280570641</v>
      </c>
      <c r="E50" s="448">
        <f ca="1">AN1/AN5*AJ5</f>
        <v>0.25336419503675239</v>
      </c>
      <c r="F50" s="1098" t="str">
        <f>Lang!$A$84</f>
        <v>Market shares</v>
      </c>
      <c r="G50" s="1099"/>
      <c r="H50" s="550">
        <f>IF($D$1=2,'91'!P35,1)</f>
        <v>1</v>
      </c>
      <c r="I50" s="473">
        <f>'82'!G43</f>
        <v>24110</v>
      </c>
      <c r="Q50" s="133"/>
      <c r="U50" s="2"/>
      <c r="AH50" s="1084"/>
      <c r="AI50" s="1085"/>
      <c r="AJ50" s="5"/>
      <c r="AK50" s="6"/>
      <c r="AL50" s="6"/>
      <c r="AM50" s="7"/>
      <c r="AN50" s="5"/>
      <c r="AO50" s="6"/>
      <c r="AP50" s="6"/>
      <c r="AQ50" s="7"/>
    </row>
    <row r="51" spans="1:43" ht="12.9" customHeight="1" x14ac:dyDescent="0.25">
      <c r="R51" s="95"/>
      <c r="S51" s="95"/>
      <c r="T51" s="95"/>
      <c r="U51" s="2"/>
      <c r="V51" s="95"/>
      <c r="W51" s="95"/>
      <c r="X51" s="95"/>
      <c r="AH51" s="1084"/>
      <c r="AI51" s="1085"/>
      <c r="AJ51" s="5"/>
      <c r="AK51" s="6"/>
      <c r="AL51" s="6"/>
      <c r="AM51" s="7"/>
      <c r="AN51" s="5"/>
      <c r="AO51" s="6"/>
      <c r="AP51" s="6"/>
      <c r="AQ51" s="7"/>
    </row>
    <row r="52" spans="1:43" ht="12.9" customHeight="1" thickBot="1" x14ac:dyDescent="0.3">
      <c r="A52" s="3" t="str">
        <f>Lang!$A$94</f>
        <v>Decision</v>
      </c>
      <c r="B52" s="461">
        <v>4</v>
      </c>
      <c r="C52" s="3" t="str">
        <f>Lang!$A$95</f>
        <v>Quarter</v>
      </c>
      <c r="D52" s="462">
        <f>IF('81'!S9=4,1,'81'!S9+1)</f>
        <v>2</v>
      </c>
      <c r="I52" s="3"/>
      <c r="R52" s="95"/>
      <c r="S52" s="95"/>
      <c r="T52" s="95"/>
      <c r="V52" s="95"/>
      <c r="W52" s="95"/>
      <c r="X52" s="95"/>
      <c r="AH52" s="1086"/>
      <c r="AI52" s="1087"/>
      <c r="AJ52" s="9"/>
      <c r="AK52" s="10"/>
      <c r="AL52" s="10"/>
      <c r="AM52" s="11"/>
      <c r="AN52" s="9"/>
      <c r="AO52" s="10"/>
      <c r="AP52" s="10"/>
      <c r="AQ52" s="11"/>
    </row>
    <row r="53" spans="1:43" ht="12.9" customHeight="1" x14ac:dyDescent="0.25">
      <c r="E53" s="151"/>
      <c r="M53" s="3"/>
      <c r="Q53" s="3"/>
      <c r="R53" s="95"/>
      <c r="S53" s="95"/>
      <c r="T53" s="95"/>
      <c r="V53" s="95"/>
      <c r="W53" s="95"/>
      <c r="X53" s="95"/>
      <c r="AH53" s="1082" t="str">
        <f>Lang!$A$37</f>
        <v>Maintenance hours</v>
      </c>
      <c r="AI53" s="1083"/>
      <c r="AJ53" s="5">
        <f ca="1">C64</f>
        <v>17000</v>
      </c>
      <c r="AK53" s="6"/>
      <c r="AL53" s="6"/>
      <c r="AM53" s="7"/>
      <c r="AN53" s="5"/>
      <c r="AO53" s="6"/>
      <c r="AP53" s="6"/>
      <c r="AQ53" s="7"/>
    </row>
    <row r="54" spans="1:43" ht="12.9" customHeight="1" x14ac:dyDescent="0.25">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84"/>
      <c r="AI54" s="1085"/>
      <c r="AJ54" s="5"/>
      <c r="AK54" s="6"/>
      <c r="AL54" s="6"/>
      <c r="AM54" s="7"/>
      <c r="AN54" s="5"/>
      <c r="AO54" s="6"/>
      <c r="AP54" s="6"/>
      <c r="AQ54" s="7"/>
    </row>
    <row r="55" spans="1:43" ht="12.9" customHeight="1" x14ac:dyDescent="0.25">
      <c r="A55" s="21" t="str">
        <f>Lang!$A$38</f>
        <v>Advertising</v>
      </c>
      <c r="B55" s="20"/>
      <c r="C55" s="19">
        <f>SUM(A38:D40)*1000</f>
        <v>162000</v>
      </c>
      <c r="D55" s="504">
        <f>'93'!F8</f>
        <v>0</v>
      </c>
      <c r="E55" s="150"/>
      <c r="F55" s="20" t="str">
        <f>Lang!$A$100</f>
        <v>Orders revenue</v>
      </c>
      <c r="H55" s="22">
        <f ca="1">J12*J42+J13*J43+J14*J44+K12*K42+K13*K43+K14*K44+L12*L42+L13*L43+L14*L44</f>
        <v>3026704.3028367083</v>
      </c>
      <c r="I55" s="151">
        <f ca="1">H56-H55</f>
        <v>159592.60000000056</v>
      </c>
      <c r="K55" s="501" t="str">
        <f>Lang!$A$153</f>
        <v>Non-current assets</v>
      </c>
      <c r="L55" s="501"/>
      <c r="M55" s="20"/>
      <c r="N55" s="655"/>
      <c r="O55" s="504"/>
      <c r="P55" s="149" t="str">
        <f>Lang!$A$101</f>
        <v>Operating activities</v>
      </c>
      <c r="Q55" s="3"/>
      <c r="R55" s="3"/>
      <c r="S55" s="3"/>
      <c r="V55" s="907"/>
      <c r="W55" s="907"/>
      <c r="X55" s="907"/>
      <c r="AH55" s="1084"/>
      <c r="AI55" s="1085"/>
      <c r="AJ55" s="5"/>
      <c r="AK55" s="6"/>
      <c r="AL55" s="6"/>
      <c r="AM55" s="7"/>
      <c r="AN55" s="5"/>
      <c r="AO55" s="6"/>
      <c r="AP55" s="6"/>
      <c r="AQ55" s="7"/>
    </row>
    <row r="56" spans="1:43" ht="12.9" customHeight="1" thickBot="1" x14ac:dyDescent="0.3">
      <c r="A56" s="21" t="str">
        <f>Lang!$A$47</f>
        <v>Internet distributor</v>
      </c>
      <c r="B56" s="20"/>
      <c r="C56" s="19">
        <f ca="1">(J19*J44+K19*K44+L19*L44)*D30+C30*1000</f>
        <v>91779.029306530792</v>
      </c>
      <c r="D56" s="504">
        <f>'93'!F9</f>
        <v>0</v>
      </c>
      <c r="E56" s="3"/>
      <c r="F56" s="20" t="str">
        <f>Lang!$A$102</f>
        <v>Sales revenue</v>
      </c>
      <c r="H56" s="19">
        <f ca="1">(J17*J42+K17*K42+L17*L42+J18*J43+K18*K43+L18*L43+J19*J44+K19*K44+L19*L44)+E17</f>
        <v>3186296.9028367088</v>
      </c>
      <c r="I56" s="504">
        <f>'93'!L8</f>
        <v>0</v>
      </c>
      <c r="K56" s="3" t="str">
        <f>Lang!$A$238</f>
        <v>Land</v>
      </c>
      <c r="L56" s="2"/>
      <c r="M56" s="19">
        <f>'83'!R9</f>
        <v>50000</v>
      </c>
      <c r="N56" s="504">
        <f>'93'!R9</f>
        <v>0</v>
      </c>
      <c r="O56" s="655"/>
      <c r="P56" s="3" t="str">
        <f>Lang!$A$249</f>
        <v>Trading receipts</v>
      </c>
      <c r="Q56" s="3"/>
      <c r="R56" s="19">
        <f ca="1">(J17*J42+K17*K42+L17*L42)*0.34+('81'!F19*'82'!U22+'81'!H19*'82'!W22+'81'!J19*'82'!Y22)*0.66+('81'!F20*'82'!U23+'81'!H20*'82'!W23+'81'!J20*'82'!Y23)+(J19*J44+K19*K44+L19*L44)</f>
        <v>2430114.0297311763</v>
      </c>
      <c r="S56" s="504">
        <f>'93'!X9</f>
        <v>0</v>
      </c>
      <c r="V56" s="907"/>
      <c r="W56" s="907"/>
      <c r="X56" s="907"/>
      <c r="AH56" s="1086"/>
      <c r="AI56" s="1087"/>
      <c r="AJ56" s="9"/>
      <c r="AK56" s="10"/>
      <c r="AL56" s="10"/>
      <c r="AM56" s="11"/>
      <c r="AN56" s="9"/>
      <c r="AO56" s="10"/>
      <c r="AP56" s="10"/>
      <c r="AQ56" s="11"/>
    </row>
    <row r="57" spans="1:43" ht="12.9" customHeight="1" x14ac:dyDescent="0.25">
      <c r="A57" s="21" t="str">
        <f>Lang!$A$54</f>
        <v>Internet service provider</v>
      </c>
      <c r="B57" s="20"/>
      <c r="C57" s="19">
        <f ca="1">(J19*J44+K19*K44+L19*L44)*0.03+'82'!G42*1000</f>
        <v>38542.135989949049</v>
      </c>
      <c r="D57" s="504">
        <f>'93'!F10</f>
        <v>0</v>
      </c>
      <c r="E57" s="3"/>
      <c r="F57" s="20"/>
      <c r="H57" s="22"/>
      <c r="I57" s="504"/>
      <c r="J57" s="23"/>
      <c r="K57" s="20" t="str">
        <f>Lang!$A$239</f>
        <v>Buildings</v>
      </c>
      <c r="L57" s="20"/>
      <c r="M57" s="19">
        <f>'83'!R10+D13*500</f>
        <v>400000</v>
      </c>
      <c r="N57" s="504">
        <f>'93'!R10</f>
        <v>0</v>
      </c>
      <c r="O57" s="655"/>
      <c r="P57" s="3" t="str">
        <f>Lang!$A$234</f>
        <v>Insurance receipts</v>
      </c>
      <c r="Q57" s="3"/>
      <c r="R57" s="19">
        <f ca="1">H70</f>
        <v>0</v>
      </c>
      <c r="S57" s="504">
        <f>'93'!X10</f>
        <v>0</v>
      </c>
      <c r="V57" s="907"/>
      <c r="W57" s="907"/>
      <c r="X57" s="907"/>
      <c r="AH57" s="1082" t="str">
        <f>Lang!$A$107</f>
        <v xml:space="preserve">Purchasing and warehousing </v>
      </c>
      <c r="AI57" s="1083"/>
      <c r="AJ57" s="5">
        <f ca="1">C65</f>
        <v>10857.117249956924</v>
      </c>
      <c r="AK57" s="6"/>
      <c r="AL57" s="6"/>
      <c r="AM57" s="7"/>
      <c r="AN57" s="5"/>
      <c r="AO57" s="6"/>
      <c r="AP57" s="6"/>
      <c r="AQ57" s="7"/>
    </row>
    <row r="58" spans="1:43" ht="12.9" customHeight="1" x14ac:dyDescent="0.25">
      <c r="A58" s="379" t="str">
        <f>Lang!$A$58</f>
        <v>Agents and distributors</v>
      </c>
      <c r="B58" s="20"/>
      <c r="C58" s="19">
        <f ca="1">(J12*J42+K12*K42+L12*L42)*MAX('81'!W14/100,D28)+(J18*J43+K18*K43+L18*L43)*MAX('81'!W15/100,D29)+(E28*MAX('81'!T14,C28)+E29*MAX('81'!T15,C29))*1000+((B28+B29)-(E28+E29))*7500</f>
        <v>341887.71492040588</v>
      </c>
      <c r="D58" s="504">
        <f>'93'!F11</f>
        <v>0</v>
      </c>
      <c r="E58" s="150"/>
      <c r="F58" s="20" t="str">
        <f>Lang!$A$229</f>
        <v>Opening inventory values</v>
      </c>
      <c r="H58" s="19">
        <f>'83'!L18</f>
        <v>1301918</v>
      </c>
      <c r="I58" s="504">
        <f>'93'!L10</f>
        <v>0</v>
      </c>
      <c r="K58" s="2" t="str">
        <f>Lang!$A$240</f>
        <v>Machinery</v>
      </c>
      <c r="L58" s="2"/>
      <c r="M58" s="19">
        <f>IF('82'!G21&gt;0,('83'!R11+H8*300000-'83'!R11/'82'!G21*H9)*0.975,0)</f>
        <v>1238840.8499999999</v>
      </c>
      <c r="N58" s="504">
        <f>'93'!R11</f>
        <v>0</v>
      </c>
      <c r="O58" s="655"/>
      <c r="P58" s="3" t="str">
        <f>Lang!$A$250</f>
        <v>Trading payments</v>
      </c>
      <c r="Q58" s="3"/>
      <c r="R58" s="19">
        <f ca="1">(C71+H59+H60+H63+H62+H61+H64+H65+'83'!R25)-M74</f>
        <v>2802092.3164984435</v>
      </c>
      <c r="S58" s="504">
        <f>'93'!X11</f>
        <v>0</v>
      </c>
      <c r="AH58" s="1084"/>
      <c r="AI58" s="1085"/>
      <c r="AJ58" s="5"/>
      <c r="AK58" s="6"/>
      <c r="AL58" s="6"/>
      <c r="AM58" s="7"/>
      <c r="AN58" s="5"/>
      <c r="AO58" s="6"/>
      <c r="AP58" s="6"/>
      <c r="AQ58" s="7"/>
    </row>
    <row r="59" spans="1:43" ht="12.9" customHeight="1" x14ac:dyDescent="0.25">
      <c r="A59" s="21" t="str">
        <f>Lang!$A$64</f>
        <v>Sales office</v>
      </c>
      <c r="B59" s="20"/>
      <c r="C59" s="19">
        <f ca="1">MAX(H55,H56)*0.01</f>
        <v>31862.96902836709</v>
      </c>
      <c r="D59" s="504">
        <f>'93'!F12</f>
        <v>0</v>
      </c>
      <c r="E59" s="3"/>
      <c r="F59" s="8" t="str">
        <f>Lang!$A$230</f>
        <v>Components purchased</v>
      </c>
      <c r="G59" s="8"/>
      <c r="H59" s="19">
        <f ca="1">B8*ROUND(B10,0)+C8*ROUND(C10,0)+D8*ROUND(D10,0)</f>
        <v>915750</v>
      </c>
      <c r="I59" s="504">
        <f>'93'!L11</f>
        <v>0</v>
      </c>
      <c r="J59" s="8"/>
      <c r="K59" s="20" t="str">
        <f>Lang!$A$103</f>
        <v>Property, plant and equipment</v>
      </c>
      <c r="L59" s="20"/>
      <c r="M59" s="19">
        <f>SUM(M56:M58)</f>
        <v>1688840.8499999999</v>
      </c>
      <c r="N59" s="504">
        <f>'93'!R12</f>
        <v>0</v>
      </c>
      <c r="O59" s="655"/>
      <c r="P59" s="3" t="str">
        <f>Lang!$A$251</f>
        <v>Tax paid</v>
      </c>
      <c r="Q59" s="3"/>
      <c r="R59" s="19">
        <f>IF(D52=2,'83'!R24,0)</f>
        <v>0</v>
      </c>
      <c r="S59" s="504">
        <f>'93'!X12</f>
        <v>0</v>
      </c>
      <c r="V59" s="617"/>
      <c r="W59" s="617"/>
      <c r="X59" s="617"/>
      <c r="AH59" s="1084"/>
      <c r="AI59" s="1085"/>
      <c r="AJ59" s="5"/>
      <c r="AK59" s="6"/>
      <c r="AL59" s="6"/>
      <c r="AM59" s="7"/>
      <c r="AN59" s="5"/>
      <c r="AO59" s="6"/>
      <c r="AP59" s="6"/>
      <c r="AQ59" s="7"/>
    </row>
    <row r="60" spans="1:43" ht="12.9" customHeight="1" thickBot="1" x14ac:dyDescent="0.3">
      <c r="A60" s="21" t="str">
        <f>Lang!$A$223</f>
        <v>Guarantee servicing</v>
      </c>
      <c r="B60" s="20"/>
      <c r="C60" s="19">
        <f ca="1">B6*60+C6*150+D6*250</f>
        <v>9822</v>
      </c>
      <c r="D60" s="504">
        <f>'93'!F13</f>
        <v>0</v>
      </c>
      <c r="E60" s="3"/>
      <c r="F60" s="2" t="str">
        <f>Lang!$A$137</f>
        <v>Materials purchased</v>
      </c>
      <c r="H60" s="19">
        <f ca="1">(H32*G33*1.5+IF(H31&lt;0,-H31,0)*G33*1.1+H33*G33+H34*G34+H35*G35)*H39/1000</f>
        <v>175756.04221285862</v>
      </c>
      <c r="I60" s="504">
        <f>'93'!L12</f>
        <v>0</v>
      </c>
      <c r="L60" s="2"/>
      <c r="M60" s="3"/>
      <c r="N60" s="504"/>
      <c r="O60" s="655"/>
      <c r="P60" s="3" t="str">
        <f>Lang!$A$104</f>
        <v>Net cash flow from operations</v>
      </c>
      <c r="Q60" s="3"/>
      <c r="R60" s="19">
        <f ca="1">R56+R57-R58-R59</f>
        <v>-371978.28676726716</v>
      </c>
      <c r="S60" s="504">
        <f>'93'!X13</f>
        <v>0</v>
      </c>
      <c r="V60" s="617"/>
      <c r="W60" s="617"/>
      <c r="X60" s="617"/>
      <c r="AH60" s="1086"/>
      <c r="AI60" s="1087"/>
      <c r="AJ60" s="9"/>
      <c r="AK60" s="10"/>
      <c r="AL60" s="10"/>
      <c r="AM60" s="11"/>
      <c r="AN60" s="9"/>
      <c r="AO60" s="10"/>
      <c r="AP60" s="10"/>
      <c r="AQ60" s="11"/>
    </row>
    <row r="61" spans="1:43" ht="12.9" customHeight="1" x14ac:dyDescent="0.25">
      <c r="A61" s="21" t="str">
        <f>Lang!$A$294</f>
        <v>Product development</v>
      </c>
      <c r="B61" s="20"/>
      <c r="C61" s="19">
        <f ca="1">SUM(B19:D19)*1000</f>
        <v>60000</v>
      </c>
      <c r="D61" s="504">
        <f>'93'!F14</f>
        <v>0</v>
      </c>
      <c r="E61" s="3"/>
      <c r="F61" s="20" t="str">
        <f>Lang!$A$149</f>
        <v>Machine running costs</v>
      </c>
      <c r="H61" s="19">
        <f ca="1">8*H2+3500*H7+IF(H7=0,0,H11*12500)+SUM(B2:D5)</f>
        <v>95017.79129302183</v>
      </c>
      <c r="I61" s="504">
        <f>'93'!L13</f>
        <v>0</v>
      </c>
      <c r="K61" s="365" t="str">
        <f>Lang!$A$113</f>
        <v>Current assets</v>
      </c>
      <c r="L61" s="2"/>
      <c r="M61" s="3"/>
      <c r="N61" s="504"/>
      <c r="Q61" s="3"/>
      <c r="R61" s="3"/>
      <c r="S61" s="504"/>
      <c r="V61" s="617"/>
      <c r="W61" s="617"/>
      <c r="X61" s="617"/>
      <c r="AH61" s="1082" t="str">
        <f>Lang!$A$108</f>
        <v>Business intelligence</v>
      </c>
      <c r="AI61" s="1083"/>
      <c r="AJ61" s="5">
        <f>C66</f>
        <v>12500</v>
      </c>
      <c r="AK61" s="6"/>
      <c r="AL61" s="6"/>
      <c r="AM61" s="7"/>
      <c r="AN61" s="5"/>
      <c r="AO61" s="6"/>
      <c r="AP61" s="6"/>
      <c r="AQ61" s="7"/>
    </row>
    <row r="62" spans="1:43" ht="12.9" customHeight="1" x14ac:dyDescent="0.25">
      <c r="A62" s="21" t="str">
        <f>Lang!$A$75</f>
        <v>Web-site development</v>
      </c>
      <c r="B62" s="20"/>
      <c r="C62" s="19">
        <f>H46*1000</f>
        <v>27000</v>
      </c>
      <c r="D62" s="504">
        <f>'93'!F15</f>
        <v>0</v>
      </c>
      <c r="E62" s="3"/>
      <c r="F62" s="20" t="str">
        <f>Lang!$A$299</f>
        <v>Machinists wages</v>
      </c>
      <c r="H62" s="19">
        <f ca="1">IF(H2&lt;(H24+H25)*360/4,(H24+H25)*360*H27,IF(H2&gt;H4,H27*H5+H27*1.5*(H4-H5)+H27*2*(H2-H4),IF(H2&gt;H5,H27*H5+H27*1.5*(H2-H5),H27*H2))*4)*IF(H11=2,4/3,IF(H11=3,5/3,1))</f>
        <v>320599.93517446367</v>
      </c>
      <c r="I62" s="504">
        <f>'93'!L14</f>
        <v>0</v>
      </c>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72709.076887507181</v>
      </c>
      <c r="N62" s="504">
        <f>'93'!R15</f>
        <v>0</v>
      </c>
      <c r="O62" s="8"/>
      <c r="P62" s="149" t="str">
        <f>Lang!$A$105</f>
        <v>Investing activities</v>
      </c>
      <c r="Q62" s="3"/>
      <c r="R62" s="3"/>
      <c r="S62" s="504"/>
      <c r="AH62" s="1084"/>
      <c r="AI62" s="1085"/>
      <c r="AJ62" s="5"/>
      <c r="AK62" s="6"/>
      <c r="AL62" s="6"/>
      <c r="AM62" s="7"/>
      <c r="AN62" s="5"/>
      <c r="AO62" s="6"/>
      <c r="AP62" s="6"/>
      <c r="AQ62" s="7"/>
    </row>
    <row r="63" spans="1:43" ht="12.9" customHeight="1" x14ac:dyDescent="0.25">
      <c r="A63" s="21" t="str">
        <f>Lang!$A$106</f>
        <v>Personnel department</v>
      </c>
      <c r="B63" s="20"/>
      <c r="C63" s="19">
        <f>H21*2000+H22*8500+H23*1000+I24*2000+IF(H25&gt;0,H25*1000)</f>
        <v>63500</v>
      </c>
      <c r="D63" s="504">
        <f>'93'!F16</f>
        <v>0</v>
      </c>
      <c r="E63" s="20"/>
      <c r="F63" s="20" t="str">
        <f>Lang!$A$298</f>
        <v>Assembly wages</v>
      </c>
      <c r="H63" s="19">
        <f ca="1">IF(H15&gt;H17,H26*H18+H26*1.5*(H17-H18)+H26*2*(H15-H17),IF(H15&gt;H18,H26*H18+H26*1.5*(H15-H18),H26*H15))+IF(I26&lt;I27,(I27-I26)*H20,0)</f>
        <v>304569.9384157405</v>
      </c>
      <c r="I63" s="504">
        <f>'93'!L15</f>
        <v>0</v>
      </c>
      <c r="K63" s="8" t="str">
        <f>Lang!$A$242</f>
        <v>Component inventories</v>
      </c>
      <c r="L63" s="2"/>
      <c r="M63" s="19">
        <f ca="1">(B8*B10+C8*C10+D8*D10)+OFFSET(History!$M$85,$B$52,0)</f>
        <v>915520</v>
      </c>
      <c r="N63" s="504">
        <f>'93'!R16</f>
        <v>0</v>
      </c>
      <c r="O63" s="656"/>
      <c r="P63" s="3" t="str">
        <f>Lang!$A$252</f>
        <v>Interest received</v>
      </c>
      <c r="Q63" s="3"/>
      <c r="R63" s="19">
        <f>H73</f>
        <v>525</v>
      </c>
      <c r="S63" s="504">
        <f>'93'!X16</f>
        <v>0</v>
      </c>
      <c r="V63" s="617"/>
      <c r="W63" s="617"/>
      <c r="X63" s="617"/>
      <c r="AH63" s="1084"/>
      <c r="AI63" s="1085"/>
      <c r="AJ63" s="5"/>
      <c r="AK63" s="6"/>
      <c r="AL63" s="6"/>
      <c r="AM63" s="7"/>
      <c r="AN63" s="5"/>
      <c r="AO63" s="6"/>
      <c r="AP63" s="6"/>
      <c r="AQ63" s="7"/>
    </row>
    <row r="64" spans="1:43" ht="12.9" customHeight="1" thickBot="1" x14ac:dyDescent="0.3">
      <c r="A64" s="21" t="str">
        <f>Lang!$A$224</f>
        <v>Machine maintenance</v>
      </c>
      <c r="B64" s="20"/>
      <c r="C64" s="19">
        <f ca="1">85*H12*H7+IF(H6&gt;H12*H7,175*(H6-H12*H7),0)</f>
        <v>17000</v>
      </c>
      <c r="D64" s="549">
        <f>'93'!F17</f>
        <v>0</v>
      </c>
      <c r="E64" s="3"/>
      <c r="F64" s="20" t="str">
        <f>Lang!$A$150</f>
        <v>Quality control</v>
      </c>
      <c r="H64" s="19">
        <f ca="1">SUM(B2:D5)</f>
        <v>6959.0741515591008</v>
      </c>
      <c r="I64" s="504">
        <f>'93'!L16</f>
        <v>0</v>
      </c>
      <c r="J64" s="150"/>
      <c r="K64" s="2" t="str">
        <f>Lang!$A$243</f>
        <v>Materials inventory</v>
      </c>
      <c r="L64" s="2"/>
      <c r="M64" s="19">
        <f ca="1">(IF(H31&lt;0,0,H31)+H34+I34+H35)/1000*MIN(OFFSET(History!N46:P46,$B52,))*OFFSET(History!Q46,$B52,)*0.9</f>
        <v>452228.19317586883</v>
      </c>
      <c r="N64" s="504">
        <f>'93'!R17</f>
        <v>0</v>
      </c>
      <c r="O64" s="657"/>
      <c r="P64" s="3" t="str">
        <f>Lang!$A$253</f>
        <v>Asset sales</v>
      </c>
      <c r="Q64" s="3"/>
      <c r="R64" s="19">
        <f>IF('82'!G21=0,0,'83'!R11/'82'!G21*H9)</f>
        <v>0</v>
      </c>
      <c r="S64" s="504">
        <f>'93'!X17</f>
        <v>0</v>
      </c>
      <c r="V64" s="617"/>
      <c r="W64" s="617"/>
      <c r="X64" s="617"/>
      <c r="AH64" s="1086"/>
      <c r="AI64" s="1087"/>
      <c r="AJ64" s="9"/>
      <c r="AK64" s="10"/>
      <c r="AL64" s="10"/>
      <c r="AM64" s="11"/>
      <c r="AN64" s="9"/>
      <c r="AO64" s="10"/>
      <c r="AP64" s="10"/>
      <c r="AQ64" s="11"/>
    </row>
    <row r="65" spans="1:43" ht="12.9" customHeight="1" x14ac:dyDescent="0.25">
      <c r="A65" s="379" t="str">
        <f>Lang!$A$107</f>
        <v xml:space="preserve">Purchasing and warehousing </v>
      </c>
      <c r="B65" s="2"/>
      <c r="C65" s="19">
        <f ca="1">7500+(SUMIF(J37:L37,"&gt;0")+SUM(J2:L2))*3.5/2+(SUMIF(J38:L38,"&gt;0")+SUM(J3:L3))*4*H39/2+(SUMIF(J39:L39,"&gt;0")+SUM(J4:L4))*3.5/2+IF((E7+E9)&lt;0,(E7+E9)*-3,0)</f>
        <v>10857.117249956924</v>
      </c>
      <c r="D65" s="504">
        <f>'93'!F18</f>
        <v>0</v>
      </c>
      <c r="E65" s="3"/>
      <c r="F65" s="20" t="str">
        <f>Lang!$A$231</f>
        <v>Hired transport</v>
      </c>
      <c r="G65" s="20"/>
      <c r="H65" s="19">
        <f ca="1">(IF($D$1=1,E2,CEILING(E2,1))*CEILING('82'!M36/400,1)+IF($D$1=1,E3,CEILING(E3,1))*CEILING('82'!N36/400,1)+IF($D$1=1,E4,CEILING(E4,1))*CEILING('82'!O36/400,1))*650+IF($D$1=1,E3,CEILING(E3,1))*8000</f>
        <v>101535.12963146393</v>
      </c>
      <c r="I65" s="504">
        <f>'93'!L17</f>
        <v>0</v>
      </c>
      <c r="K65" s="2" t="str">
        <f>Lang!$A$155</f>
        <v>Trade receivables</v>
      </c>
      <c r="L65" s="20"/>
      <c r="M65" s="19">
        <f ca="1">'83'!R18+H56-R56</f>
        <v>1788712.873105532</v>
      </c>
      <c r="N65" s="504">
        <f>'93'!R18</f>
        <v>0</v>
      </c>
      <c r="O65" s="658"/>
      <c r="P65" s="8" t="str">
        <f>Lang!$A$254</f>
        <v>Assets purchased</v>
      </c>
      <c r="Q65" s="8"/>
      <c r="R65" s="19">
        <f>H8*300000+D13*500</f>
        <v>0</v>
      </c>
      <c r="S65" s="504">
        <f>'93'!X18</f>
        <v>0</v>
      </c>
      <c r="V65" s="617"/>
      <c r="W65" s="617"/>
      <c r="X65" s="617"/>
      <c r="AH65" s="1082" t="str">
        <f>Lang!$A$110</f>
        <v>Credit control</v>
      </c>
      <c r="AI65" s="1083"/>
      <c r="AJ65" s="5"/>
      <c r="AK65" s="6"/>
      <c r="AL65" s="6"/>
      <c r="AM65" s="7"/>
      <c r="AN65" s="5"/>
      <c r="AO65" s="6"/>
      <c r="AP65" s="6"/>
      <c r="AQ65" s="7"/>
    </row>
    <row r="66" spans="1:43" ht="12.9" customHeight="1" x14ac:dyDescent="0.25">
      <c r="A66" s="21" t="str">
        <f>Lang!$A$108</f>
        <v>Business intelligence</v>
      </c>
      <c r="B66" s="20"/>
      <c r="C66" s="19">
        <f>7500*H49+5000*H50</f>
        <v>12500</v>
      </c>
      <c r="D66" s="504">
        <f>'93'!F19</f>
        <v>0</v>
      </c>
      <c r="E66" s="150"/>
      <c r="F66" s="554" t="str">
        <f>Lang!$A$232</f>
        <v>Less closing inventory values</v>
      </c>
      <c r="H66" s="19">
        <f ca="1">M62+M63+M64</f>
        <v>1440457.2700633761</v>
      </c>
      <c r="I66" s="504">
        <f>'93'!L18</f>
        <v>0</v>
      </c>
      <c r="K66" s="20" t="str">
        <f>Lang!$A$244</f>
        <v>Cash</v>
      </c>
      <c r="L66" s="20"/>
      <c r="M66" s="19">
        <f ca="1">IF(R84&gt;0,R84,0)</f>
        <v>0</v>
      </c>
      <c r="N66" s="1089">
        <f>'93'!R19</f>
        <v>0</v>
      </c>
      <c r="O66" s="660">
        <f ca="1">(M66+M67-M75)/M80</f>
        <v>4.8160168054329718E-2</v>
      </c>
      <c r="P66" s="3" t="str">
        <f>Lang!$A$109</f>
        <v>Net cash flow from investing</v>
      </c>
      <c r="Q66" s="3"/>
      <c r="R66" s="19">
        <f>R63+R64-R65</f>
        <v>525</v>
      </c>
      <c r="S66" s="504">
        <f>'93'!X19</f>
        <v>0</v>
      </c>
      <c r="AH66" s="1084"/>
      <c r="AI66" s="1085"/>
      <c r="AJ66" s="5"/>
      <c r="AK66" s="6"/>
      <c r="AL66" s="6"/>
      <c r="AM66" s="7"/>
      <c r="AN66" s="5"/>
      <c r="AO66" s="6">
        <f t="shared" ref="AO66:AQ68" ca="1" si="13">J17</f>
        <v>1626.4578122402954</v>
      </c>
      <c r="AP66" s="6">
        <f t="shared" ca="1" si="13"/>
        <v>972.76154528578707</v>
      </c>
      <c r="AQ66" s="7">
        <f t="shared" ca="1" si="13"/>
        <v>504.61955568684544</v>
      </c>
    </row>
    <row r="67" spans="1:43" ht="12.9" customHeight="1" x14ac:dyDescent="0.25">
      <c r="A67" s="21" t="str">
        <f>Lang!$A$110</f>
        <v>Credit control</v>
      </c>
      <c r="B67" s="20"/>
      <c r="C67" s="19">
        <f ca="1">SUM(J17:L19)</f>
        <v>6903.1472837250139</v>
      </c>
      <c r="D67" s="504">
        <f>'93'!F20</f>
        <v>0</v>
      </c>
      <c r="E67" s="3"/>
      <c r="F67" s="20" t="str">
        <f>Lang!$A$111</f>
        <v>Cost of sales</v>
      </c>
      <c r="H67" s="19">
        <f ca="1">SUM(H58:H65)-H66</f>
        <v>1781648.6408157321</v>
      </c>
      <c r="I67" s="504">
        <f>'93'!L19</f>
        <v>0</v>
      </c>
      <c r="K67" s="3" t="str">
        <f>Lang!$A$245</f>
        <v>Cash equivalents</v>
      </c>
      <c r="M67" s="19">
        <f>'83'!X32+H43*1000</f>
        <v>350000</v>
      </c>
      <c r="N67" s="1089"/>
      <c r="O67" s="660">
        <f>H40/100</f>
        <v>6.0000000000000001E-3</v>
      </c>
      <c r="Q67" s="3"/>
      <c r="R67" s="3"/>
      <c r="S67" s="504"/>
      <c r="AH67" s="1084"/>
      <c r="AI67" s="1085"/>
      <c r="AJ67" s="5"/>
      <c r="AK67" s="6"/>
      <c r="AL67" s="6"/>
      <c r="AM67" s="7"/>
      <c r="AN67" s="5"/>
      <c r="AO67" s="6">
        <f t="shared" ca="1" si="13"/>
        <v>983.64813812366049</v>
      </c>
      <c r="AP67" s="6">
        <f t="shared" ca="1" si="13"/>
        <v>530.44824602410017</v>
      </c>
      <c r="AQ67" s="7">
        <f t="shared" ca="1" si="13"/>
        <v>279.0320511727698</v>
      </c>
    </row>
    <row r="68" spans="1:43" ht="12.9" customHeight="1" thickBot="1" x14ac:dyDescent="0.3">
      <c r="A68" s="21" t="str">
        <f>Lang!$A$225</f>
        <v>Insurance premiums</v>
      </c>
      <c r="B68" s="20"/>
      <c r="C68" s="19">
        <f ca="1">('83'!R12+'83'!L18)*(IF(H48=4,0.001,IF(H48=3,0.002,IF(H48=2,0.0035,IF(H48=1,0.006,0)))))</f>
        <v>0</v>
      </c>
      <c r="D68" s="504">
        <f>'93'!F21</f>
        <v>0</v>
      </c>
      <c r="E68" s="3"/>
      <c r="F68" s="73" t="str">
        <f>Lang!$A$112</f>
        <v>Gross profit</v>
      </c>
      <c r="G68" s="73"/>
      <c r="H68" s="331">
        <f ca="1">H56-H67</f>
        <v>1404648.2620209767</v>
      </c>
      <c r="I68" s="652">
        <f>'93'!L20</f>
        <v>0</v>
      </c>
      <c r="K68" s="3" t="str">
        <f>Lang!$A$113</f>
        <v>Current assets</v>
      </c>
      <c r="L68" s="20"/>
      <c r="M68" s="19">
        <f ca="1">SUM(M62:M67)</f>
        <v>3579170.1431689081</v>
      </c>
      <c r="N68" s="504">
        <f>'93'!R20</f>
        <v>0</v>
      </c>
      <c r="O68" s="658"/>
      <c r="P68" s="149" t="str">
        <f>Lang!$A$114</f>
        <v>Financing activities</v>
      </c>
      <c r="Q68" s="3"/>
      <c r="R68" s="3"/>
      <c r="S68" s="504"/>
      <c r="AH68" s="1086"/>
      <c r="AI68" s="1087"/>
      <c r="AJ68" s="9"/>
      <c r="AK68" s="10"/>
      <c r="AL68" s="10"/>
      <c r="AM68" s="11"/>
      <c r="AN68" s="9"/>
      <c r="AO68" s="10">
        <f t="shared" ca="1" si="13"/>
        <v>1138.8376394084025</v>
      </c>
      <c r="AP68" s="10">
        <f t="shared" ca="1" si="13"/>
        <v>574.88460347086436</v>
      </c>
      <c r="AQ68" s="11">
        <f t="shared" ca="1" si="13"/>
        <v>292.45769231228871</v>
      </c>
    </row>
    <row r="69" spans="1:43" ht="12.9" customHeight="1" x14ac:dyDescent="0.25">
      <c r="A69" s="21" t="str">
        <f>Lang!$A$115</f>
        <v>Management budget</v>
      </c>
      <c r="B69" s="20"/>
      <c r="C69" s="19">
        <f>H47*1000</f>
        <v>100000</v>
      </c>
      <c r="D69" s="504">
        <f>'93'!F22</f>
        <v>0</v>
      </c>
      <c r="E69" s="3"/>
      <c r="F69" s="20" t="str">
        <f>Lang!$A$233</f>
        <v>Administrative expenses</v>
      </c>
      <c r="H69" s="19">
        <f ca="1">C71</f>
        <v>991071.67360718583</v>
      </c>
      <c r="I69" s="504">
        <f>'93'!L21</f>
        <v>0</v>
      </c>
      <c r="J69" s="150"/>
      <c r="O69" s="658"/>
      <c r="P69" s="2" t="str">
        <f>Lang!$A$255</f>
        <v>Shares issued</v>
      </c>
      <c r="R69" s="19">
        <f ca="1">IF(H41&gt;0,H38*H41*10,0)</f>
        <v>0</v>
      </c>
      <c r="S69" s="504">
        <f>'93'!X22</f>
        <v>0</v>
      </c>
      <c r="AH69" s="1082" t="str">
        <f>Lang!$A$116</f>
        <v>Insurance</v>
      </c>
      <c r="AI69" s="1083"/>
      <c r="AJ69" s="5">
        <f ca="1">C68</f>
        <v>0</v>
      </c>
      <c r="AK69" s="6"/>
      <c r="AL69" s="6"/>
      <c r="AM69" s="7"/>
      <c r="AN69" s="5"/>
      <c r="AO69" s="6"/>
      <c r="AP69" s="6"/>
      <c r="AQ69" s="7"/>
    </row>
    <row r="70" spans="1:43" ht="12.9" customHeight="1" x14ac:dyDescent="0.25">
      <c r="A70" s="379" t="str">
        <f>Lang!$A$128</f>
        <v>Other costs</v>
      </c>
      <c r="B70" s="20"/>
      <c r="C70" s="19">
        <f ca="1">H9*60000+(C13-D13)*20+A13*40</f>
        <v>17417.559828251091</v>
      </c>
      <c r="D70" s="504">
        <f>'93'!F23</f>
        <v>0</v>
      </c>
      <c r="E70" s="3"/>
      <c r="F70" s="20" t="str">
        <f>Lang!$A$234</f>
        <v>Insurance receipts</v>
      </c>
      <c r="H70" s="19">
        <f ca="1">IF(C80-C81&gt;0,C80-C81,0)</f>
        <v>0</v>
      </c>
      <c r="I70" s="504">
        <f>'93'!L22</f>
        <v>0</v>
      </c>
      <c r="J70" s="150"/>
      <c r="K70" s="3" t="str">
        <f>Lang!$A$117</f>
        <v>Total assets</v>
      </c>
      <c r="L70" s="2"/>
      <c r="M70" s="19">
        <f ca="1">M59+M68</f>
        <v>5268010.9931689082</v>
      </c>
      <c r="N70" s="504">
        <f>'93'!R21</f>
        <v>0</v>
      </c>
      <c r="P70" s="2" t="str">
        <f>Lang!$A$256</f>
        <v>Shares repurchased</v>
      </c>
      <c r="R70" s="19">
        <f ca="1">IF(H41&lt;0,-H38*H41*10,0)</f>
        <v>0</v>
      </c>
      <c r="S70" s="504">
        <f>'93'!X23</f>
        <v>0</v>
      </c>
      <c r="AH70" s="1084"/>
      <c r="AI70" s="1085"/>
      <c r="AJ70" s="5"/>
      <c r="AK70" s="6"/>
      <c r="AL70" s="6"/>
      <c r="AM70" s="7"/>
      <c r="AN70" s="5"/>
      <c r="AO70" s="6"/>
      <c r="AP70" s="6"/>
      <c r="AQ70" s="7"/>
    </row>
    <row r="71" spans="1:43" ht="12.9" customHeight="1" x14ac:dyDescent="0.25">
      <c r="A71" s="21" t="str">
        <f>Lang!$A$118</f>
        <v>Total administrative expenses</v>
      </c>
      <c r="B71" s="501"/>
      <c r="C71" s="19">
        <f ca="1">SUM(C55:C70)</f>
        <v>991071.67360718583</v>
      </c>
      <c r="D71" s="504">
        <f>'93'!F24</f>
        <v>0</v>
      </c>
      <c r="E71" s="3"/>
      <c r="F71" s="20" t="str">
        <f>Lang!$A$151</f>
        <v>Depreciation</v>
      </c>
      <c r="H71" s="19">
        <f>M58/0.975*0.025</f>
        <v>31765.15</v>
      </c>
      <c r="I71" s="504">
        <f>'93'!L23</f>
        <v>0</v>
      </c>
      <c r="J71" s="150"/>
      <c r="K71" s="20"/>
      <c r="L71" s="20"/>
      <c r="M71" s="661"/>
      <c r="N71" s="504"/>
      <c r="P71" s="2" t="str">
        <f>Lang!$A$133</f>
        <v>Dividends paid</v>
      </c>
      <c r="R71" s="19">
        <f>H80</f>
        <v>40000</v>
      </c>
      <c r="S71" s="504">
        <f>'93'!X24</f>
        <v>0</v>
      </c>
      <c r="AH71" s="1084"/>
      <c r="AI71" s="1085"/>
      <c r="AJ71" s="5"/>
      <c r="AK71" s="6"/>
      <c r="AL71" s="6"/>
      <c r="AM71" s="7"/>
      <c r="AN71" s="5"/>
      <c r="AO71" s="6"/>
      <c r="AP71" s="6"/>
      <c r="AQ71" s="7"/>
    </row>
    <row r="72" spans="1:43" ht="12.9" customHeight="1" thickBot="1" x14ac:dyDescent="0.3">
      <c r="D72" s="504"/>
      <c r="E72" s="3"/>
      <c r="F72" s="332" t="str">
        <f>Lang!$A$119</f>
        <v>Operating profit/loss</v>
      </c>
      <c r="G72" s="73"/>
      <c r="H72" s="331">
        <f ca="1">H68+H70-H69-H71</f>
        <v>381811.43841379089</v>
      </c>
      <c r="I72" s="652">
        <f>'93'!L24</f>
        <v>0</v>
      </c>
      <c r="J72" s="150"/>
      <c r="K72" s="501" t="str">
        <f>Lang!$A$120</f>
        <v>Liabilities</v>
      </c>
      <c r="L72" s="20"/>
      <c r="M72" s="661"/>
      <c r="N72" s="504"/>
      <c r="O72" s="658"/>
      <c r="P72" s="3" t="str">
        <f>Lang!$A$257</f>
        <v>Additional loans</v>
      </c>
      <c r="Q72" s="3"/>
      <c r="R72" s="19">
        <f>H44*1000</f>
        <v>0</v>
      </c>
      <c r="S72" s="504">
        <f>'93'!X25</f>
        <v>0</v>
      </c>
      <c r="AH72" s="1086"/>
      <c r="AI72" s="1087"/>
      <c r="AJ72" s="9"/>
      <c r="AK72" s="10"/>
      <c r="AL72" s="10"/>
      <c r="AM72" s="11"/>
      <c r="AN72" s="9"/>
      <c r="AO72" s="10"/>
      <c r="AP72" s="10"/>
      <c r="AQ72" s="11"/>
    </row>
    <row r="73" spans="1:43" ht="12.9" customHeight="1" x14ac:dyDescent="0.25">
      <c r="A73" s="327" t="str">
        <f>Lang!$A$121</f>
        <v>Accumulated taxable profit</v>
      </c>
      <c r="B73" s="20"/>
      <c r="C73" s="504"/>
      <c r="D73" s="504"/>
      <c r="E73" s="3"/>
      <c r="F73" s="2" t="str">
        <f>Lang!$A$235</f>
        <v>Finance income</v>
      </c>
      <c r="G73" s="8"/>
      <c r="H73" s="19">
        <f>M67*O67/4</f>
        <v>525</v>
      </c>
      <c r="I73" s="504">
        <f>'93'!L25</f>
        <v>0</v>
      </c>
      <c r="J73" s="150"/>
      <c r="K73" s="20" t="str">
        <f>Lang!$A$246</f>
        <v>Tax due</v>
      </c>
      <c r="L73" s="20"/>
      <c r="M73" s="19">
        <f>IF(D52=4,IF((C74+C75)&gt;0,(C74+C75)*0.3,0),IF(D52=2,0,'83'!R24))</f>
        <v>0</v>
      </c>
      <c r="N73" s="504">
        <f>'93'!R24</f>
        <v>0</v>
      </c>
      <c r="P73" s="3" t="str">
        <f>Lang!$A$258</f>
        <v>Interest paid</v>
      </c>
      <c r="Q73" s="3"/>
      <c r="R73" s="19">
        <f ca="1">H74</f>
        <v>1038.3308989117861</v>
      </c>
      <c r="S73" s="504">
        <f>'93'!X26</f>
        <v>0</v>
      </c>
      <c r="AH73" s="1082" t="str">
        <f>Lang!$A$115</f>
        <v>Management budget</v>
      </c>
      <c r="AI73" s="1083"/>
      <c r="AJ73" s="5">
        <f>C69</f>
        <v>100000</v>
      </c>
      <c r="AK73" s="6"/>
      <c r="AL73" s="6"/>
      <c r="AM73" s="7"/>
      <c r="AN73" s="5"/>
      <c r="AO73" s="6"/>
      <c r="AP73" s="6"/>
      <c r="AQ73" s="7"/>
    </row>
    <row r="74" spans="1:43" ht="12.9" customHeight="1" x14ac:dyDescent="0.25">
      <c r="A74" s="21" t="str">
        <f>Lang!$A$123</f>
        <v>Profit/loss before tax</v>
      </c>
      <c r="B74" s="20"/>
      <c r="C74" s="19">
        <f ca="1">H75</f>
        <v>381298.10751487908</v>
      </c>
      <c r="D74" s="504">
        <f>'93'!F27</f>
        <v>0</v>
      </c>
      <c r="E74" s="3"/>
      <c r="F74" s="2" t="str">
        <f>Lang!$A$236</f>
        <v>Finance expense</v>
      </c>
      <c r="G74" s="8"/>
      <c r="H74" s="19">
        <f ca="1">(M75+OFFSET(History!K$71,$B$52,0)*1000)/2*O75/4+(M76+OFFSET(History!L$71,$B$52,0)*1000)/2*O76/4+M78*O78/4</f>
        <v>1038.3308989117861</v>
      </c>
      <c r="I74" s="504">
        <f>'93'!L26</f>
        <v>0</v>
      </c>
      <c r="K74" s="2" t="str">
        <f>Lang!$A$247</f>
        <v>Trade payables</v>
      </c>
      <c r="L74" s="20"/>
      <c r="M74" s="19">
        <f ca="1">C55+C60+H65+C62+C64+C65+C66+(H59+H60)/2</f>
        <v>886467.26798785012</v>
      </c>
      <c r="N74" s="504">
        <f>'93'!R25</f>
        <v>0</v>
      </c>
      <c r="P74" s="3" t="str">
        <f>Lang!$A$122</f>
        <v>Net cash flow from financing</v>
      </c>
      <c r="Q74" s="3"/>
      <c r="R74" s="19">
        <f ca="1">(R72+R69)-(R73+R71+R70)</f>
        <v>-41038.330898911787</v>
      </c>
      <c r="S74" s="504">
        <f>'93'!X27</f>
        <v>0</v>
      </c>
      <c r="AH74" s="1084"/>
      <c r="AI74" s="1085"/>
      <c r="AJ74" s="5"/>
      <c r="AK74" s="6"/>
      <c r="AL74" s="6"/>
      <c r="AM74" s="7"/>
      <c r="AN74" s="5"/>
      <c r="AO74" s="6"/>
      <c r="AP74" s="6"/>
      <c r="AQ74" s="7"/>
    </row>
    <row r="75" spans="1:43" ht="12.9" customHeight="1" x14ac:dyDescent="0.25">
      <c r="A75" s="21" t="str">
        <f>Lang!$A$226</f>
        <v>Previous taxable profit/loss</v>
      </c>
      <c r="B75" s="20"/>
      <c r="C75" s="19">
        <f>IF(D52=1,IF('83'!F29&lt;0,'83'!F29,0),'83'!F29)</f>
        <v>-106809</v>
      </c>
      <c r="D75" s="504">
        <f>'93'!F28</f>
        <v>0</v>
      </c>
      <c r="E75" s="3"/>
      <c r="F75" s="73" t="str">
        <f>Lang!$A$123</f>
        <v>Profit/loss before tax</v>
      </c>
      <c r="G75" s="73"/>
      <c r="H75" s="331">
        <f ca="1">H72+H73-H74</f>
        <v>381298.10751487908</v>
      </c>
      <c r="I75" s="652">
        <f>'93'!L27</f>
        <v>0</v>
      </c>
      <c r="K75" s="20" t="str">
        <f>Lang!$A$158</f>
        <v>Bank overdraft</v>
      </c>
      <c r="L75" s="20"/>
      <c r="M75" s="19">
        <f ca="1">IF(R85&gt;0,IF(R85&gt;R81,R81,R85),0)</f>
        <v>146016.28676726716</v>
      </c>
      <c r="N75" s="1089">
        <f>'93'!R26</f>
        <v>0</v>
      </c>
      <c r="O75" s="662">
        <f>(H40+4)/100</f>
        <v>4.5999999999999999E-2</v>
      </c>
      <c r="P75" s="2"/>
      <c r="R75" s="3"/>
      <c r="S75" s="504"/>
      <c r="AH75" s="1084"/>
      <c r="AI75" s="1085"/>
      <c r="AJ75" s="5"/>
      <c r="AK75" s="6"/>
      <c r="AL75" s="6"/>
      <c r="AM75" s="7"/>
      <c r="AN75" s="5"/>
      <c r="AO75" s="6"/>
      <c r="AP75" s="6"/>
      <c r="AQ75" s="7"/>
    </row>
    <row r="76" spans="1:43" ht="12.9" customHeight="1" thickBot="1" x14ac:dyDescent="0.3">
      <c r="A76" s="21" t="str">
        <f>Lang!$A$227</f>
        <v>Taxable profit/loss</v>
      </c>
      <c r="B76" s="20"/>
      <c r="C76" s="19">
        <f ca="1">C74+C75</f>
        <v>274489.10751487908</v>
      </c>
      <c r="D76" s="504">
        <f>'93'!F29</f>
        <v>0</v>
      </c>
      <c r="E76" s="3"/>
      <c r="F76" s="20" t="str">
        <f>Lang!$A$237</f>
        <v>Tax assessed</v>
      </c>
      <c r="H76" s="19">
        <f>IF(D52=4,M73,0)</f>
        <v>0</v>
      </c>
      <c r="I76" s="504">
        <f>'93'!L28</f>
        <v>0</v>
      </c>
      <c r="K76" s="2" t="str">
        <f>Lang!$A$248</f>
        <v>Borrowing power</v>
      </c>
      <c r="M76" s="19">
        <f ca="1">IF(R85&gt;0,IF(R85&gt;R81,R85-R81,0),0)</f>
        <v>0</v>
      </c>
      <c r="N76" s="1089"/>
      <c r="O76" s="662">
        <f>(H40+10)/100</f>
        <v>0.106</v>
      </c>
      <c r="P76" s="3" t="str">
        <f>Lang!$A$124</f>
        <v>Net cash flow</v>
      </c>
      <c r="Q76" s="3"/>
      <c r="R76" s="19">
        <f ca="1">R60+R66+R74</f>
        <v>-412491.61766617897</v>
      </c>
      <c r="S76" s="504">
        <f>'93'!X29</f>
        <v>0</v>
      </c>
      <c r="AH76" s="1086"/>
      <c r="AI76" s="1087"/>
      <c r="AJ76" s="9"/>
      <c r="AK76" s="10"/>
      <c r="AL76" s="10"/>
      <c r="AM76" s="11"/>
      <c r="AN76" s="9"/>
      <c r="AO76" s="10"/>
      <c r="AP76" s="10"/>
      <c r="AQ76" s="11"/>
    </row>
    <row r="77" spans="1:43" ht="12.9" customHeight="1" x14ac:dyDescent="0.25">
      <c r="D77" s="504"/>
      <c r="E77" s="3"/>
      <c r="F77" s="20" t="str">
        <f>Lang!$A$125</f>
        <v>Profit/loss for the period</v>
      </c>
      <c r="H77" s="19">
        <f ca="1">H68+H70+H73-H74-H69-H71-H76</f>
        <v>381298.1075148792</v>
      </c>
      <c r="I77" s="504">
        <f>'93'!L29</f>
        <v>0</v>
      </c>
      <c r="K77" s="20" t="str">
        <f>Lang!$A$126</f>
        <v>Current liabilities</v>
      </c>
      <c r="L77" s="20"/>
      <c r="M77" s="19">
        <f ca="1">SUM(M73:M76)</f>
        <v>1032483.5547551173</v>
      </c>
      <c r="N77" s="504">
        <f>'93'!R27</f>
        <v>0</v>
      </c>
      <c r="P77" s="2" t="str">
        <f>Lang!$A$127</f>
        <v>Previous cash balance</v>
      </c>
      <c r="R77" s="19">
        <f>'83'!X31</f>
        <v>615437</v>
      </c>
      <c r="S77" s="504">
        <f>'93'!X30</f>
        <v>0</v>
      </c>
      <c r="AH77" s="1082" t="str">
        <f>Lang!$A$128</f>
        <v>Other costs</v>
      </c>
      <c r="AI77" s="1083"/>
      <c r="AJ77" s="5">
        <f ca="1">C70</f>
        <v>17417.559828251091</v>
      </c>
      <c r="AK77" s="6"/>
      <c r="AL77" s="6"/>
      <c r="AM77" s="7"/>
      <c r="AN77" s="5"/>
      <c r="AO77" s="6"/>
      <c r="AP77" s="6"/>
      <c r="AQ77" s="7"/>
    </row>
    <row r="78" spans="1:43" x14ac:dyDescent="0.25">
      <c r="A78" s="8"/>
      <c r="B78" s="8"/>
      <c r="D78" s="504"/>
      <c r="E78" s="3"/>
      <c r="F78" s="3" t="str">
        <f>Lang!$A$129</f>
        <v>Earnings per share</v>
      </c>
      <c r="H78" s="19">
        <f ca="1">H77/M83*100</f>
        <v>9.5324526878719791</v>
      </c>
      <c r="I78" s="504">
        <f>'93'!L30</f>
        <v>0</v>
      </c>
      <c r="K78" s="20" t="str">
        <f>Lang!$A$87</f>
        <v>Term loans</v>
      </c>
      <c r="L78" s="20"/>
      <c r="M78" s="19">
        <f>H44*1000+'83'!R28</f>
        <v>0</v>
      </c>
      <c r="N78" s="504">
        <f>'93'!R28</f>
        <v>0</v>
      </c>
      <c r="O78" s="662">
        <v>0.1</v>
      </c>
      <c r="P78" s="3" t="str">
        <f>Lang!$A$130</f>
        <v>Cash balance</v>
      </c>
      <c r="Q78" s="3"/>
      <c r="R78" s="19">
        <f ca="1">R76+R77</f>
        <v>202945.38233382103</v>
      </c>
      <c r="S78" s="504">
        <f>'93'!X31</f>
        <v>0</v>
      </c>
      <c r="AH78" s="1084"/>
      <c r="AI78" s="1085"/>
      <c r="AJ78" s="5"/>
      <c r="AK78" s="6"/>
      <c r="AL78" s="6"/>
      <c r="AM78" s="7"/>
      <c r="AN78" s="5"/>
      <c r="AO78" s="6"/>
      <c r="AP78" s="6"/>
      <c r="AQ78" s="7"/>
    </row>
    <row r="79" spans="1:43" x14ac:dyDescent="0.25">
      <c r="A79" s="8"/>
      <c r="B79" s="8"/>
      <c r="D79" s="504"/>
      <c r="E79" s="3"/>
      <c r="F79" s="20"/>
      <c r="H79" s="504"/>
      <c r="I79" s="504"/>
      <c r="L79" s="2"/>
      <c r="M79" s="3"/>
      <c r="N79" s="504"/>
      <c r="O79" s="655"/>
      <c r="P79" s="2" t="str">
        <f>Lang!$A$131</f>
        <v>Including a term deposit</v>
      </c>
      <c r="R79" s="19">
        <f>M67</f>
        <v>350000</v>
      </c>
      <c r="S79" s="504">
        <f>'93'!X32</f>
        <v>0</v>
      </c>
      <c r="AH79" s="1084"/>
      <c r="AI79" s="1085"/>
      <c r="AJ79" s="5"/>
      <c r="AK79" s="6"/>
      <c r="AL79" s="6"/>
      <c r="AM79" s="7"/>
      <c r="AN79" s="5"/>
      <c r="AO79" s="6"/>
      <c r="AP79" s="6"/>
      <c r="AQ79" s="7"/>
    </row>
    <row r="80" spans="1:43" ht="13.8" thickBot="1" x14ac:dyDescent="0.3">
      <c r="A80" s="8" t="str">
        <f>Lang!$A$132</f>
        <v>Insurance claimed</v>
      </c>
      <c r="B80" s="8"/>
      <c r="C80" s="19">
        <f ca="1">IF($D$1=2,OFFSET(History!N33,B52,),IF(H48=0,0,OFFSET(Config!D20,B52,)))</f>
        <v>0</v>
      </c>
      <c r="D80" s="504">
        <f>'93'!F33</f>
        <v>0</v>
      </c>
      <c r="E80" s="3"/>
      <c r="F80" s="20" t="str">
        <f>Lang!$A$133</f>
        <v>Dividends paid</v>
      </c>
      <c r="H80" s="19">
        <f>H42*'83'!R33</f>
        <v>40000</v>
      </c>
      <c r="I80" s="504">
        <f>'93'!L32</f>
        <v>0</v>
      </c>
      <c r="K80" s="20" t="str">
        <f>Lang!$A$134</f>
        <v>Net assets</v>
      </c>
      <c r="L80" s="20"/>
      <c r="M80" s="19">
        <f ca="1">M70-SUM(M77:M78)</f>
        <v>4235527.4384137914</v>
      </c>
      <c r="N80" s="504">
        <f>'93'!R30</f>
        <v>0</v>
      </c>
      <c r="O80" s="653"/>
      <c r="P80" s="2"/>
      <c r="R80" s="3"/>
      <c r="S80" s="504"/>
      <c r="AH80" s="1086"/>
      <c r="AI80" s="1087"/>
      <c r="AJ80" s="9"/>
      <c r="AK80" s="10"/>
      <c r="AL80" s="10"/>
      <c r="AM80" s="11"/>
      <c r="AN80" s="9"/>
      <c r="AO80" s="10"/>
      <c r="AP80" s="10"/>
      <c r="AQ80" s="11"/>
    </row>
    <row r="81" spans="1:43" ht="12.75" customHeight="1" x14ac:dyDescent="0.25">
      <c r="A81" s="3" t="str">
        <f>Lang!$A$135</f>
        <v>Primary non-insured risk</v>
      </c>
      <c r="C81" s="19">
        <f ca="1">('83'!R12+'83'!L18)*(IF(H48=4,0.004,IF(H48=3,0.003,IF(H48=2,0.002,IF(H48=1,0.001,0)))))</f>
        <v>0</v>
      </c>
      <c r="D81" s="504">
        <f>'93'!F34</f>
        <v>0</v>
      </c>
      <c r="E81" s="3"/>
      <c r="F81" s="20" t="str">
        <f>Lang!$A$136</f>
        <v>Transferred to retained earnings</v>
      </c>
      <c r="H81" s="19">
        <f ca="1">H77-H80</f>
        <v>341298.1075148792</v>
      </c>
      <c r="I81" s="504">
        <f>'93'!L33</f>
        <v>0</v>
      </c>
      <c r="M81" s="3"/>
      <c r="N81" s="504"/>
      <c r="P81" s="3" t="str">
        <f>Lang!$A$259</f>
        <v>Overdraft limit for next quarter</v>
      </c>
      <c r="Q81" s="3"/>
      <c r="R81" s="19">
        <f>'83'!X34</f>
        <v>1028000</v>
      </c>
      <c r="S81" s="504"/>
      <c r="AH81" s="1090" t="str">
        <f>Lang!$A$137</f>
        <v>Materials purchased</v>
      </c>
      <c r="AI81" s="1091"/>
      <c r="AJ81" s="5"/>
      <c r="AK81" s="6"/>
      <c r="AL81" s="6"/>
      <c r="AM81" s="7"/>
      <c r="AN81" s="5"/>
      <c r="AO81" s="6"/>
      <c r="AP81" s="6"/>
      <c r="AQ81" s="7"/>
    </row>
    <row r="82" spans="1:43" x14ac:dyDescent="0.25">
      <c r="D82" s="2"/>
      <c r="E82" s="3"/>
      <c r="F82" s="3" t="str">
        <f>Lang!$A$138</f>
        <v>Previous retained earnings</v>
      </c>
      <c r="H82" s="19">
        <f>'83'!R35</f>
        <v>-106809</v>
      </c>
      <c r="I82" s="504">
        <f>'93'!L34</f>
        <v>0</v>
      </c>
      <c r="K82" s="501" t="str">
        <f>Lang!$A$139</f>
        <v>Equity</v>
      </c>
      <c r="L82" s="20"/>
      <c r="M82" s="3"/>
      <c r="N82" s="504"/>
      <c r="P82" s="3" t="str">
        <f>Lang!$A$260</f>
        <v>Borrowing power next quarter</v>
      </c>
      <c r="Q82" s="3"/>
      <c r="R82" s="19">
        <f>'83'!X35</f>
        <v>1080000</v>
      </c>
      <c r="S82" s="504"/>
      <c r="AH82" s="1092"/>
      <c r="AI82" s="1093"/>
      <c r="AJ82" s="5"/>
      <c r="AK82" s="6"/>
      <c r="AL82" s="6"/>
      <c r="AM82" s="7"/>
      <c r="AN82" s="5"/>
      <c r="AO82" s="6">
        <f ca="1">(1-B$22)*B2*(1+B$5/SUM(B$2:B$4))*$H$29/1000*$H$39+B$22*B2*(1+B$5/SUM(B$2:B$4))*$G$33/1000*$H$39*1.5</f>
        <v>108769.47853494079</v>
      </c>
      <c r="AP82" s="6">
        <f ca="1">(1-C$22)*C2*(1+C$5/SUM(C$2:C$4))*2*$H$29/1000*$H$39+C$22*C2*(1+C$5/SUM(C$2:C$4))*2*$G$33/1000*$H$39*1.5</f>
        <v>124387.07810453525</v>
      </c>
      <c r="AQ82" s="7">
        <f ca="1">(1-D$22)*D2*(1+D$5/SUM(D$2:D$4))*3*$H$29/1000*$H$39+D$22*D2*(1+D$5/SUM(D$2:D$4))*3*$G$33/1000*$H$39*1.5</f>
        <v>98727.897291136615</v>
      </c>
    </row>
    <row r="83" spans="1:43" x14ac:dyDescent="0.25">
      <c r="D83" s="2"/>
      <c r="E83" s="3"/>
      <c r="F83" s="3" t="str">
        <f>Lang!$A$141</f>
        <v xml:space="preserve">Retained earnings </v>
      </c>
      <c r="H83" s="19">
        <f ca="1">H81+H82</f>
        <v>234489.1075148792</v>
      </c>
      <c r="I83" s="504">
        <f>'93'!L35</f>
        <v>0</v>
      </c>
      <c r="K83" s="20" t="str">
        <f>Lang!$A$160</f>
        <v>Share capital</v>
      </c>
      <c r="L83" s="20"/>
      <c r="M83" s="19">
        <f ca="1">'83'!R33+H41*1000</f>
        <v>4000000</v>
      </c>
      <c r="N83" s="504">
        <f>'93'!R33</f>
        <v>0</v>
      </c>
      <c r="Q83" s="3"/>
      <c r="R83" s="3"/>
      <c r="S83" s="504"/>
      <c r="AH83" s="1092"/>
      <c r="AI83" s="1093"/>
      <c r="AJ83" s="5"/>
      <c r="AK83" s="6"/>
      <c r="AL83" s="6"/>
      <c r="AM83" s="7"/>
      <c r="AN83" s="5"/>
      <c r="AO83" s="6">
        <f ca="1">(1-B$22)*B3*(1+B$5/SUM(B$2:B$4))*$H$29/1000*$H$39+B$22*B3*(1+B$5/SUM(B$2:B$4))*$G$33/1000*$H$39*1.5</f>
        <v>65412.463114116341</v>
      </c>
      <c r="AP83" s="6">
        <f ca="1">(1-C$22)*C3*(1+C$5/SUM(C$2:C$4))*2*$H$29/1000*$H$39+C$22*C3*(1+C$5/SUM(C$2:C$4))*2*$G$33/1000*$H$39*1.5</f>
        <v>67828.449560296896</v>
      </c>
      <c r="AQ83" s="7">
        <f ca="1">(1-D$22)*D3*(1+D$5/SUM(D$2:D$4))*3*$H$29/1000*$H$39+D$22*D3*(1+D$5/SUM(D$2:D$4))*3*$G$33/1000*$H$39*1.5</f>
        <v>79246.918732310834</v>
      </c>
    </row>
    <row r="84" spans="1:43" ht="13.8" thickBot="1" x14ac:dyDescent="0.3">
      <c r="D84" s="2"/>
      <c r="E84" s="3"/>
      <c r="H84" s="2"/>
      <c r="I84" s="3"/>
      <c r="K84" s="8" t="str">
        <f>Lang!$A$161</f>
        <v>Share premium account</v>
      </c>
      <c r="L84" s="2"/>
      <c r="M84" s="19">
        <f ca="1">IF('83'!R34+(H38-100)*H41*10&gt;0,'83'!R34+(H38-100)*H41*10,0)</f>
        <v>0</v>
      </c>
      <c r="N84" s="504">
        <f>'93'!R34</f>
        <v>0</v>
      </c>
      <c r="P84" s="8" t="str">
        <f>Lang!$A$140</f>
        <v>Balance</v>
      </c>
      <c r="R84" s="19">
        <f ca="1">(R56+R57-R58-R59)+(R63+R64-R65)+(R72+R69)-(R71+R70)+'83'!X31-R79</f>
        <v>-146016.28676726716</v>
      </c>
      <c r="S84" s="150"/>
      <c r="AH84" s="1094"/>
      <c r="AI84" s="1095"/>
      <c r="AJ84" s="9"/>
      <c r="AK84" s="10"/>
      <c r="AL84" s="10"/>
      <c r="AM84" s="11"/>
      <c r="AN84" s="9"/>
      <c r="AO84" s="10">
        <f ca="1">(1-B$22)*B4*(1+B$5/SUM(B$2:B$4))*$H$29/1000*$H$39+B$22*B4*(1+B$5/SUM(B$2:B$4))*$G$33/1000*$H$39*1.5</f>
        <v>76327.448070874583</v>
      </c>
      <c r="AP84" s="10">
        <f ca="1">(1-C$22)*C4*(1+C$5/SUM(C$2:C$4))*2*$H$29/1000*$H$39+C$22*C4*(1+C$5/SUM(C$2:C$4))*2*$G$33/1000*$H$39*1.5</f>
        <v>29906.838505660373</v>
      </c>
      <c r="AQ84" s="11">
        <f ca="1">(1-D$22)*D4*(1+D$5/SUM(D$2:D$4))*3*$H$29/1000*$H$39+D$22*D4*(1+D$5/SUM(D$2:D$4))*3*$G$33/1000*$H$39*1.5</f>
        <v>36480.108010665172</v>
      </c>
    </row>
    <row r="85" spans="1:43" ht="12.9" customHeight="1" x14ac:dyDescent="0.25">
      <c r="D85" s="2"/>
      <c r="E85" s="3"/>
      <c r="H85" s="2"/>
      <c r="I85" s="3"/>
      <c r="K85" s="20" t="str">
        <f>Lang!$A$141</f>
        <v xml:space="preserve">Retained earnings </v>
      </c>
      <c r="L85" s="20"/>
      <c r="M85" s="19">
        <f ca="1">H83</f>
        <v>234489.1075148792</v>
      </c>
      <c r="N85" s="504">
        <f>'93'!R35</f>
        <v>0</v>
      </c>
      <c r="P85" s="8" t="str">
        <f>Lang!$A$142</f>
        <v>Credit</v>
      </c>
      <c r="R85" s="19">
        <f ca="1">IF(R84&lt;0,-R84,)</f>
        <v>146016.28676726716</v>
      </c>
      <c r="S85" s="504"/>
      <c r="AH85" s="1082" t="str">
        <f>Lang!$A$298</f>
        <v>Assembly wages</v>
      </c>
      <c r="AI85" s="1083"/>
      <c r="AJ85" s="5"/>
      <c r="AK85" s="6"/>
      <c r="AL85" s="6"/>
      <c r="AM85" s="7"/>
      <c r="AN85" s="5"/>
      <c r="AO85" s="6"/>
      <c r="AP85" s="6"/>
      <c r="AQ85" s="7"/>
    </row>
    <row r="86" spans="1:43" ht="12.9" customHeight="1" x14ac:dyDescent="0.25">
      <c r="K86" s="20" t="str">
        <f>Lang!$A$143</f>
        <v>Total equity</v>
      </c>
      <c r="L86" s="20"/>
      <c r="M86" s="19">
        <f ca="1">M83+M84+M85</f>
        <v>4234489.1075148787</v>
      </c>
      <c r="N86" s="504">
        <f>'93'!R36</f>
        <v>0</v>
      </c>
      <c r="AH86" s="1084"/>
      <c r="AI86" s="1085"/>
      <c r="AJ86" s="5"/>
      <c r="AK86" s="6"/>
      <c r="AL86" s="6"/>
      <c r="AM86" s="7"/>
      <c r="AN86" s="5"/>
      <c r="AO86" s="6">
        <f t="shared" ref="AO86:AQ88" ca="1" si="14">$H$63/$H$15*B2*(1+B$5/SUM(B$2:B$4))*B$20/60</f>
        <v>55144.833118329567</v>
      </c>
      <c r="AP86" s="6">
        <f t="shared" ca="1" si="14"/>
        <v>44669.46244985747</v>
      </c>
      <c r="AQ86" s="7">
        <f t="shared" ca="1" si="14"/>
        <v>45022.399833597774</v>
      </c>
    </row>
    <row r="87" spans="1:43" ht="12.9" customHeight="1" x14ac:dyDescent="0.25">
      <c r="P87" s="150"/>
      <c r="AH87" s="1084"/>
      <c r="AI87" s="1085"/>
      <c r="AJ87" s="5"/>
      <c r="AK87" s="6"/>
      <c r="AL87" s="6"/>
      <c r="AM87" s="7"/>
      <c r="AN87" s="5"/>
      <c r="AO87" s="6">
        <f t="shared" ca="1" si="14"/>
        <v>33163.341507866848</v>
      </c>
      <c r="AP87" s="6">
        <f t="shared" ca="1" si="14"/>
        <v>24358.321031702591</v>
      </c>
      <c r="AQ87" s="7">
        <f t="shared" ca="1" si="14"/>
        <v>36138.584520092256</v>
      </c>
    </row>
    <row r="88" spans="1:43" ht="12.9" customHeight="1" thickBot="1" x14ac:dyDescent="0.3">
      <c r="S88" s="3"/>
      <c r="AH88" s="1086"/>
      <c r="AI88" s="1087"/>
      <c r="AJ88" s="9"/>
      <c r="AK88" s="10"/>
      <c r="AL88" s="10"/>
      <c r="AM88" s="11"/>
      <c r="AN88" s="9"/>
      <c r="AO88" s="10">
        <f t="shared" ca="1" si="14"/>
        <v>38697.109179062922</v>
      </c>
      <c r="AP88" s="10">
        <f t="shared" ca="1" si="14"/>
        <v>10740.041650466574</v>
      </c>
      <c r="AQ88" s="11">
        <f t="shared" ca="1" si="14"/>
        <v>16635.845124764452</v>
      </c>
    </row>
    <row r="89" spans="1:43" ht="12.9" customHeight="1" x14ac:dyDescent="0.25">
      <c r="A89" s="95"/>
      <c r="E89" s="3"/>
      <c r="M89" s="3"/>
      <c r="Q89" s="25"/>
      <c r="R89" s="3"/>
      <c r="S89" s="3"/>
      <c r="AH89" s="1082" t="str">
        <f>Lang!$A$299</f>
        <v>Machinists wages</v>
      </c>
      <c r="AI89" s="1083"/>
      <c r="AJ89" s="5">
        <f ca="1">IF($H$2=0,H62,0)</f>
        <v>0</v>
      </c>
      <c r="AK89" s="6"/>
      <c r="AL89" s="6"/>
      <c r="AM89" s="7"/>
      <c r="AN89" s="5"/>
      <c r="AO89" s="6"/>
      <c r="AP89" s="6"/>
      <c r="AQ89" s="7"/>
    </row>
    <row r="90" spans="1:43" ht="12.9" customHeight="1" x14ac:dyDescent="0.25">
      <c r="E90" s="3"/>
      <c r="M90" s="3"/>
      <c r="Q90" s="3"/>
      <c r="R90" s="3"/>
      <c r="S90" s="3"/>
      <c r="AH90" s="1084"/>
      <c r="AI90" s="1085"/>
      <c r="AJ90" s="5"/>
      <c r="AK90" s="6"/>
      <c r="AL90" s="6"/>
      <c r="AM90" s="7"/>
      <c r="AN90" s="5"/>
      <c r="AO90" s="6">
        <f ca="1">IF($H$2=0,0,$H$62/$H$2*B2*(1+B$5/SUM(B$2:B$4))*60/60/$H$10)</f>
        <v>106313.20170054989</v>
      </c>
      <c r="AP90" s="6">
        <f ca="1">IF($H$2=0,0,$H$62/$H$2*C2*(1+C$5/SUM(C$2:C$4))*75/60/$H$10)</f>
        <v>75986.32390715582</v>
      </c>
      <c r="AQ90" s="7">
        <f ca="1">IF($H$2=0,0,$H$62/$H$2*D2*(1+D$5/SUM(D$2:D$4))*120/60/$H$10)</f>
        <v>63126.006110705646</v>
      </c>
    </row>
    <row r="91" spans="1:43" ht="12.9" customHeight="1" thickBot="1" x14ac:dyDescent="0.3">
      <c r="S91" s="3"/>
      <c r="AH91" s="1084"/>
      <c r="AI91" s="1085"/>
      <c r="AJ91" s="5"/>
      <c r="AK91" s="6"/>
      <c r="AL91" s="6"/>
      <c r="AM91" s="7"/>
      <c r="AN91" s="5"/>
      <c r="AO91" s="6">
        <f ca="1">IF($H$2=0,0,$H$62/$H$2*B3*(1+B$5/SUM(B$2:B$4))*60/60/$H$10)</f>
        <v>63935.292128360081</v>
      </c>
      <c r="AP91" s="6">
        <f ca="1">IF($H$2=0,0,$H$62/$H$2*C3*(1+C$5/SUM(C$2:C$4))*75/60/$H$10)</f>
        <v>41435.449863027061</v>
      </c>
      <c r="AQ91" s="7">
        <f ca="1">IF($H$2=0,0,$H$62/$H$2*D3*(1+D$5/SUM(D$2:D$4))*120/60/$H$10)</f>
        <v>50669.98906498088</v>
      </c>
    </row>
    <row r="92" spans="1:43" ht="12.9" customHeight="1" thickBot="1" x14ac:dyDescent="0.3">
      <c r="C92" s="1080" t="str">
        <f>Lang!$A$144</f>
        <v>Prices analysis</v>
      </c>
      <c r="D92" s="1081"/>
      <c r="E92" s="1081"/>
      <c r="F92" s="1081"/>
      <c r="G92" s="1081"/>
      <c r="H92" s="1081"/>
      <c r="I92" s="1081"/>
      <c r="J92" s="1081"/>
      <c r="K92" s="1081"/>
      <c r="L92" s="102">
        <v>0.01</v>
      </c>
      <c r="M92" s="3"/>
      <c r="Q92" s="3"/>
      <c r="R92" s="3"/>
      <c r="S92" s="2"/>
      <c r="AH92" s="1086"/>
      <c r="AI92" s="1087"/>
      <c r="AJ92" s="9"/>
      <c r="AK92" s="10"/>
      <c r="AL92" s="10"/>
      <c r="AM92" s="11"/>
      <c r="AN92" s="9"/>
      <c r="AO92" s="10">
        <f ca="1">IF($H$2=0,0,$H$62/$H$2*B4*(1+B$5/SUM(B$2:B$4))*60/60/$H$10)</f>
        <v>74603.790432261943</v>
      </c>
      <c r="AP92" s="10">
        <f ca="1">IF($H$2=0,0,$H$62/$H$2*C4*(1+C$5/SUM(C$2:C$4))*75/60/$H$10)</f>
        <v>18269.668781995864</v>
      </c>
      <c r="AQ92" s="11">
        <f ca="1">IF($H$2=0,0,$H$62/$H$2*D4*(1+D$5/SUM(D$2:D$4))*120/60/$H$10)</f>
        <v>23325.155142417803</v>
      </c>
    </row>
    <row r="93" spans="1:43" ht="12.9" customHeight="1" x14ac:dyDescent="0.25">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2" t="str">
        <f>Lang!$A$149</f>
        <v>Machine running costs</v>
      </c>
      <c r="AI93" s="1083"/>
      <c r="AJ93" s="5">
        <f>3500*H7+H11*12500</f>
        <v>42500</v>
      </c>
      <c r="AK93" s="6"/>
      <c r="AL93" s="6"/>
      <c r="AM93" s="7"/>
      <c r="AN93" s="5"/>
      <c r="AO93" s="6"/>
      <c r="AP93" s="6"/>
      <c r="AQ93" s="7"/>
    </row>
    <row r="94" spans="1:43" ht="12.9" customHeight="1" x14ac:dyDescent="0.25">
      <c r="C94" s="5">
        <v>558558.37415176607</v>
      </c>
      <c r="D94" s="56"/>
      <c r="E94" s="56"/>
      <c r="F94" s="56"/>
      <c r="G94" s="82">
        <v>293</v>
      </c>
      <c r="H94" s="56">
        <v>476</v>
      </c>
      <c r="I94" s="56">
        <v>760</v>
      </c>
      <c r="J94" s="56"/>
      <c r="K94" s="56"/>
      <c r="L94" s="57"/>
      <c r="M94" s="3"/>
      <c r="P94" s="2"/>
      <c r="R94" s="3"/>
      <c r="S94" s="2"/>
      <c r="AH94" s="1084"/>
      <c r="AI94" s="1085"/>
      <c r="AJ94" s="5"/>
      <c r="AK94" s="6"/>
      <c r="AL94" s="6"/>
      <c r="AM94" s="7"/>
      <c r="AN94" s="5"/>
      <c r="AO94" s="6">
        <f ca="1">B2*(1+B$5/SUM(B$2:B$4))*60/60/$H$10*8+B2*(1+B$5/SUM(B$2:B$4))</f>
        <v>16860.91222229624</v>
      </c>
      <c r="AP94" s="6">
        <f ca="1">C2*(1+C$5/SUM(C$2:C$4))*75/60/$H$10*8+C2*(1+C$5/SUM(C$2:C$4))</f>
        <v>11800.538870283914</v>
      </c>
      <c r="AQ94" s="7">
        <f ca="1">D2*(1+D$5/SUM(D$2:D$4))*120/60/$H$10*8+D2*(1+D$5/SUM(D$2:D$4))</f>
        <v>9491.0320362885413</v>
      </c>
    </row>
    <row r="95" spans="1:43" ht="12.9" customHeight="1" x14ac:dyDescent="0.25">
      <c r="A95" s="25"/>
      <c r="C95" s="644">
        <v>559266.01009623893</v>
      </c>
      <c r="D95" s="82"/>
      <c r="E95" s="56"/>
      <c r="F95" s="56"/>
      <c r="G95" s="82">
        <v>296</v>
      </c>
      <c r="H95" s="56">
        <v>481</v>
      </c>
      <c r="I95" s="56">
        <v>768</v>
      </c>
      <c r="J95" s="56"/>
      <c r="K95" s="56"/>
      <c r="L95" s="57"/>
      <c r="M95" s="3"/>
      <c r="P95" s="2"/>
      <c r="R95" s="3"/>
      <c r="S95" s="2"/>
      <c r="AH95" s="1084"/>
      <c r="AI95" s="1085"/>
      <c r="AJ95" s="5"/>
      <c r="AK95" s="6"/>
      <c r="AL95" s="6"/>
      <c r="AM95" s="7"/>
      <c r="AN95" s="5"/>
      <c r="AO95" s="6">
        <f ca="1">B3*(1+B$5/SUM(B$2:B$4))*60/60/$H$10*8+B3*(1+B$5/SUM(B$2:B$4))</f>
        <v>10139.919889907438</v>
      </c>
      <c r="AP95" s="6">
        <f ca="1">C3*(1+C$5/SUM(C$2:C$4))*75/60/$H$10*8+C3*(1+C$5/SUM(C$2:C$4))</f>
        <v>6434.8505306532461</v>
      </c>
      <c r="AQ95" s="7">
        <f ca="1">D3*(1+D$5/SUM(D$2:D$4))*120/60/$H$10*8+D3*(1+D$5/SUM(D$2:D$4))</f>
        <v>7618.2625691658523</v>
      </c>
    </row>
    <row r="96" spans="1:43" ht="12.9" customHeight="1" thickBot="1" x14ac:dyDescent="0.3">
      <c r="C96" s="644">
        <v>590494.07716208766</v>
      </c>
      <c r="D96" s="82"/>
      <c r="E96" s="56"/>
      <c r="F96" s="56"/>
      <c r="G96" s="82">
        <v>300</v>
      </c>
      <c r="H96" s="56">
        <v>486</v>
      </c>
      <c r="I96" s="56">
        <v>776</v>
      </c>
      <c r="J96" s="56"/>
      <c r="K96" s="56"/>
      <c r="L96" s="57"/>
      <c r="M96" s="3"/>
      <c r="P96" s="2"/>
      <c r="AH96" s="1086"/>
      <c r="AI96" s="1087"/>
      <c r="AJ96" s="9"/>
      <c r="AK96" s="10"/>
      <c r="AL96" s="10"/>
      <c r="AM96" s="11"/>
      <c r="AN96" s="9"/>
      <c r="AO96" s="10">
        <f ca="1">B4*(1+B$5/SUM(B$2:B$4))*60/60/$H$10*8+B4*(1+B$5/SUM(B$2:B$4))</f>
        <v>11831.907437723668</v>
      </c>
      <c r="AP96" s="10">
        <f ca="1">C4*(1+C$5/SUM(C$2:C$4))*75/60/$H$10*8+C4*(1+C$5/SUM(C$2:C$4))</f>
        <v>2837.2465665344807</v>
      </c>
      <c r="AQ96" s="11">
        <f ca="1">D4*(1+D$5/SUM(D$2:D$4))*120/60/$H$10*8+D4*(1+D$5/SUM(D$2:D$4))</f>
        <v>3506.9507537012332</v>
      </c>
    </row>
    <row r="97" spans="1:43" ht="12.9" customHeight="1" x14ac:dyDescent="0.25">
      <c r="C97" s="644">
        <v>590697.68312622374</v>
      </c>
      <c r="D97" s="82"/>
      <c r="E97" s="56"/>
      <c r="F97" s="56"/>
      <c r="G97" s="82">
        <v>303</v>
      </c>
      <c r="H97" s="56">
        <v>491</v>
      </c>
      <c r="I97" s="56">
        <v>784</v>
      </c>
      <c r="J97" s="56"/>
      <c r="K97" s="56"/>
      <c r="L97" s="57"/>
      <c r="M97" s="3"/>
      <c r="P97" s="2"/>
      <c r="AH97" s="1082" t="str">
        <f>Lang!$A$150</f>
        <v>Quality control</v>
      </c>
      <c r="AI97" s="1083"/>
      <c r="AJ97" s="5">
        <f ca="1">H64</f>
        <v>6959.0741515591008</v>
      </c>
      <c r="AK97" s="6"/>
      <c r="AL97" s="6"/>
      <c r="AM97" s="7"/>
      <c r="AN97" s="5"/>
      <c r="AO97" s="6"/>
      <c r="AP97" s="6"/>
      <c r="AQ97" s="7"/>
    </row>
    <row r="98" spans="1:43" ht="12.9" customHeight="1" x14ac:dyDescent="0.25">
      <c r="C98" s="644">
        <v>590655.75911064679</v>
      </c>
      <c r="D98" s="82"/>
      <c r="E98" s="82"/>
      <c r="F98" s="82"/>
      <c r="G98" s="82">
        <v>306</v>
      </c>
      <c r="H98" s="56">
        <v>496</v>
      </c>
      <c r="I98" s="56">
        <v>792</v>
      </c>
      <c r="J98" s="56"/>
      <c r="K98" s="56"/>
      <c r="L98" s="57"/>
      <c r="M98" s="3"/>
      <c r="P98" s="2"/>
      <c r="AH98" s="1084"/>
      <c r="AI98" s="1085"/>
      <c r="AJ98" s="5"/>
      <c r="AK98" s="6"/>
      <c r="AL98" s="6"/>
      <c r="AM98" s="7"/>
      <c r="AN98" s="5"/>
      <c r="AO98" s="6"/>
      <c r="AP98" s="6"/>
      <c r="AQ98" s="7"/>
    </row>
    <row r="99" spans="1:43" ht="12.9" customHeight="1" x14ac:dyDescent="0.25">
      <c r="A99" s="25"/>
      <c r="C99" s="644">
        <v>590413.99751199083</v>
      </c>
      <c r="D99" s="82"/>
      <c r="E99" s="56"/>
      <c r="F99" s="56"/>
      <c r="G99" s="56">
        <v>309</v>
      </c>
      <c r="H99" s="82">
        <v>501</v>
      </c>
      <c r="I99" s="56">
        <v>800</v>
      </c>
      <c r="J99" s="56"/>
      <c r="K99" s="56"/>
      <c r="L99" s="57"/>
      <c r="M99" s="3"/>
      <c r="P99" s="2"/>
      <c r="AH99" s="1084"/>
      <c r="AI99" s="1085"/>
      <c r="AJ99" s="5"/>
      <c r="AK99" s="6"/>
      <c r="AL99" s="6"/>
      <c r="AM99" s="7"/>
      <c r="AN99" s="5"/>
      <c r="AO99" s="6"/>
      <c r="AP99" s="6"/>
      <c r="AQ99" s="7"/>
    </row>
    <row r="100" spans="1:43" ht="12.9" customHeight="1" thickBot="1" x14ac:dyDescent="0.3">
      <c r="C100" s="646">
        <v>589972.32227419131</v>
      </c>
      <c r="D100" s="83"/>
      <c r="E100" s="83"/>
      <c r="F100" s="83"/>
      <c r="G100" s="83">
        <v>312</v>
      </c>
      <c r="H100" s="83">
        <v>506</v>
      </c>
      <c r="I100" s="83">
        <v>808</v>
      </c>
      <c r="J100" s="83"/>
      <c r="K100" s="83"/>
      <c r="L100" s="84"/>
      <c r="M100" s="3"/>
      <c r="P100" s="2"/>
      <c r="R100" s="685"/>
      <c r="AH100" s="1086"/>
      <c r="AI100" s="1087"/>
      <c r="AJ100" s="9"/>
      <c r="AK100" s="10"/>
      <c r="AL100" s="10"/>
      <c r="AM100" s="11"/>
      <c r="AN100" s="9"/>
      <c r="AO100" s="10"/>
      <c r="AP100" s="10"/>
      <c r="AQ100" s="11"/>
    </row>
    <row r="101" spans="1:43" ht="12.9" customHeight="1" x14ac:dyDescent="0.25">
      <c r="C101" s="644">
        <v>620080.37552635721</v>
      </c>
      <c r="D101" s="82"/>
      <c r="E101" s="82"/>
      <c r="F101" s="82"/>
      <c r="G101" s="82">
        <v>315</v>
      </c>
      <c r="H101" s="82">
        <v>511</v>
      </c>
      <c r="I101" s="82">
        <v>816</v>
      </c>
      <c r="J101" s="82"/>
      <c r="K101" s="82"/>
      <c r="L101" s="85"/>
      <c r="M101" s="3"/>
      <c r="P101" s="2"/>
      <c r="AH101" s="1082" t="str">
        <f>Lang!$A$151</f>
        <v>Depreciation</v>
      </c>
      <c r="AI101" s="1083"/>
      <c r="AJ101" s="5">
        <f>H71</f>
        <v>31765.15</v>
      </c>
      <c r="AK101" s="6"/>
      <c r="AL101" s="6"/>
      <c r="AM101" s="7"/>
      <c r="AN101" s="5"/>
      <c r="AO101" s="6"/>
      <c r="AP101" s="6"/>
      <c r="AQ101" s="7"/>
    </row>
    <row r="102" spans="1:43" ht="12.9" customHeight="1" x14ac:dyDescent="0.25">
      <c r="C102" s="644">
        <v>619222.73652404035</v>
      </c>
      <c r="D102" s="82"/>
      <c r="E102" s="56"/>
      <c r="F102" s="56"/>
      <c r="G102" s="56">
        <v>318</v>
      </c>
      <c r="H102" s="82">
        <v>516</v>
      </c>
      <c r="I102" s="56">
        <v>824</v>
      </c>
      <c r="J102" s="56"/>
      <c r="K102" s="56"/>
      <c r="L102" s="57"/>
      <c r="M102" s="3"/>
      <c r="AH102" s="1084"/>
      <c r="AI102" s="1085"/>
      <c r="AJ102" s="5"/>
      <c r="AK102" s="6"/>
      <c r="AL102" s="6"/>
      <c r="AM102" s="7"/>
      <c r="AN102" s="5"/>
      <c r="AO102" s="6"/>
      <c r="AP102" s="6"/>
      <c r="AQ102" s="7"/>
    </row>
    <row r="103" spans="1:43" ht="12.9" customHeight="1" x14ac:dyDescent="0.25">
      <c r="B103" s="8"/>
      <c r="C103" s="644">
        <v>618182.40529580112</v>
      </c>
      <c r="D103" s="82"/>
      <c r="E103" s="82"/>
      <c r="F103" s="82"/>
      <c r="G103" s="82">
        <v>321</v>
      </c>
      <c r="H103" s="82">
        <v>521</v>
      </c>
      <c r="I103" s="82">
        <v>832</v>
      </c>
      <c r="J103" s="82"/>
      <c r="K103" s="82"/>
      <c r="L103" s="85"/>
      <c r="M103" s="3"/>
      <c r="AH103" s="1084"/>
      <c r="AI103" s="1085"/>
      <c r="AJ103" s="5"/>
      <c r="AK103" s="6"/>
      <c r="AL103" s="6"/>
      <c r="AM103" s="7"/>
      <c r="AN103" s="5"/>
      <c r="AO103" s="6"/>
      <c r="AP103" s="6"/>
      <c r="AQ103" s="7"/>
    </row>
    <row r="104" spans="1:43" ht="12.9" customHeight="1" thickBot="1" x14ac:dyDescent="0.3">
      <c r="C104" s="644">
        <v>616913.55169169395</v>
      </c>
      <c r="D104" s="82"/>
      <c r="E104" s="82"/>
      <c r="F104" s="82"/>
      <c r="G104" s="82">
        <v>324</v>
      </c>
      <c r="H104" s="82">
        <v>526</v>
      </c>
      <c r="I104" s="82">
        <v>840</v>
      </c>
      <c r="J104" s="82"/>
      <c r="K104" s="82"/>
      <c r="L104" s="85"/>
      <c r="M104" s="3"/>
      <c r="AH104" s="1086"/>
      <c r="AI104" s="1087"/>
      <c r="AJ104" s="9"/>
      <c r="AK104" s="10"/>
      <c r="AL104" s="10"/>
      <c r="AM104" s="11"/>
      <c r="AN104" s="9"/>
      <c r="AO104" s="10"/>
      <c r="AP104" s="10"/>
      <c r="AQ104" s="11"/>
    </row>
    <row r="105" spans="1:43" ht="12.9" customHeight="1" x14ac:dyDescent="0.25">
      <c r="C105" s="644">
        <v>615204.34439498559</v>
      </c>
      <c r="D105" s="82"/>
      <c r="E105" s="56"/>
      <c r="F105" s="56"/>
      <c r="G105" s="56">
        <v>328</v>
      </c>
      <c r="H105" s="56">
        <v>531</v>
      </c>
      <c r="I105" s="56">
        <v>848</v>
      </c>
      <c r="J105" s="56"/>
      <c r="K105" s="56"/>
      <c r="L105" s="57"/>
      <c r="M105" s="3"/>
      <c r="Q105" s="25"/>
      <c r="R105" s="3"/>
      <c r="S105" s="2"/>
    </row>
    <row r="106" spans="1:43" ht="12.9" customHeight="1" thickBot="1" x14ac:dyDescent="0.3">
      <c r="A106" s="150"/>
      <c r="C106" s="648">
        <v>641849.04778687516</v>
      </c>
      <c r="D106" s="152"/>
      <c r="E106" s="59"/>
      <c r="F106" s="59"/>
      <c r="G106" s="59">
        <v>331</v>
      </c>
      <c r="H106" s="59">
        <v>536</v>
      </c>
      <c r="I106" s="59">
        <v>856</v>
      </c>
      <c r="J106" s="59"/>
      <c r="K106" s="59"/>
      <c r="L106" s="60"/>
      <c r="M106" s="3"/>
      <c r="Q106" s="23"/>
      <c r="R106" s="3"/>
      <c r="S106" s="2"/>
    </row>
    <row r="107" spans="1:43" ht="12.9" customHeight="1" thickBot="1" x14ac:dyDescent="0.3">
      <c r="C107" s="2"/>
      <c r="D107" s="8"/>
      <c r="E107" s="3"/>
      <c r="I107" s="3"/>
      <c r="M107" s="3"/>
      <c r="Q107" s="3"/>
      <c r="R107" s="3"/>
      <c r="S107" s="3"/>
    </row>
    <row r="108" spans="1:43" ht="12.9" customHeight="1" x14ac:dyDescent="0.25">
      <c r="C108" s="1080" t="str">
        <f>Lang!$A$152</f>
        <v>Advertising analysis</v>
      </c>
      <c r="D108" s="1081"/>
      <c r="E108" s="1081"/>
      <c r="F108" s="1081"/>
      <c r="G108" s="1081"/>
      <c r="H108" s="1081"/>
      <c r="I108" s="1081"/>
      <c r="J108" s="1081"/>
      <c r="K108" s="1081"/>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634152.1215971224</v>
      </c>
      <c r="D110" s="56"/>
      <c r="E110" s="56"/>
      <c r="F110" s="56"/>
      <c r="G110" s="82"/>
      <c r="H110" s="56"/>
      <c r="I110" s="56"/>
      <c r="J110" s="56">
        <v>14</v>
      </c>
      <c r="K110" s="56">
        <v>10</v>
      </c>
      <c r="L110" s="57">
        <v>6</v>
      </c>
      <c r="M110" s="3"/>
      <c r="Q110" s="3"/>
      <c r="R110" s="3"/>
      <c r="S110" s="3"/>
    </row>
    <row r="111" spans="1:43" ht="12.9" customHeight="1" x14ac:dyDescent="0.25">
      <c r="C111" s="644">
        <v>631907.23263780912</v>
      </c>
      <c r="D111" s="82"/>
      <c r="E111" s="56"/>
      <c r="F111" s="56"/>
      <c r="G111" s="82"/>
      <c r="H111" s="56"/>
      <c r="I111" s="56"/>
      <c r="J111" s="56">
        <v>18</v>
      </c>
      <c r="K111" s="56">
        <v>12</v>
      </c>
      <c r="L111" s="57">
        <v>7</v>
      </c>
      <c r="M111" s="3"/>
      <c r="Q111" s="3"/>
      <c r="R111" s="3"/>
      <c r="S111" s="3"/>
    </row>
    <row r="112" spans="1:43" ht="12.9" customHeight="1" x14ac:dyDescent="0.25">
      <c r="C112" s="644">
        <v>629292.86497601029</v>
      </c>
      <c r="D112" s="82"/>
      <c r="E112" s="56"/>
      <c r="F112" s="56"/>
      <c r="G112" s="82"/>
      <c r="H112" s="56"/>
      <c r="I112" s="56"/>
      <c r="J112" s="56">
        <v>22</v>
      </c>
      <c r="K112" s="56">
        <v>15</v>
      </c>
      <c r="L112" s="57">
        <v>8</v>
      </c>
      <c r="M112" s="3"/>
      <c r="Q112" s="3"/>
      <c r="R112" s="3"/>
      <c r="S112" s="3"/>
    </row>
    <row r="113" spans="1:19" ht="12.9" customHeight="1" x14ac:dyDescent="0.25">
      <c r="C113" s="644">
        <v>626353.4110688786</v>
      </c>
      <c r="D113" s="82"/>
      <c r="E113" s="56"/>
      <c r="F113" s="56"/>
      <c r="G113" s="82"/>
      <c r="H113" s="56"/>
      <c r="I113" s="56"/>
      <c r="J113" s="56">
        <v>25</v>
      </c>
      <c r="K113" s="56">
        <v>18</v>
      </c>
      <c r="L113" s="57">
        <v>10</v>
      </c>
      <c r="M113" s="3"/>
      <c r="Q113" s="3"/>
      <c r="R113" s="3"/>
      <c r="S113" s="3"/>
    </row>
    <row r="114" spans="1:19" ht="12.9" customHeight="1" x14ac:dyDescent="0.25">
      <c r="C114" s="644">
        <v>624014.89349022158</v>
      </c>
      <c r="D114" s="82"/>
      <c r="E114" s="82"/>
      <c r="F114" s="82"/>
      <c r="G114" s="82"/>
      <c r="H114" s="56"/>
      <c r="I114" s="56"/>
      <c r="J114" s="56">
        <v>29</v>
      </c>
      <c r="K114" s="56">
        <v>20</v>
      </c>
      <c r="L114" s="57">
        <v>11</v>
      </c>
      <c r="M114" s="3"/>
      <c r="Q114" s="3"/>
      <c r="R114" s="3"/>
      <c r="S114" s="3"/>
    </row>
    <row r="115" spans="1:19" ht="12.9" customHeight="1" x14ac:dyDescent="0.25">
      <c r="C115" s="644">
        <v>621351.29338004207</v>
      </c>
      <c r="D115" s="82"/>
      <c r="E115" s="56"/>
      <c r="F115" s="56"/>
      <c r="G115" s="56"/>
      <c r="H115" s="82"/>
      <c r="I115" s="56"/>
      <c r="J115" s="56">
        <v>32</v>
      </c>
      <c r="K115" s="56">
        <v>22</v>
      </c>
      <c r="L115" s="57">
        <v>13</v>
      </c>
      <c r="M115" s="3"/>
      <c r="Q115" s="3"/>
      <c r="R115" s="3"/>
      <c r="S115" s="3"/>
    </row>
    <row r="116" spans="1:19" ht="12.9" customHeight="1" x14ac:dyDescent="0.25">
      <c r="C116" s="646">
        <v>618739.82794878725</v>
      </c>
      <c r="D116" s="83"/>
      <c r="E116" s="83"/>
      <c r="F116" s="83"/>
      <c r="G116" s="83"/>
      <c r="H116" s="83"/>
      <c r="I116" s="83"/>
      <c r="J116" s="83">
        <v>36</v>
      </c>
      <c r="K116" s="83">
        <v>25</v>
      </c>
      <c r="L116" s="84">
        <v>14</v>
      </c>
      <c r="M116" s="3"/>
      <c r="Q116" s="3"/>
      <c r="R116" s="3"/>
      <c r="S116" s="3"/>
    </row>
    <row r="117" spans="1:19" ht="12.9" customHeight="1" x14ac:dyDescent="0.25">
      <c r="A117" s="2"/>
      <c r="B117" s="2"/>
      <c r="C117" s="644">
        <v>616125.33787465678</v>
      </c>
      <c r="D117" s="82"/>
      <c r="E117" s="82"/>
      <c r="F117" s="82"/>
      <c r="G117" s="82"/>
      <c r="H117" s="82"/>
      <c r="I117" s="82"/>
      <c r="J117" s="82">
        <v>40</v>
      </c>
      <c r="K117" s="82">
        <v>28</v>
      </c>
      <c r="L117" s="85">
        <v>15</v>
      </c>
      <c r="M117" s="3"/>
      <c r="Q117" s="3"/>
      <c r="R117" s="3"/>
      <c r="S117" s="3"/>
    </row>
    <row r="118" spans="1:19" ht="12.9" customHeight="1" x14ac:dyDescent="0.25">
      <c r="C118" s="644">
        <v>613461.66995287803</v>
      </c>
      <c r="D118" s="82"/>
      <c r="E118" s="56"/>
      <c r="F118" s="56"/>
      <c r="G118" s="56"/>
      <c r="H118" s="82"/>
      <c r="I118" s="56"/>
      <c r="J118" s="56">
        <v>43</v>
      </c>
      <c r="K118" s="56">
        <v>30</v>
      </c>
      <c r="L118" s="57">
        <v>17</v>
      </c>
      <c r="M118" s="3"/>
      <c r="Q118" s="3"/>
      <c r="R118" s="3"/>
      <c r="S118" s="3"/>
    </row>
    <row r="119" spans="1:19" ht="12.9" customHeight="1" x14ac:dyDescent="0.25">
      <c r="C119" s="644">
        <v>611123.06654219166</v>
      </c>
      <c r="D119" s="82"/>
      <c r="E119" s="82"/>
      <c r="F119" s="82"/>
      <c r="G119" s="82"/>
      <c r="H119" s="82"/>
      <c r="I119" s="82"/>
      <c r="J119" s="82">
        <v>47</v>
      </c>
      <c r="K119" s="82">
        <v>32</v>
      </c>
      <c r="L119" s="85">
        <v>18</v>
      </c>
      <c r="M119" s="3"/>
      <c r="Q119" s="3"/>
      <c r="R119" s="3"/>
      <c r="S119" s="3"/>
    </row>
    <row r="120" spans="1:19" ht="12.9" customHeight="1" x14ac:dyDescent="0.25">
      <c r="C120" s="644">
        <v>608192.42106752377</v>
      </c>
      <c r="D120" s="82"/>
      <c r="E120" s="82"/>
      <c r="F120" s="82"/>
      <c r="G120" s="82"/>
      <c r="H120" s="82"/>
      <c r="I120" s="82"/>
      <c r="J120" s="82">
        <v>50</v>
      </c>
      <c r="K120" s="82">
        <v>35</v>
      </c>
      <c r="L120" s="85">
        <v>20</v>
      </c>
      <c r="M120" s="3"/>
      <c r="Q120" s="3"/>
      <c r="R120" s="3"/>
      <c r="S120" s="3"/>
    </row>
    <row r="121" spans="1:19" ht="12.9" customHeight="1" x14ac:dyDescent="0.25">
      <c r="C121" s="644">
        <v>605574.83744125883</v>
      </c>
      <c r="D121" s="82"/>
      <c r="E121" s="56"/>
      <c r="F121" s="56"/>
      <c r="G121" s="56"/>
      <c r="H121" s="56"/>
      <c r="I121" s="56"/>
      <c r="J121" s="56">
        <v>54</v>
      </c>
      <c r="K121" s="56">
        <v>38</v>
      </c>
      <c r="L121" s="57">
        <v>21</v>
      </c>
      <c r="M121" s="3"/>
      <c r="Q121" s="3"/>
      <c r="R121" s="3"/>
      <c r="S121" s="3"/>
    </row>
    <row r="122" spans="1:19" ht="12.9" customHeight="1" thickBot="1" x14ac:dyDescent="0.3">
      <c r="C122" s="648">
        <v>603236.1812694578</v>
      </c>
      <c r="D122" s="152"/>
      <c r="E122" s="59"/>
      <c r="F122" s="59"/>
      <c r="G122" s="59"/>
      <c r="H122" s="59"/>
      <c r="I122" s="59"/>
      <c r="J122" s="59">
        <v>58</v>
      </c>
      <c r="K122" s="59">
        <v>40</v>
      </c>
      <c r="L122" s="60">
        <v>22</v>
      </c>
      <c r="M122" s="3"/>
      <c r="Q122" s="3"/>
      <c r="R122" s="3"/>
      <c r="S122" s="3"/>
    </row>
    <row r="123" spans="1:19" ht="12.9" customHeight="1" thickBot="1" x14ac:dyDescent="0.3">
      <c r="E123" s="3"/>
      <c r="I123" s="3"/>
      <c r="M123" s="3"/>
      <c r="Q123" s="3"/>
      <c r="R123" s="3"/>
      <c r="S123" s="3"/>
    </row>
    <row r="124" spans="1:19" ht="12.9" customHeight="1" x14ac:dyDescent="0.25">
      <c r="C124" s="1080" t="str">
        <f>Lang!$A$45</f>
        <v>Premium materials</v>
      </c>
      <c r="D124" s="1081"/>
      <c r="E124" s="1081"/>
      <c r="F124" s="102">
        <v>0.05</v>
      </c>
      <c r="I124" s="3"/>
      <c r="J124" s="2"/>
      <c r="M124" s="3"/>
      <c r="Q124" s="3"/>
      <c r="R124" s="3"/>
      <c r="S124" s="3"/>
    </row>
    <row r="125" spans="1:19" ht="12.9" customHeight="1" x14ac:dyDescent="0.25">
      <c r="C125" s="872" t="str">
        <f>Lang!$A$145</f>
        <v>Profit</v>
      </c>
      <c r="D125" s="873">
        <v>1</v>
      </c>
      <c r="E125" s="873">
        <v>2</v>
      </c>
      <c r="F125" s="874">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2:19" ht="12.9" customHeight="1" x14ac:dyDescent="0.25">
      <c r="C129" s="644"/>
      <c r="D129" s="129"/>
      <c r="E129" s="63"/>
      <c r="F129" s="64"/>
      <c r="I129" s="3"/>
      <c r="J129" s="2"/>
      <c r="M129" s="3"/>
      <c r="Q129" s="3"/>
      <c r="R129" s="3"/>
      <c r="S129" s="3"/>
    </row>
    <row r="130" spans="2:19" ht="12.9" customHeight="1" x14ac:dyDescent="0.25">
      <c r="C130" s="644"/>
      <c r="D130" s="129"/>
      <c r="E130" s="129"/>
      <c r="F130" s="131"/>
      <c r="I130" s="3"/>
      <c r="J130" s="2"/>
      <c r="M130" s="3"/>
      <c r="Q130" s="3"/>
      <c r="R130" s="3"/>
      <c r="S130" s="3"/>
    </row>
    <row r="131" spans="2:19" ht="12.9" customHeight="1" x14ac:dyDescent="0.25">
      <c r="C131" s="644"/>
      <c r="D131" s="129"/>
      <c r="E131" s="63"/>
      <c r="F131" s="64"/>
      <c r="I131" s="3"/>
      <c r="J131" s="2"/>
      <c r="M131" s="3"/>
      <c r="Q131" s="3"/>
      <c r="R131" s="3"/>
      <c r="S131" s="3"/>
    </row>
    <row r="132" spans="2:19" ht="12.9" customHeight="1" x14ac:dyDescent="0.25">
      <c r="C132" s="646"/>
      <c r="D132" s="130"/>
      <c r="E132" s="130"/>
      <c r="F132" s="132"/>
      <c r="I132" s="3"/>
      <c r="J132" s="2"/>
      <c r="M132" s="3"/>
      <c r="Q132" s="3"/>
      <c r="R132" s="3"/>
      <c r="S132" s="3"/>
    </row>
    <row r="133" spans="2:19" ht="12.9" customHeight="1" x14ac:dyDescent="0.25">
      <c r="C133" s="644"/>
      <c r="D133" s="129"/>
      <c r="E133" s="129"/>
      <c r="F133" s="131"/>
      <c r="I133" s="3"/>
      <c r="J133" s="2"/>
      <c r="M133" s="3"/>
      <c r="Q133" s="3"/>
      <c r="R133" s="3"/>
      <c r="S133" s="3"/>
    </row>
    <row r="134" spans="2:19" ht="12.9" customHeight="1" x14ac:dyDescent="0.25">
      <c r="C134" s="644"/>
      <c r="D134" s="129"/>
      <c r="E134" s="63"/>
      <c r="F134" s="64"/>
      <c r="I134" s="3"/>
      <c r="J134" s="2"/>
      <c r="M134" s="3"/>
      <c r="Q134" s="3"/>
      <c r="R134" s="3"/>
      <c r="S134" s="3"/>
    </row>
    <row r="135" spans="2:19" ht="12.9" customHeight="1" x14ac:dyDescent="0.25">
      <c r="C135" s="644"/>
      <c r="D135" s="129"/>
      <c r="E135" s="129"/>
      <c r="F135" s="131"/>
      <c r="I135" s="3"/>
      <c r="J135" s="2"/>
      <c r="M135" s="3"/>
      <c r="Q135" s="3"/>
      <c r="R135" s="3"/>
      <c r="S135" s="3"/>
    </row>
    <row r="136" spans="2:19" ht="12.9" customHeight="1" x14ac:dyDescent="0.25">
      <c r="C136" s="644"/>
      <c r="D136" s="129"/>
      <c r="E136" s="129"/>
      <c r="F136" s="131"/>
      <c r="I136" s="3"/>
      <c r="J136" s="2"/>
      <c r="M136" s="3"/>
      <c r="Q136" s="3"/>
      <c r="R136" s="3"/>
      <c r="S136" s="3"/>
    </row>
    <row r="137" spans="2:19" ht="12.9" customHeight="1" x14ac:dyDescent="0.25">
      <c r="C137" s="644"/>
      <c r="D137" s="129"/>
      <c r="E137" s="63"/>
      <c r="F137" s="64"/>
      <c r="I137" s="3"/>
      <c r="J137" s="2"/>
      <c r="M137" s="3"/>
      <c r="Q137" s="3"/>
      <c r="R137" s="3"/>
      <c r="S137" s="3"/>
    </row>
    <row r="138" spans="2:19" ht="12.9" customHeight="1" thickBot="1" x14ac:dyDescent="0.3">
      <c r="C138" s="648"/>
      <c r="D138" s="604"/>
      <c r="E138" s="65"/>
      <c r="F138" s="66"/>
      <c r="I138" s="3"/>
      <c r="J138" s="2"/>
      <c r="M138" s="3"/>
      <c r="Q138" s="3"/>
      <c r="R138" s="3"/>
      <c r="S138" s="3"/>
    </row>
    <row r="139" spans="2:19" x14ac:dyDescent="0.25">
      <c r="B139" s="2"/>
      <c r="E139" s="3"/>
      <c r="F139" s="2"/>
      <c r="I139" s="3"/>
      <c r="J139" s="2"/>
      <c r="K139" s="2"/>
      <c r="L139" s="8"/>
      <c r="M139" s="3"/>
      <c r="Q139" s="3"/>
      <c r="R139" s="3"/>
      <c r="S139" s="3"/>
    </row>
    <row r="140" spans="2:19" x14ac:dyDescent="0.25">
      <c r="B140" s="2"/>
      <c r="E140" s="3"/>
      <c r="F140" s="2"/>
      <c r="I140" s="3"/>
      <c r="J140" s="2"/>
      <c r="K140" s="2"/>
      <c r="L140" s="8"/>
      <c r="M140" s="3"/>
      <c r="Q140" s="3"/>
      <c r="R140" s="3"/>
      <c r="S140" s="3"/>
    </row>
    <row r="141" spans="2:19" x14ac:dyDescent="0.25">
      <c r="B141" s="2"/>
      <c r="E141" s="3"/>
      <c r="F141" s="2"/>
      <c r="I141" s="3"/>
      <c r="J141" s="2"/>
      <c r="K141" s="2"/>
      <c r="L141" s="8"/>
      <c r="M141" s="3"/>
      <c r="Q141" s="3"/>
      <c r="R141" s="3"/>
      <c r="S141" s="3"/>
    </row>
    <row r="142" spans="2:19" x14ac:dyDescent="0.25">
      <c r="B142" s="2"/>
      <c r="E142" s="3"/>
      <c r="F142" s="2"/>
      <c r="I142" s="3"/>
      <c r="J142" s="2"/>
      <c r="K142" s="2"/>
      <c r="L142" s="8"/>
      <c r="M142" s="3"/>
      <c r="Q142" s="3"/>
      <c r="R142" s="3"/>
      <c r="S142" s="3"/>
    </row>
    <row r="143" spans="2:19" x14ac:dyDescent="0.25">
      <c r="B143" s="2"/>
      <c r="E143" s="3"/>
      <c r="F143" s="2"/>
      <c r="I143" s="3"/>
      <c r="J143" s="2"/>
      <c r="K143" s="2"/>
      <c r="L143" s="8"/>
      <c r="M143" s="3"/>
      <c r="Q143" s="3"/>
      <c r="R143" s="3"/>
      <c r="S143" s="3"/>
    </row>
    <row r="144" spans="2:19" x14ac:dyDescent="0.25">
      <c r="B144" s="2"/>
      <c r="E144" s="3"/>
      <c r="F144" s="2"/>
      <c r="I144" s="3"/>
      <c r="J144" s="2"/>
      <c r="K144" s="2"/>
      <c r="L144" s="8"/>
      <c r="M144" s="3"/>
      <c r="Q144" s="3"/>
      <c r="R144" s="3"/>
      <c r="S144" s="3"/>
    </row>
    <row r="145" spans="2:19" x14ac:dyDescent="0.25">
      <c r="B145" s="2"/>
      <c r="E145" s="3"/>
      <c r="F145" s="2"/>
      <c r="I145" s="3"/>
      <c r="J145" s="2"/>
      <c r="K145" s="2"/>
      <c r="L145" s="8"/>
      <c r="M145" s="3"/>
      <c r="Q145" s="3"/>
      <c r="R145" s="3"/>
      <c r="S145" s="3"/>
    </row>
    <row r="146" spans="2:19" x14ac:dyDescent="0.25">
      <c r="B146" s="2"/>
      <c r="E146" s="3"/>
      <c r="F146" s="2"/>
      <c r="I146" s="3"/>
      <c r="J146" s="2"/>
      <c r="K146" s="2"/>
      <c r="L146" s="8"/>
      <c r="M146" s="3"/>
      <c r="Q146" s="3"/>
      <c r="R146" s="3"/>
      <c r="S146" s="3"/>
    </row>
    <row r="147" spans="2:19" x14ac:dyDescent="0.25">
      <c r="B147" s="2"/>
      <c r="E147" s="3"/>
      <c r="F147" s="2"/>
      <c r="I147" s="3"/>
      <c r="J147" s="2"/>
      <c r="K147" s="2"/>
      <c r="L147" s="8"/>
      <c r="M147" s="3"/>
      <c r="Q147" s="3"/>
      <c r="R147" s="3"/>
      <c r="S147" s="3"/>
    </row>
    <row r="148" spans="2:19" x14ac:dyDescent="0.25">
      <c r="B148" s="2"/>
      <c r="E148" s="3"/>
      <c r="F148" s="2"/>
      <c r="I148" s="3"/>
      <c r="J148" s="2"/>
      <c r="K148" s="2"/>
      <c r="L148" s="8"/>
      <c r="M148" s="3"/>
      <c r="Q148" s="3"/>
      <c r="R148" s="3"/>
      <c r="S148" s="3"/>
    </row>
    <row r="149" spans="2:19" x14ac:dyDescent="0.25">
      <c r="B149" s="2"/>
      <c r="E149" s="3"/>
      <c r="F149" s="2"/>
      <c r="I149" s="3"/>
      <c r="J149" s="2"/>
      <c r="K149" s="2"/>
      <c r="L149" s="8"/>
      <c r="M149" s="3"/>
      <c r="Q149" s="3"/>
      <c r="R149" s="3"/>
      <c r="S149" s="3"/>
    </row>
    <row r="150" spans="2:19" x14ac:dyDescent="0.25">
      <c r="B150" s="2"/>
      <c r="E150" s="3"/>
      <c r="F150" s="2"/>
      <c r="I150" s="3"/>
      <c r="J150" s="2"/>
      <c r="K150" s="2"/>
      <c r="L150" s="8"/>
      <c r="M150" s="3"/>
      <c r="Q150" s="3"/>
      <c r="R150" s="3"/>
      <c r="S150" s="3"/>
    </row>
    <row r="151" spans="2:19" x14ac:dyDescent="0.25">
      <c r="B151" s="2"/>
      <c r="E151" s="3"/>
      <c r="F151" s="2"/>
      <c r="I151" s="3"/>
      <c r="J151" s="2"/>
      <c r="K151" s="2"/>
      <c r="L151" s="8"/>
      <c r="M151" s="3"/>
      <c r="Q151" s="3"/>
      <c r="R151" s="3"/>
      <c r="S151" s="3"/>
    </row>
    <row r="152" spans="2:19" x14ac:dyDescent="0.25">
      <c r="B152" s="2"/>
      <c r="E152" s="3"/>
      <c r="F152" s="2"/>
      <c r="I152" s="3"/>
      <c r="J152" s="2"/>
      <c r="K152" s="2"/>
      <c r="L152" s="8"/>
      <c r="M152" s="3"/>
      <c r="Q152" s="3"/>
      <c r="R152" s="3"/>
      <c r="S152" s="3"/>
    </row>
    <row r="153" spans="2:19" x14ac:dyDescent="0.25">
      <c r="B153" s="2"/>
      <c r="E153" s="3"/>
      <c r="F153" s="2"/>
      <c r="I153" s="3"/>
      <c r="J153" s="2"/>
      <c r="K153" s="2"/>
      <c r="L153" s="8"/>
      <c r="M153" s="3"/>
      <c r="Q153" s="3"/>
      <c r="R153" s="3"/>
      <c r="S153" s="3"/>
    </row>
    <row r="154" spans="2:19" x14ac:dyDescent="0.25">
      <c r="B154" s="2"/>
      <c r="E154" s="3"/>
      <c r="F154" s="2"/>
      <c r="I154" s="3"/>
      <c r="J154" s="2"/>
      <c r="K154" s="2"/>
      <c r="L154" s="8"/>
      <c r="M154" s="3"/>
      <c r="Q154" s="3"/>
      <c r="R154" s="3"/>
      <c r="S154" s="3"/>
    </row>
    <row r="155" spans="2:19" x14ac:dyDescent="0.25">
      <c r="B155" s="2"/>
      <c r="E155" s="3"/>
      <c r="F155" s="2"/>
      <c r="I155" s="3"/>
      <c r="J155" s="2"/>
      <c r="K155" s="2"/>
      <c r="L155" s="8"/>
      <c r="M155" s="3"/>
      <c r="Q155" s="3"/>
      <c r="R155" s="3"/>
      <c r="S155" s="3"/>
    </row>
    <row r="156" spans="2:19" x14ac:dyDescent="0.25">
      <c r="B156" s="2"/>
      <c r="E156" s="3"/>
      <c r="F156" s="2"/>
      <c r="I156" s="3"/>
      <c r="J156" s="2"/>
      <c r="K156" s="2"/>
      <c r="L156" s="8"/>
      <c r="M156" s="3"/>
      <c r="Q156" s="3"/>
      <c r="R156" s="3"/>
      <c r="S156" s="3"/>
    </row>
    <row r="157" spans="2:19" x14ac:dyDescent="0.25">
      <c r="B157" s="2"/>
      <c r="E157" s="3"/>
      <c r="F157" s="2"/>
      <c r="I157" s="3"/>
      <c r="J157" s="2"/>
      <c r="K157" s="2"/>
      <c r="L157" s="8"/>
      <c r="M157" s="3"/>
      <c r="Q157" s="3"/>
      <c r="R157" s="3"/>
      <c r="S157" s="3"/>
    </row>
  </sheetData>
  <mergeCells count="135">
    <mergeCell ref="A1:C1"/>
    <mergeCell ref="F1:H1"/>
    <mergeCell ref="J1:L1"/>
    <mergeCell ref="N1:P1"/>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20:G20"/>
    <mergeCell ref="R26:T26"/>
    <mergeCell ref="V26:W26"/>
    <mergeCell ref="Y26:Y29"/>
    <mergeCell ref="A27:D27"/>
    <mergeCell ref="F27:G27"/>
    <mergeCell ref="F28:H28"/>
    <mergeCell ref="A32:C32"/>
    <mergeCell ref="F32:G32"/>
    <mergeCell ref="N26:P26"/>
    <mergeCell ref="A42:C4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41:G41"/>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H53:AI56"/>
    <mergeCell ref="AH57:AI60"/>
    <mergeCell ref="AH61:AI64"/>
    <mergeCell ref="AH65:AI68"/>
    <mergeCell ref="N66:N67"/>
    <mergeCell ref="AH69:AI72"/>
    <mergeCell ref="A47:D47"/>
    <mergeCell ref="F47:G47"/>
    <mergeCell ref="F48:G48"/>
    <mergeCell ref="F49:G49"/>
    <mergeCell ref="AH49:AI52"/>
    <mergeCell ref="F50:G50"/>
    <mergeCell ref="C92:K92"/>
    <mergeCell ref="C108:K108"/>
    <mergeCell ref="C124:E124"/>
    <mergeCell ref="AH93:AI96"/>
    <mergeCell ref="AH97:AI100"/>
    <mergeCell ref="AH101:AI104"/>
    <mergeCell ref="AH73:AI76"/>
    <mergeCell ref="N75:N76"/>
    <mergeCell ref="AH77:AI80"/>
    <mergeCell ref="AH81:AI84"/>
    <mergeCell ref="AH85:AI88"/>
    <mergeCell ref="AH89:AI92"/>
  </mergeCells>
  <conditionalFormatting sqref="J7:L9">
    <cfRule type="cellIs" dxfId="431" priority="176" operator="greaterThan">
      <formula>0</formula>
    </cfRule>
  </conditionalFormatting>
  <conditionalFormatting sqref="D1">
    <cfRule type="cellIs" dxfId="430" priority="173" operator="greaterThan">
      <formula>0</formula>
    </cfRule>
  </conditionalFormatting>
  <conditionalFormatting sqref="AD53:AE54 Q50">
    <cfRule type="cellIs" dxfId="429" priority="171" operator="lessThan">
      <formula>0</formula>
    </cfRule>
    <cfRule type="cellIs" dxfId="428" priority="172" operator="greaterThan">
      <formula>0</formula>
    </cfRule>
  </conditionalFormatting>
  <conditionalFormatting sqref="B48:D50">
    <cfRule type="colorScale" priority="170">
      <colorScale>
        <cfvo type="min"/>
        <cfvo type="percentile" val="50"/>
        <cfvo type="max"/>
        <color rgb="FF63BE7B"/>
        <color rgb="FFFFEB84"/>
        <color rgb="FFF8696B"/>
      </colorScale>
    </cfRule>
  </conditionalFormatting>
  <conditionalFormatting sqref="AK2:AM4">
    <cfRule type="colorScale" priority="165">
      <colorScale>
        <cfvo type="min"/>
        <cfvo type="percentile" val="50"/>
        <cfvo type="max"/>
        <color rgb="FFF8696B"/>
        <color rgb="FFFFEB84"/>
        <color rgb="FF63BE7B"/>
      </colorScale>
    </cfRule>
  </conditionalFormatting>
  <conditionalFormatting sqref="AD55:AE55">
    <cfRule type="cellIs" dxfId="427" priority="162" operator="lessThan">
      <formula>0</formula>
    </cfRule>
    <cfRule type="cellIs" dxfId="426" priority="163" operator="greaterThan">
      <formula>0</formula>
    </cfRule>
  </conditionalFormatting>
  <conditionalFormatting sqref="AJ112">
    <cfRule type="colorScale" priority="189">
      <colorScale>
        <cfvo type="min"/>
        <cfvo type="percentile" val="50"/>
        <cfvo type="max"/>
        <color rgb="FFF8696B"/>
        <color rgb="FFFFEB84"/>
        <color rgb="FF63BE7B"/>
      </colorScale>
    </cfRule>
  </conditionalFormatting>
  <conditionalFormatting sqref="T46">
    <cfRule type="cellIs" dxfId="425" priority="152" operator="greaterThan">
      <formula>0</formula>
    </cfRule>
  </conditionalFormatting>
  <conditionalFormatting sqref="D35">
    <cfRule type="cellIs" dxfId="424" priority="191" operator="between">
      <formula>$D$40-$D$40*0.05</formula>
      <formula>$D$40+$D$40*0.05</formula>
    </cfRule>
  </conditionalFormatting>
  <conditionalFormatting sqref="B33:B34">
    <cfRule type="cellIs" dxfId="423" priority="192" operator="between">
      <formula>$B$38-$B$38*0.05</formula>
      <formula>$B$38+$B$38*0.05</formula>
    </cfRule>
  </conditionalFormatting>
  <conditionalFormatting sqref="B35">
    <cfRule type="cellIs" dxfId="422" priority="193" operator="between">
      <formula>$B$40-$B$40*0.05</formula>
      <formula>$B$40+$B$40*0.05</formula>
    </cfRule>
  </conditionalFormatting>
  <conditionalFormatting sqref="C33:C34">
    <cfRule type="cellIs" dxfId="421" priority="194" operator="between">
      <formula>$C$38-$C$38*0.05</formula>
      <formula>$C$38+$C$38*0.05</formula>
    </cfRule>
  </conditionalFormatting>
  <conditionalFormatting sqref="C35">
    <cfRule type="cellIs" dxfId="420" priority="195" operator="between">
      <formula>$C$40-$C$40*0.05</formula>
      <formula>$C$40+$C$40*0.05</formula>
    </cfRule>
  </conditionalFormatting>
  <conditionalFormatting sqref="D33:D34">
    <cfRule type="cellIs" dxfId="419" priority="196" operator="between">
      <formula>$D$38-$D$38*0.05</formula>
      <formula>$D$38+$D$38*0.05</formula>
    </cfRule>
  </conditionalFormatting>
  <conditionalFormatting sqref="M67">
    <cfRule type="cellIs" dxfId="418" priority="147" operator="lessThan">
      <formula>0</formula>
    </cfRule>
  </conditionalFormatting>
  <conditionalFormatting sqref="O67">
    <cfRule type="cellIs" dxfId="417" priority="146" operator="greaterThan">
      <formula>$P$72</formula>
    </cfRule>
  </conditionalFormatting>
  <conditionalFormatting sqref="I10">
    <cfRule type="cellIs" dxfId="416" priority="141" operator="equal">
      <formula>0</formula>
    </cfRule>
  </conditionalFormatting>
  <conditionalFormatting sqref="J37:L39">
    <cfRule type="cellIs" dxfId="415" priority="131" operator="lessThan">
      <formula>0</formula>
    </cfRule>
  </conditionalFormatting>
  <conditionalFormatting sqref="I26">
    <cfRule type="cellIs" dxfId="414" priority="130" operator="lessThan">
      <formula>$I$27</formula>
    </cfRule>
  </conditionalFormatting>
  <conditionalFormatting sqref="H19">
    <cfRule type="cellIs" dxfId="413" priority="129" operator="greaterThan">
      <formula>0</formula>
    </cfRule>
  </conditionalFormatting>
  <conditionalFormatting sqref="A13">
    <cfRule type="cellIs" dxfId="412" priority="120" operator="lessThan">
      <formula>0</formula>
    </cfRule>
  </conditionalFormatting>
  <conditionalFormatting sqref="M66">
    <cfRule type="cellIs" dxfId="411" priority="119" operator="lessThan">
      <formula>0</formula>
    </cfRule>
  </conditionalFormatting>
  <conditionalFormatting sqref="D55:D71 D74:D76 D80:D81">
    <cfRule type="cellIs" dxfId="410" priority="118" operator="between">
      <formula>C55-C55*0.01</formula>
      <formula>C55+C55*0.01</formula>
    </cfRule>
  </conditionalFormatting>
  <conditionalFormatting sqref="I56 I58:I78 I80:I83">
    <cfRule type="cellIs" dxfId="409" priority="117" operator="between">
      <formula>H56-H56*0.01</formula>
      <formula>H56+H56*0.01</formula>
    </cfRule>
  </conditionalFormatting>
  <conditionalFormatting sqref="N56:N59 N80 N83:N86 N70 N62:N66 N68 N73:N75 N77:N78">
    <cfRule type="cellIs" dxfId="408" priority="116" operator="between">
      <formula>M56-M56*0.01</formula>
      <formula>M56+M56*0.01</formula>
    </cfRule>
  </conditionalFormatting>
  <conditionalFormatting sqref="S56:S60 S76:S79 S69:S74 S63:S66">
    <cfRule type="cellIs" dxfId="407" priority="115" operator="between">
      <formula>R56-R56*0.01</formula>
      <formula>R56+R56*0.01</formula>
    </cfRule>
  </conditionalFormatting>
  <conditionalFormatting sqref="H31">
    <cfRule type="cellIs" dxfId="406" priority="111" operator="lessThan">
      <formula>0</formula>
    </cfRule>
  </conditionalFormatting>
  <conditionalFormatting sqref="I15">
    <cfRule type="cellIs" dxfId="405" priority="6" operator="lessThan">
      <formula>1</formula>
    </cfRule>
    <cfRule type="cellIs" dxfId="404" priority="108" operator="greaterThan">
      <formula>$I$16</formula>
    </cfRule>
  </conditionalFormatting>
  <conditionalFormatting sqref="I2">
    <cfRule type="cellIs" dxfId="403" priority="102" operator="lessThan">
      <formula>$I$6</formula>
    </cfRule>
    <cfRule type="cellIs" dxfId="402" priority="103" operator="greaterThan">
      <formula>$I$3</formula>
    </cfRule>
  </conditionalFormatting>
  <conditionalFormatting sqref="I49">
    <cfRule type="cellIs" dxfId="401" priority="100" operator="lessThan">
      <formula>$I$50</formula>
    </cfRule>
  </conditionalFormatting>
  <conditionalFormatting sqref="B10:D10">
    <cfRule type="cellIs" dxfId="400" priority="99" operator="lessThan">
      <formula>B$11</formula>
    </cfRule>
  </conditionalFormatting>
  <conditionalFormatting sqref="H32">
    <cfRule type="cellIs" dxfId="399" priority="77" operator="lessThan">
      <formula>0</formula>
    </cfRule>
  </conditionalFormatting>
  <conditionalFormatting sqref="B16:D17">
    <cfRule type="cellIs" dxfId="398" priority="76" operator="equal">
      <formula>"Major"</formula>
    </cfRule>
  </conditionalFormatting>
  <conditionalFormatting sqref="B13">
    <cfRule type="cellIs" dxfId="397" priority="39" operator="lessThan">
      <formula>0</formula>
    </cfRule>
  </conditionalFormatting>
  <conditionalFormatting sqref="E9">
    <cfRule type="cellIs" dxfId="396" priority="37" operator="greaterThan">
      <formula>0</formula>
    </cfRule>
    <cfRule type="cellIs" dxfId="395" priority="38" operator="lessThan">
      <formula>0</formula>
    </cfRule>
  </conditionalFormatting>
  <conditionalFormatting sqref="E7">
    <cfRule type="cellIs" dxfId="394" priority="35" operator="greaterThan">
      <formula>0</formula>
    </cfRule>
    <cfRule type="cellIs" dxfId="393" priority="36" operator="lessThan">
      <formula>0</formula>
    </cfRule>
  </conditionalFormatting>
  <conditionalFormatting sqref="B8:D8">
    <cfRule type="cellIs" dxfId="392" priority="27" operator="lessThan">
      <formula>#REF!</formula>
    </cfRule>
  </conditionalFormatting>
  <conditionalFormatting sqref="H45">
    <cfRule type="cellIs" dxfId="391" priority="25" operator="lessThan">
      <formula>$I$45</formula>
    </cfRule>
  </conditionalFormatting>
  <conditionalFormatting sqref="O66">
    <cfRule type="cellIs" dxfId="390" priority="24" operator="greaterThan">
      <formula>$P$72</formula>
    </cfRule>
  </conditionalFormatting>
  <conditionalFormatting sqref="H42">
    <cfRule type="expression" dxfId="389" priority="22">
      <formula>AND(H42&gt;0,H82&lt;H80)</formula>
    </cfRule>
  </conditionalFormatting>
  <conditionalFormatting sqref="C110:C122">
    <cfRule type="colorScale" priority="21">
      <colorScale>
        <cfvo type="min"/>
        <cfvo type="percentile" val="50"/>
        <cfvo type="max"/>
        <color rgb="FFF8696B"/>
        <color rgb="FFFFEB84"/>
        <color rgb="FF63BE7B"/>
      </colorScale>
    </cfRule>
  </conditionalFormatting>
  <conditionalFormatting sqref="C94:C106">
    <cfRule type="colorScale" priority="20">
      <colorScale>
        <cfvo type="min"/>
        <cfvo type="percentile" val="50"/>
        <cfvo type="max"/>
        <color rgb="FFF8696B"/>
        <color rgb="FFFFEB84"/>
        <color rgb="FF63BE7B"/>
      </colorScale>
    </cfRule>
  </conditionalFormatting>
  <conditionalFormatting sqref="C126:C138">
    <cfRule type="colorScale" priority="18">
      <colorScale>
        <cfvo type="min"/>
        <cfvo type="percentile" val="50"/>
        <cfvo type="max"/>
        <color rgb="FFF8696B"/>
        <color rgb="FFFFEB84"/>
        <color rgb="FF63BE7B"/>
      </colorScale>
    </cfRule>
  </conditionalFormatting>
  <conditionalFormatting sqref="E13">
    <cfRule type="cellIs" dxfId="388" priority="11" operator="greaterThan">
      <formula>0</formula>
    </cfRule>
    <cfRule type="cellIs" dxfId="387" priority="12" operator="lessThan">
      <formula>0</formula>
    </cfRule>
  </conditionalFormatting>
  <conditionalFormatting sqref="B43:D45">
    <cfRule type="cellIs" dxfId="386" priority="10" operator="lessThan">
      <formula>1</formula>
    </cfRule>
  </conditionalFormatting>
  <conditionalFormatting sqref="I12">
    <cfRule type="cellIs" dxfId="385" priority="9" operator="lessThan">
      <formula>10</formula>
    </cfRule>
  </conditionalFormatting>
  <conditionalFormatting sqref="C28:C30">
    <cfRule type="cellIs" dxfId="384" priority="7" operator="lessThan">
      <formula>5</formula>
    </cfRule>
  </conditionalFormatting>
  <conditionalFormatting sqref="B18">
    <cfRule type="cellIs" dxfId="383" priority="4" operator="lessThan">
      <formula>E20</formula>
    </cfRule>
  </conditionalFormatting>
  <conditionalFormatting sqref="C18">
    <cfRule type="cellIs" dxfId="382" priority="3" operator="lessThan">
      <formula>E21</formula>
    </cfRule>
  </conditionalFormatting>
  <conditionalFormatting sqref="D18">
    <cfRule type="cellIs" dxfId="381" priority="2" operator="lessThan">
      <formula>E22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1547" r:id="rId4" name="Button 155">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1549" r:id="rId5" name="Button 157">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1550" r:id="rId6" name="Button 158">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1551" r:id="rId7" name="Button 159">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1552" r:id="rId8" name="Button 160">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1553" r:id="rId9" name="Button 161">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1554" r:id="rId10" name="Button 162">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1555" r:id="rId11" name="Button 163">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1556" r:id="rId12" name="Button 164">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1557" r:id="rId13" name="Button 165">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1568" r:id="rId14" name="Button 176">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1569" r:id="rId15" name="Button 177">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1570" r:id="rId16" name="Button 178">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1571" r:id="rId17" name="Button 179">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1575" r:id="rId18" name="Button 183">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75C927F0-5A47-4168-BE9B-01541D3CE9D7}">
            <xm:f>'81'!$P$25*1.15</xm:f>
            <x14:dxf>
              <font>
                <color rgb="FF9C0006"/>
              </font>
              <fill>
                <patternFill>
                  <bgColor rgb="FFFFC7CE"/>
                </patternFill>
              </fill>
            </x14:dxf>
          </x14:cfRule>
          <xm:sqref>H26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
    <tabColor theme="9" tint="0.59999389629810485"/>
  </sheetPr>
  <dimension ref="A1:AQ154"/>
  <sheetViews>
    <sheetView topLeftCell="K1" zoomScale="80" zoomScaleNormal="80" workbookViewId="0">
      <selection activeCell="N2" sqref="N2"/>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100" t="str">
        <f>Lang!$A$1</f>
        <v>Production plan</v>
      </c>
      <c r="B1" s="1101"/>
      <c r="C1" s="1101"/>
      <c r="D1" s="69">
        <v>0</v>
      </c>
      <c r="F1" s="1100" t="str">
        <f>Lang!$A$2</f>
        <v>Production details</v>
      </c>
      <c r="G1" s="1101"/>
      <c r="H1" s="1102"/>
      <c r="J1" s="1131" t="str">
        <f>Lang!$A$3</f>
        <v>Stocks previous quarter</v>
      </c>
      <c r="K1" s="1139"/>
      <c r="L1" s="1140"/>
      <c r="N1" s="1141" t="str">
        <f>Lang!$A$4</f>
        <v>Total demand</v>
      </c>
      <c r="O1" s="1142"/>
      <c r="P1" s="1143"/>
      <c r="Q1" s="3"/>
      <c r="R1" s="1100" t="str">
        <f>Lang!$A$5</f>
        <v>A&amp;D - commission</v>
      </c>
      <c r="S1" s="1101"/>
      <c r="T1" s="1102"/>
      <c r="U1" s="2"/>
      <c r="V1" s="1131" t="str">
        <f>IF(X1=4,"Taxes","")</f>
        <v/>
      </c>
      <c r="W1" s="1132"/>
      <c r="X1" s="631">
        <f>'11'!S9</f>
        <v>2</v>
      </c>
      <c r="Y1" s="1114">
        <f>SUM(V2:X4)</f>
        <v>0</v>
      </c>
      <c r="AH1" s="1082" t="str">
        <f>Lang!$A$6</f>
        <v>Revenues, marginal costs</v>
      </c>
      <c r="AI1" s="1083"/>
      <c r="AJ1" s="136" t="e">
        <f ca="1">SUM(AK2:AM4)</f>
        <v>#VALUE!</v>
      </c>
      <c r="AK1" s="26"/>
      <c r="AL1" s="26"/>
      <c r="AM1" s="27"/>
      <c r="AN1" s="138" t="e">
        <f ca="1">SUM(AO2:AQ4)</f>
        <v>#VALUE!</v>
      </c>
      <c r="AO1" s="26"/>
      <c r="AP1" s="26"/>
      <c r="AQ1" s="27"/>
    </row>
    <row r="2" spans="1:43" ht="12.9" customHeight="1" x14ac:dyDescent="0.25">
      <c r="A2" s="888" t="str">
        <f>Lang!$A$7</f>
        <v>Europe</v>
      </c>
      <c r="B2" s="391" t="e">
        <f ca="1">MAX(IF($D$1=2,'102'!U12,IF($D$1=1,J22,IF($M22&gt;0,FLOOR(J22/$M22*CEILING($J22/500+$K22/250+$L22/125,1),1),0))),0)</f>
        <v>#VALUE!</v>
      </c>
      <c r="C2" s="391" t="e">
        <f ca="1">MAX(IF($D$1=2,'102'!W12,IF($D$1=1,K22,IF($M22&gt;0,FLOOR(K22/$M22*CEILING($J22/500+$K22/250+$L22/125,1),1),0))),0)</f>
        <v>#VALUE!</v>
      </c>
      <c r="D2" s="392" t="e">
        <f ca="1">MAX(IF($D$1=2,'102'!Y12,IF($D$1=1,L22,IF($M22&gt;0,FLOOR(L22/$M22*CEILING($J22/500+$K22/250+$L22/125,1),1),0))),0)</f>
        <v>#VALUE!</v>
      </c>
      <c r="E2" s="447" t="e">
        <f ca="1">B2/500+C2/250+D2/125</f>
        <v>#VALUE!</v>
      </c>
      <c r="F2" s="1124" t="str">
        <f>Lang!$A$8</f>
        <v>Hours for details</v>
      </c>
      <c r="G2" s="1125"/>
      <c r="H2" s="394">
        <f>IF(ISNUMBER(H10),IF(H10&gt;0,MAX(((SUM(B2:B5)*60+SUM(C2:C5)*75+SUM(D2:D5)*120)-(IF(SUM(B2:B5)&lt;B7,SUM(B2:B5),B7)*60+IF(SUM(C2:C5)&lt;C7,SUM(C2:C5),C7)*75+IF(SUM(D2:D5)&lt;D7,SUM(D2:D5),D7)*120))/60/H10,0),0),0)</f>
        <v>0</v>
      </c>
      <c r="I2" s="455" t="e">
        <f ca="1">(H2+H6)/H5</f>
        <v>#DIV/0!</v>
      </c>
      <c r="J2" s="397">
        <f>'92'!U31</f>
        <v>0</v>
      </c>
      <c r="K2" s="398">
        <f>'92'!W31</f>
        <v>0</v>
      </c>
      <c r="L2" s="399">
        <f>'92'!Y31</f>
        <v>0</v>
      </c>
      <c r="M2" s="482" t="e">
        <f ca="1">SUM(J2:L2)/SUM(J12:L12)</f>
        <v>#VALUE!</v>
      </c>
      <c r="N2" s="900" t="e">
        <f ca="1">R17+N7+N12+N22+N27+N32+N37+N17+R2+R7+R12+R22+R27+R32+R37+R42</f>
        <v>#VALUE!</v>
      </c>
      <c r="O2" s="901" t="e">
        <f t="shared" ref="O2:P4" ca="1" si="0">S17+O7+O12+O22+O27+O32+O37+O17+S2+S7+S12+S22+S27+S32+S37+S42</f>
        <v>#VALUE!</v>
      </c>
      <c r="P2" s="902" t="e">
        <f t="shared" ca="1" si="0"/>
        <v>#VALUE!</v>
      </c>
      <c r="Q2" s="30"/>
      <c r="R2" s="900">
        <f ca="1">($D28*100+OFFSET(History!$C$45,$B$52,0)*Config!$H9+OFFSET(History!$C$44,$B$52,0)*Config!$H9^2+OFFSET(History!$C$43,$B$52,0)*Config!$H9^3+1)^Config!$G9-(OFFSET(History!$C$45,$B$52,0)+OFFSET(History!$C$44,$B$52,0)*Config!$H9+OFFSET(History!$C$43,$B$52,0)*Config!$H9^2+OFFSET(History!$C$42,$B$52,0)*Config!$H9^3+1)^Config!$G9</f>
        <v>0.62596569434170157</v>
      </c>
      <c r="S2" s="901">
        <f ca="1">($D28*100+OFFSET(History!$C$45,$B$52,0)*Config!$H9+OFFSET(History!$C$44,$B$52,0)*Config!$H9^2+OFFSET(History!$C$43,$B$52,0)*Config!$H9^3+1)^Config!$G9-(OFFSET(History!$C$45,$B$52,0)+OFFSET(History!$C$44,$B$52,0)*Config!$H9+OFFSET(History!$C$43,$B$52,0)*Config!$H9^2+OFFSET(History!$C$42,$B$52,0)*Config!$H9^3+1)^Config!$G9</f>
        <v>0.62596569434170157</v>
      </c>
      <c r="T2" s="902">
        <f ca="1">($D28*100+OFFSET(History!$C$45,$B$52,0)*Config!$H9+OFFSET(History!$C$44,$B$52,0)*Config!$H9^2+OFFSET(History!$C$43,$B$52,0)*Config!$H9^3+1)^Config!$G9-(OFFSET(History!$C$45,$B$52,0)+OFFSET(History!$C$44,$B$52,0)*Config!$H9+OFFSET(History!$C$43,$B$52,0)*Config!$H9^2+OFFSET(History!$C$42,$B$52,0)*Config!$H9^3+1)^Config!$G9</f>
        <v>0.62596569434170157</v>
      </c>
      <c r="U2" s="2"/>
      <c r="V2" s="638">
        <f>'12'!$U$17</f>
        <v>0</v>
      </c>
      <c r="W2" s="639">
        <f>'12'!$W$17</f>
        <v>0</v>
      </c>
      <c r="X2" s="640">
        <f>'12'!$Y$17</f>
        <v>0</v>
      </c>
      <c r="Y2" s="1114"/>
      <c r="AH2" s="1084"/>
      <c r="AI2" s="1085"/>
      <c r="AJ2" s="5"/>
      <c r="AK2" s="34" t="e">
        <f ca="1">J17*J42</f>
        <v>#VALUE!</v>
      </c>
      <c r="AL2" s="34" t="e">
        <f t="shared" ref="AL2:AM4" ca="1" si="1">K17*K42</f>
        <v>#VALUE!</v>
      </c>
      <c r="AM2" s="35" t="e">
        <f t="shared" ca="1" si="1"/>
        <v>#VALUE!</v>
      </c>
      <c r="AN2" s="5"/>
      <c r="AO2" s="63" t="e">
        <f t="shared" ref="AO2:AQ4" ca="1" si="2">B48/SUM($AO$6:$AQ$8)*AO6</f>
        <v>#VALUE!</v>
      </c>
      <c r="AP2" s="63" t="e">
        <f t="shared" ca="1" si="2"/>
        <v>#VALUE!</v>
      </c>
      <c r="AQ2" s="64" t="e">
        <f t="shared" ca="1" si="2"/>
        <v>#VALUE!</v>
      </c>
    </row>
    <row r="3" spans="1:43" ht="12.9" customHeight="1" x14ac:dyDescent="0.25">
      <c r="A3" s="888" t="str">
        <f>Lang!$A$9</f>
        <v>Nafta</v>
      </c>
      <c r="B3" s="391" t="e">
        <f ca="1">MAX(IF($D$1=2,'102'!U13,IF($D$1=1,J23,IF($M23&gt;0,FLOOR(J23/$M23*CEILING($J23/500+$K23/250+$L23/125,1),1),0))),0)</f>
        <v>#VALUE!</v>
      </c>
      <c r="C3" s="391" t="e">
        <f ca="1">MAX(IF($D$1=2,'102'!W13,IF($D$1=1,K23,IF($M23&gt;0,FLOOR(K23/$M23*CEILING($J23/500+$K23/250+$L23/125,1),1),0))),0)</f>
        <v>#VALUE!</v>
      </c>
      <c r="D3" s="392" t="e">
        <f ca="1">MAX(IF($D$1=2,'102'!Y13,IF($D$1=1,L23,IF($M23&gt;0,FLOOR(L23/$M23*CEILING($J23/500+$K23/250+$L23/125,1),1),0))),0)</f>
        <v>#VALUE!</v>
      </c>
      <c r="E3" s="447" t="e">
        <f ca="1">B3/500+C3/250+D3/125</f>
        <v>#VALUE!</v>
      </c>
      <c r="F3" s="1124" t="str">
        <f>Lang!$A$10</f>
        <v>7 days</v>
      </c>
      <c r="G3" s="1125"/>
      <c r="H3" s="454">
        <f>IF(H11=1,H7*(420+84+72),H7*H11*(420+42+72))</f>
        <v>0</v>
      </c>
      <c r="I3" s="456" t="e">
        <f>H3/H5</f>
        <v>#DIV/0!</v>
      </c>
      <c r="J3" s="397">
        <f>'92'!U32</f>
        <v>0</v>
      </c>
      <c r="K3" s="398">
        <f>'92'!W32</f>
        <v>0</v>
      </c>
      <c r="L3" s="399">
        <f>'92'!Y32</f>
        <v>0</v>
      </c>
      <c r="M3" s="482" t="e">
        <f ca="1">SUM(J3:L3)/SUM(J13:L13)</f>
        <v>#VALUE!</v>
      </c>
      <c r="N3" s="900" t="e">
        <f ca="1">R18+N8+N13+N23+N28+N33+N38+N18+R3+R8+R13+R23+R28+R33+R38+R43</f>
        <v>#VALUE!</v>
      </c>
      <c r="O3" s="901" t="e">
        <f t="shared" ca="1" si="0"/>
        <v>#VALUE!</v>
      </c>
      <c r="P3" s="902" t="e">
        <f t="shared" ca="1" si="0"/>
        <v>#VALUE!</v>
      </c>
      <c r="Q3" s="30"/>
      <c r="R3" s="900">
        <f ca="1">($D29*100+OFFSET(History!$F$45,$B$52,0)*Config!$H10+OFFSET(History!$F$44,$B$52,0)*Config!$H10^2+OFFSET(History!$F$43,$B$52,0)*Config!$H10^3+1)^Config!$G10-(OFFSET(History!$F$45,$B$52,0)+OFFSET(History!$F$44,$B$52,0)*Config!$H10+OFFSET(History!$F$43,$B$52,0)*Config!$H10^2+OFFSET(History!$F$42,$B$52,0)*Config!$H10^3+1)^Config!$G10</f>
        <v>0.62596570557130238</v>
      </c>
      <c r="S3" s="901">
        <f ca="1">($D29*100+OFFSET(History!$F$45,$B$52,0)*Config!$H10+OFFSET(History!$F$44,$B$52,0)*Config!$H10^2+OFFSET(History!$F$43,$B$52,0)*Config!$H10^3+1)^Config!$G10-(OFFSET(History!$F$45,$B$52,0)+OFFSET(History!$F$44,$B$52,0)*Config!$H10+OFFSET(History!$F$43,$B$52,0)*Config!$H10^2+OFFSET(History!$F$42,$B$52,0)*Config!$H10^3+1)^Config!$G10</f>
        <v>0.62596570557130238</v>
      </c>
      <c r="T3" s="902">
        <f ca="1">($D29*100+OFFSET(History!$F$45,$B$52,0)*Config!$H10+OFFSET(History!$F$44,$B$52,0)*Config!$H10^2+OFFSET(History!$F$43,$B$52,0)*Config!$H10^3+1)^Config!$G10-(OFFSET(History!$F$45,$B$52,0)+OFFSET(History!$F$44,$B$52,0)*Config!$H10+OFFSET(History!$F$43,$B$52,0)*Config!$H10^2+OFFSET(History!$F$42,$B$52,0)*Config!$H10^3+1)^Config!$G10</f>
        <v>0.62596570557130238</v>
      </c>
      <c r="U3" s="2"/>
      <c r="V3" s="638">
        <f>'12'!$U$18</f>
        <v>0</v>
      </c>
      <c r="W3" s="639">
        <f>'12'!$W$18</f>
        <v>0</v>
      </c>
      <c r="X3" s="640">
        <f>'12'!$Y$18</f>
        <v>0</v>
      </c>
      <c r="Y3" s="1114"/>
      <c r="AH3" s="1084"/>
      <c r="AI3" s="1085"/>
      <c r="AJ3" s="5"/>
      <c r="AK3" s="34" t="e">
        <f ca="1">J18*J43</f>
        <v>#VALUE!</v>
      </c>
      <c r="AL3" s="34" t="e">
        <f t="shared" ca="1" si="1"/>
        <v>#VALUE!</v>
      </c>
      <c r="AM3" s="35" t="e">
        <f t="shared" ca="1" si="1"/>
        <v>#VALUE!</v>
      </c>
      <c r="AN3" s="5"/>
      <c r="AO3" s="63" t="e">
        <f t="shared" ca="1" si="2"/>
        <v>#VALUE!</v>
      </c>
      <c r="AP3" s="63" t="e">
        <f t="shared" ca="1" si="2"/>
        <v>#VALUE!</v>
      </c>
      <c r="AQ3" s="64" t="e">
        <f t="shared" ca="1" si="2"/>
        <v>#VALUE!</v>
      </c>
    </row>
    <row r="4" spans="1:43" ht="12.9" customHeight="1" thickBot="1" x14ac:dyDescent="0.3">
      <c r="A4" s="888" t="str">
        <f>Lang!$A$11</f>
        <v>Internet</v>
      </c>
      <c r="B4" s="391" t="e">
        <f ca="1">MAX(IF($D$1=2,'102'!U14,IF($D$1=1,J24,IF($M24&gt;0,FLOOR(J24/$M24*CEILING($J24/500+$K24/250+$L24/125,1),1),0))),0)</f>
        <v>#VALUE!</v>
      </c>
      <c r="C4" s="391" t="e">
        <f ca="1">MAX(IF($D$1=2,'102'!W14,IF($D$1=1,K24,IF($M24&gt;0,FLOOR(K24/$M24*CEILING($J24/500+$K24/250+$L24/125,1),1),0))),0)</f>
        <v>#VALUE!</v>
      </c>
      <c r="D4" s="392" t="e">
        <f ca="1">MAX(IF($D$1=2,'102'!Y14,IF($D$1=1,L24,IF($M24&gt;0,FLOOR(L24/$M24*CEILING($J24/500+$K24/250+$L24/125,1),1),0))),0)</f>
        <v>#VALUE!</v>
      </c>
      <c r="E4" s="447" t="e">
        <f ca="1">B4/500+C4/250+D4/125</f>
        <v>#VALUE!</v>
      </c>
      <c r="F4" s="1133" t="str">
        <f>Lang!$A$12</f>
        <v>6 days</v>
      </c>
      <c r="G4" s="1134"/>
      <c r="H4" s="399">
        <f>IF(H11=1,H7*(420+84),H7*H11*(420+42))</f>
        <v>0</v>
      </c>
      <c r="I4" s="456" t="e">
        <f>H4/H5</f>
        <v>#DIV/0!</v>
      </c>
      <c r="J4" s="400">
        <f>'92'!U33</f>
        <v>0</v>
      </c>
      <c r="K4" s="401">
        <f>'92'!W33</f>
        <v>0</v>
      </c>
      <c r="L4" s="402">
        <f>'92'!Y33</f>
        <v>0</v>
      </c>
      <c r="M4" s="482" t="e">
        <f ca="1">SUM(J4:L4)/SUM(J14:L14)</f>
        <v>#VALUE!</v>
      </c>
      <c r="N4" s="903" t="e">
        <f ca="1">R19+N9+N14+N24+N29+N34+N39+N19+R4+R9+R14+R24+R29+R34+R39+R44</f>
        <v>#VALUE!</v>
      </c>
      <c r="O4" s="904" t="e">
        <f t="shared" ca="1" si="0"/>
        <v>#VALUE!</v>
      </c>
      <c r="P4" s="905" t="e">
        <f t="shared" ca="1" si="0"/>
        <v>#VALUE!</v>
      </c>
      <c r="Q4" s="30"/>
      <c r="R4" s="903">
        <f ca="1">($D30*100+OFFSET(History!$I$45,$B$52,0)*Config!$H11+OFFSET(History!$I$44,$B$52,0)*Config!$H11^2+OFFSET(History!$I$43,$B$52,0)*Config!$H11^3+1)^Config!$G11-(OFFSET(History!$I$45,$B$52,0)+OFFSET(History!$I$44,$B$52,0)*Config!$H11+OFFSET(History!$I$43,$B$52,0)*Config!$H11^2+OFFSET(History!$I$42,$B$52,0)*Config!$H11^3+1)^Config!$G11</f>
        <v>0.18596717153142661</v>
      </c>
      <c r="S4" s="904">
        <f ca="1">($D30*100+OFFSET(History!$I$45,$B$52,0)*Config!$H11+OFFSET(History!$I$44,$B$52,0)*Config!$H11^2+OFFSET(History!$I$43,$B$52,0)*Config!$H11^3+1)^Config!$G11-(OFFSET(History!$I$45,$B$52,0)+OFFSET(History!$I$44,$B$52,0)*Config!$H11+OFFSET(History!$I$43,$B$52,0)*Config!$H11^2+OFFSET(History!$I$42,$B$52,0)*Config!$H11^3+1)^Config!$G11</f>
        <v>0.18596717153142661</v>
      </c>
      <c r="T4" s="905">
        <f ca="1">($D30*100+OFFSET(History!$I$45,$B$52,0)*Config!$H11+OFFSET(History!$I$44,$B$52,0)*Config!$H11^2+OFFSET(History!$I$43,$B$52,0)*Config!$H11^3+1)^Config!$G11-(OFFSET(History!$I$45,$B$52,0)+OFFSET(History!$I$44,$B$52,0)*Config!$H11+OFFSET(History!$I$43,$B$52,0)*Config!$H11^2+OFFSET(History!$I$42,$B$52,0)*Config!$H11^3+1)^Config!$G11</f>
        <v>0.18596717153142661</v>
      </c>
      <c r="U4" s="2"/>
      <c r="V4" s="641">
        <f>'12'!$U$19</f>
        <v>0</v>
      </c>
      <c r="W4" s="642">
        <f>'12'!$W$19</f>
        <v>0</v>
      </c>
      <c r="X4" s="643">
        <f>'12'!$Y$19</f>
        <v>0</v>
      </c>
      <c r="Y4" s="1114"/>
      <c r="AH4" s="1086"/>
      <c r="AI4" s="1087"/>
      <c r="AJ4" s="9"/>
      <c r="AK4" s="36" t="e">
        <f ca="1">J19*J44</f>
        <v>#VALUE!</v>
      </c>
      <c r="AL4" s="36" t="e">
        <f t="shared" ca="1" si="1"/>
        <v>#VALUE!</v>
      </c>
      <c r="AM4" s="37" t="e">
        <f t="shared" ca="1" si="1"/>
        <v>#VALUE!</v>
      </c>
      <c r="AN4" s="9"/>
      <c r="AO4" s="65" t="e">
        <f t="shared" ca="1" si="2"/>
        <v>#VALUE!</v>
      </c>
      <c r="AP4" s="65" t="e">
        <f t="shared" ca="1" si="2"/>
        <v>#VALUE!</v>
      </c>
      <c r="AQ4" s="66" t="e">
        <f t="shared" ca="1" si="2"/>
        <v>#VALUE!</v>
      </c>
    </row>
    <row r="5" spans="1:43" ht="12.9" customHeight="1" thickBot="1" x14ac:dyDescent="0.3">
      <c r="A5" s="888" t="str">
        <f>Lang!$A$13</f>
        <v>Rejected</v>
      </c>
      <c r="B5" s="386" t="e">
        <f ca="1">IF($D$1=2,'102'!U8+'102'!U9,(B2+B3+B4)*AVERAGEIF(OFFSET(History!J2:J6,$B52,),"&gt;0"))</f>
        <v>#VALUE!</v>
      </c>
      <c r="C5" s="386" t="e">
        <f ca="1">IF($D$1=2,'102'!W8+'102'!W9,(C2+C3+C4)*AVERAGEIF(OFFSET(History!K2:K6,$B52,),"&gt;0"))</f>
        <v>#VALUE!</v>
      </c>
      <c r="D5" s="387" t="e">
        <f ca="1">IF($D$1=2,'102'!Y8+'102'!Y9,(D2+D3+D4)*AVERAGEIF(OFFSET(History!L2:L6,$B52,),"&gt;0"))</f>
        <v>#VALUE!</v>
      </c>
      <c r="E5" s="18"/>
      <c r="F5" s="1133" t="str">
        <f>Lang!$A$14</f>
        <v>5 days</v>
      </c>
      <c r="G5" s="1134"/>
      <c r="H5" s="399">
        <f>H7*H11*420</f>
        <v>0</v>
      </c>
      <c r="I5" s="456">
        <v>1</v>
      </c>
      <c r="J5" s="108" t="e">
        <f ca="1">SUM(J2:J4)/SUM(J12:J14)</f>
        <v>#VALUE!</v>
      </c>
      <c r="K5" s="108" t="e">
        <f ca="1">SUM(K2:K4)/SUM(K12:K14)</f>
        <v>#VALUE!</v>
      </c>
      <c r="L5" s="108" t="e">
        <f ca="1">SUM(L2:L4)/SUM(L12:L14)</f>
        <v>#VALUE!</v>
      </c>
      <c r="Q5" s="3"/>
      <c r="R5" s="3"/>
      <c r="S5" s="3"/>
      <c r="U5" s="2"/>
      <c r="V5" s="2"/>
      <c r="W5" s="8"/>
      <c r="AH5" s="1082" t="str">
        <f>Lang!$A$15</f>
        <v>Costs per products</v>
      </c>
      <c r="AI5" s="1083"/>
      <c r="AJ5" s="136" t="e">
        <f ca="1">SUM(AJ9:AM12)</f>
        <v>#VALUE!</v>
      </c>
      <c r="AK5" s="26"/>
      <c r="AL5" s="26"/>
      <c r="AM5" s="27"/>
      <c r="AN5" s="136" t="e">
        <f ca="1">SUM(AN9:AQ12)</f>
        <v>#VALUE!</v>
      </c>
      <c r="AO5" s="26"/>
      <c r="AP5" s="26"/>
      <c r="AQ5" s="27"/>
    </row>
    <row r="6" spans="1:43" ht="12.9" customHeight="1" x14ac:dyDescent="0.25">
      <c r="A6" s="888" t="str">
        <f>Lang!$A$16</f>
        <v>Guarantee</v>
      </c>
      <c r="B6" s="393">
        <f ca="1">IF($D$1=2,'102'!U36,AVERAGE(OFFSET(History!N2:N6,$B52,)))</f>
        <v>46.4</v>
      </c>
      <c r="C6" s="393">
        <f ca="1">IF($D$1=2,'102'!W36,AVERAGE(OFFSET(History!O2:O6,$B52,)))</f>
        <v>21.2</v>
      </c>
      <c r="D6" s="394">
        <f ca="1">IF($D$1=2,'102'!Y36,AVERAGE(OFFSET(History!P2:P6,$B52,)))</f>
        <v>12</v>
      </c>
      <c r="F6" s="1124" t="str">
        <f>Lang!$A$17</f>
        <v>Hours breakdown</v>
      </c>
      <c r="G6" s="1125"/>
      <c r="H6" s="454">
        <f ca="1">IF(D1=2,'102'!G24,AVERAGE(OFFSET(History!E2:E6,$B52,)))</f>
        <v>49</v>
      </c>
      <c r="I6" s="456" t="e">
        <f>(H7*H11*4)*360/4/H5</f>
        <v>#DIV/0!</v>
      </c>
      <c r="J6" s="1131" t="str">
        <f>Lang!$A$18</f>
        <v>Backlog of orders</v>
      </c>
      <c r="K6" s="1139"/>
      <c r="L6" s="1140"/>
      <c r="N6" s="1116" t="str">
        <f>Lang!$A$18</f>
        <v>Backlog of orders</v>
      </c>
      <c r="O6" s="1117"/>
      <c r="P6" s="1118"/>
      <c r="Q6" s="113"/>
      <c r="R6" s="1100" t="str">
        <f>Lang!$A$19</f>
        <v>A&amp;D - support</v>
      </c>
      <c r="S6" s="1101"/>
      <c r="T6" s="1102"/>
      <c r="U6" s="2"/>
      <c r="V6" s="1131" t="str">
        <f>IF(X6=4,"Taxes","")</f>
        <v/>
      </c>
      <c r="W6" s="1132"/>
      <c r="X6" s="634">
        <f>IF(X1=4,1,X1+1)</f>
        <v>3</v>
      </c>
      <c r="Y6" s="1114">
        <f>SUM(V7:X9)</f>
        <v>1175</v>
      </c>
      <c r="AH6" s="1084"/>
      <c r="AI6" s="1085"/>
      <c r="AJ6" s="5"/>
      <c r="AK6" s="6"/>
      <c r="AL6" s="6"/>
      <c r="AM6" s="7"/>
      <c r="AN6" s="5"/>
      <c r="AO6" s="6" t="e">
        <f t="shared" ref="AO6:AQ8" ca="1" si="3">AO10+$AN$9/SUM($AO$10:$AQ$12)*AO10+$AN10/SUM($AO10:$AQ10)*AO10</f>
        <v>#VALUE!</v>
      </c>
      <c r="AP6" s="6" t="e">
        <f t="shared" ca="1" si="3"/>
        <v>#VALUE!</v>
      </c>
      <c r="AQ6" s="7" t="e">
        <f t="shared" ca="1" si="3"/>
        <v>#VALUE!</v>
      </c>
    </row>
    <row r="7" spans="1:43" ht="12.9" customHeight="1" x14ac:dyDescent="0.25">
      <c r="A7" s="888" t="str">
        <f>Lang!$A$20</f>
        <v>Components</v>
      </c>
      <c r="B7" s="393">
        <f>'92'!U45</f>
        <v>0</v>
      </c>
      <c r="C7" s="393">
        <f>'92'!W45</f>
        <v>0</v>
      </c>
      <c r="D7" s="394">
        <f>'92'!Y45</f>
        <v>0</v>
      </c>
      <c r="E7" s="473" t="e">
        <f ca="1">C13-(C13*0.25+(H7+H8)*25+(H20+H21)*10+FLOOR(IF(H31&gt;0,H31/1000*5,0),1)+(FLOOR(B7*0.25/6,1)+FLOOR(C7*0.5/6,1)+FLOOR(D7/6,1)))</f>
        <v>#VALUE!</v>
      </c>
      <c r="F7" s="1124" t="str">
        <f>Lang!$A$21</f>
        <v>Machines</v>
      </c>
      <c r="G7" s="1125"/>
      <c r="H7" s="454">
        <f>'92'!G21-H9</f>
        <v>0</v>
      </c>
      <c r="J7" s="397">
        <f>'92'!U27</f>
        <v>0</v>
      </c>
      <c r="K7" s="398">
        <f>'92'!W27</f>
        <v>0</v>
      </c>
      <c r="L7" s="399">
        <f>'92'!Y27</f>
        <v>0</v>
      </c>
      <c r="N7" s="900">
        <f>IF('92'!U22&lt;'92'!U17,('92'!U17-'92'!U22)/'92'!U17*Config!$H$27,0)</f>
        <v>0</v>
      </c>
      <c r="O7" s="901">
        <f>IF('92'!W22&lt;'92'!W17,('92'!W17-'92'!W22)/'92'!W17*Config!$H$27,0)</f>
        <v>0</v>
      </c>
      <c r="P7" s="902">
        <f>IF('92'!Y22&lt;'92'!Y17,('92'!Y17-'92'!Y22)/'92'!Y17*Config!$H$27,0)</f>
        <v>0</v>
      </c>
      <c r="Q7" s="113"/>
      <c r="R7" s="900"/>
      <c r="S7" s="901"/>
      <c r="T7" s="902"/>
      <c r="U7" s="2"/>
      <c r="V7" s="638">
        <f>'22'!$U$17</f>
        <v>592</v>
      </c>
      <c r="W7" s="639">
        <f>'22'!$W$17</f>
        <v>363</v>
      </c>
      <c r="X7" s="640">
        <f>'22'!$Y$17</f>
        <v>220</v>
      </c>
      <c r="Y7" s="1114"/>
      <c r="AH7" s="1084"/>
      <c r="AI7" s="1085"/>
      <c r="AJ7" s="5"/>
      <c r="AK7" s="6"/>
      <c r="AL7" s="6"/>
      <c r="AM7" s="7"/>
      <c r="AN7" s="5"/>
      <c r="AO7" s="6" t="e">
        <f t="shared" ca="1" si="3"/>
        <v>#VALUE!</v>
      </c>
      <c r="AP7" s="6" t="e">
        <f t="shared" ca="1" si="3"/>
        <v>#VALUE!</v>
      </c>
      <c r="AQ7" s="7" t="e">
        <f t="shared" ca="1" si="3"/>
        <v>#VALUE!</v>
      </c>
    </row>
    <row r="8" spans="1:43" ht="12.9" customHeight="1" thickBot="1" x14ac:dyDescent="0.3">
      <c r="A8" s="888" t="str">
        <f>Lang!$A$22</f>
        <v>Subcontracting</v>
      </c>
      <c r="B8" s="428">
        <v>0</v>
      </c>
      <c r="C8" s="428">
        <v>0</v>
      </c>
      <c r="D8" s="429">
        <v>0</v>
      </c>
      <c r="F8" s="1124" t="str">
        <f>Lang!$A$295</f>
        <v>Machines to buy</v>
      </c>
      <c r="G8" s="1125"/>
      <c r="H8" s="458">
        <v>0</v>
      </c>
      <c r="I8" s="650"/>
      <c r="J8" s="397">
        <f>'92'!U28</f>
        <v>0</v>
      </c>
      <c r="K8" s="398">
        <f>'92'!W28</f>
        <v>0</v>
      </c>
      <c r="L8" s="399">
        <f>'92'!Y28</f>
        <v>0</v>
      </c>
      <c r="N8" s="900">
        <f>IF('92'!U23&lt;'92'!U18,('92'!U18-'92'!U23)/'92'!U18*Config!$H$27,0)</f>
        <v>0</v>
      </c>
      <c r="O8" s="901">
        <f>IF('92'!W23&lt;'92'!W18,('92'!W18-'92'!W23)/'92'!W18*Config!$H$27,0)</f>
        <v>0</v>
      </c>
      <c r="P8" s="902">
        <f>IF('92'!Y23&lt;'92'!Y18,('92'!Y18-'92'!Y23)/'92'!Y18*Config!$H$27,0)</f>
        <v>0</v>
      </c>
      <c r="Q8" s="113"/>
      <c r="R8" s="900"/>
      <c r="S8" s="901"/>
      <c r="T8" s="902"/>
      <c r="U8" s="2"/>
      <c r="V8" s="638">
        <f>'22'!$U$18</f>
        <v>0</v>
      </c>
      <c r="W8" s="639">
        <f>'22'!$W$18</f>
        <v>0</v>
      </c>
      <c r="X8" s="640">
        <f>'22'!$Y$18</f>
        <v>0</v>
      </c>
      <c r="Y8" s="1114"/>
      <c r="AH8" s="1086"/>
      <c r="AI8" s="1087"/>
      <c r="AJ8" s="9"/>
      <c r="AK8" s="10"/>
      <c r="AL8" s="10"/>
      <c r="AM8" s="11"/>
      <c r="AN8" s="9"/>
      <c r="AO8" s="10" t="e">
        <f t="shared" ca="1" si="3"/>
        <v>#VALUE!</v>
      </c>
      <c r="AP8" s="10" t="e">
        <f t="shared" ca="1" si="3"/>
        <v>#VALUE!</v>
      </c>
      <c r="AQ8" s="11" t="e">
        <f t="shared" ca="1" si="3"/>
        <v>#VALUE!</v>
      </c>
    </row>
    <row r="9" spans="1:43" ht="12.9" customHeight="1" thickBot="1" x14ac:dyDescent="0.3">
      <c r="A9" s="888" t="str">
        <f>Lang!$A$23</f>
        <v>Components next quarter</v>
      </c>
      <c r="B9" s="393" t="e">
        <f ca="1">IF(SUM(B2:B5)&lt;B7,B7-SUM(B2:B5)+B8,B8)</f>
        <v>#VALUE!</v>
      </c>
      <c r="C9" s="393" t="e">
        <f ca="1">IF(SUM(C2:C5)&lt;C7,C7-SUM(C2:C5)+C8,C8)</f>
        <v>#VALUE!</v>
      </c>
      <c r="D9" s="394" t="e">
        <f ca="1">IF(SUM(D2:D5)&lt;D7,D7-SUM(D2:D5)+D8,D8)</f>
        <v>#VALUE!</v>
      </c>
      <c r="E9" s="473" t="e">
        <f ca="1">C13-(C13*0.25+(H7+H8)*25+(H20+H21)*10+FLOOR(IF(H31&gt;0,H31/1000*5,0),1)+(FLOOR(B9*0.25/6,1)+FLOOR(C9*0.5/6,1)+FLOOR(D9/6,1)))</f>
        <v>#VALUE!</v>
      </c>
      <c r="F9" s="1124" t="str">
        <f>Lang!$A$24</f>
        <v>Machines to sell</v>
      </c>
      <c r="G9" s="1125"/>
      <c r="H9" s="480">
        <v>0</v>
      </c>
      <c r="I9" s="380"/>
      <c r="J9" s="400">
        <f>'92'!U29</f>
        <v>0</v>
      </c>
      <c r="K9" s="401">
        <f>'92'!W29</f>
        <v>0</v>
      </c>
      <c r="L9" s="402">
        <f>'92'!Y29</f>
        <v>0</v>
      </c>
      <c r="N9" s="903">
        <f>IF('92'!U24&lt;'92'!U19,('92'!U19-'92'!U24)/'92'!U19*Config!$H$27,0)</f>
        <v>0</v>
      </c>
      <c r="O9" s="904">
        <f>IF('92'!W24&lt;'92'!W19,('92'!W19-'92'!W24)/'92'!W19*Config!$H$27,0)</f>
        <v>0</v>
      </c>
      <c r="P9" s="905">
        <f>IF('92'!Y24&lt;'92'!Y19,('92'!Y19-'92'!Y24)/'92'!Y19*Config!$H$27,0)</f>
        <v>0</v>
      </c>
      <c r="Q9" s="113"/>
      <c r="R9" s="903">
        <f ca="1">($C30+OFFSET(History!$H$45,$B$52,0)*Config!$H2+OFFSET(History!$H$44,$B$52,0)*Config!$H2^2+OFFSET(History!$H$43,$B$52,0)*Config!$H2^3)^Config!$G2-(OFFSET(History!$H$45,$B$52,0)+OFFSET(History!$H$44,$B$52,0)*Config!$H2+OFFSET(History!$H$43,$B$52,0)*Config!$H2^2+OFFSET(History!$H$42,$B$52,0)*Config!$H2^3)^Config!$G2</f>
        <v>7.9916731024385346E-2</v>
      </c>
      <c r="S9" s="904">
        <f ca="1">($C30+OFFSET(History!$H$45,$B$52,0)*Config!$H2+OFFSET(History!$H$44,$B$52,0)*Config!$H2^2+OFFSET(History!$H$43,$B$52,0)*Config!$H2^3)^Config!$G2-(OFFSET(History!$H$45,$B$52,0)+OFFSET(History!$H$44,$B$52,0)*Config!$H2+OFFSET(History!$H$43,$B$52,0)*Config!$H2^2+OFFSET(History!$H$42,$B$52,0)*Config!$H2^3)^Config!$G2</f>
        <v>7.9916731024385346E-2</v>
      </c>
      <c r="T9" s="905">
        <f ca="1">($C30+OFFSET(History!$H$45,$B$52,0)*Config!$H2+OFFSET(History!$H$44,$B$52,0)*Config!$H2^2+OFFSET(History!$H$43,$B$52,0)*Config!$H2^3)^Config!$G2-(OFFSET(History!$H$45,$B$52,0)+OFFSET(History!$H$44,$B$52,0)*Config!$H2+OFFSET(History!$H$43,$B$52,0)*Config!$H2^2+OFFSET(History!$H$42,$B$52,0)*Config!$H2^3)^Config!$G2</f>
        <v>7.9916731024385346E-2</v>
      </c>
      <c r="U9" s="2"/>
      <c r="V9" s="641">
        <f>'22'!$U$19</f>
        <v>0</v>
      </c>
      <c r="W9" s="642">
        <f>'22'!$W$19</f>
        <v>0</v>
      </c>
      <c r="X9" s="643">
        <f>'22'!$Y$19</f>
        <v>0</v>
      </c>
      <c r="Y9" s="1114"/>
      <c r="AH9" s="1082" t="str">
        <f>Lang!$A$25</f>
        <v>Costs per items</v>
      </c>
      <c r="AI9" s="1083"/>
      <c r="AJ9" s="5" t="e">
        <f t="shared" ref="AJ9:AQ12" ca="1" si="4">AJ13+AJ17+AJ21+AJ25+AJ29+AJ33+AJ37+AJ41+AJ45+AJ49+AJ53+AJ57+AJ61+AJ65+AJ69+AJ73+AJ77+AJ81+AJ85+AJ89+AJ93+AJ97+AJ101</f>
        <v>#VALUE!</v>
      </c>
      <c r="AK9" s="6">
        <f t="shared" ca="1" si="4"/>
        <v>13784</v>
      </c>
      <c r="AL9" s="6">
        <f t="shared" ca="1" si="4"/>
        <v>28180</v>
      </c>
      <c r="AM9" s="7">
        <f t="shared" ca="1" si="4"/>
        <v>19000</v>
      </c>
      <c r="AN9" s="5">
        <f t="shared" si="4"/>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132.26</v>
      </c>
      <c r="C10" s="398">
        <f ca="1">IF(H39&gt;0,INT(2*G33*H39/1000)+75,0)+(IF(H39&gt;0,INT(2*G33*1.5*H39/1000)+75,0)-IF(H39&gt;0,INT(2*G33*H39/1000)+75,0))*C22</f>
        <v>220.52</v>
      </c>
      <c r="D10" s="399">
        <f ca="1">IF(H39&gt;0,INT(3*G33*H39/1000)+120,0)+(IF(H39&gt;0,INT(3*G33*1.5*H39/1000)+120,0)-IF(H39&gt;0,INT(3*G33*H39/1000)+120,0))*D22</f>
        <v>326.89999999999998</v>
      </c>
      <c r="F10" s="1124" t="str">
        <f>Lang!$A$27</f>
        <v>Efficiency, %</v>
      </c>
      <c r="G10" s="1125"/>
      <c r="H10" s="922" t="e">
        <f>IF(D1=2,IF('102'!G$27=0,(I10*'92'!G19+1*'92'!G20)/'92'!G21,'102'!G$27/100),I10)</f>
        <v>#REF!</v>
      </c>
      <c r="I10" s="923" t="e">
        <f>(INDEX(Config!$AH$2:$ED$52,101-ROUND('92'!G27,0),ROUND(IF(I11&gt;100,100,I11),0)+1)/100)</f>
        <v>#REF!</v>
      </c>
      <c r="J10" s="8"/>
      <c r="K10" s="8"/>
      <c r="L10" s="8"/>
      <c r="Q10" s="3"/>
      <c r="R10" s="3"/>
      <c r="S10" s="3"/>
      <c r="U10" s="2"/>
      <c r="V10" s="2"/>
      <c r="W10" s="8"/>
      <c r="AH10" s="1084"/>
      <c r="AI10" s="1085"/>
      <c r="AJ10" s="5">
        <f t="shared" si="4"/>
        <v>37500</v>
      </c>
      <c r="AK10" s="6">
        <f t="shared" si="4"/>
        <v>12000</v>
      </c>
      <c r="AL10" s="6">
        <f t="shared" si="4"/>
        <v>12000</v>
      </c>
      <c r="AM10" s="7">
        <f t="shared" si="4"/>
        <v>14000</v>
      </c>
      <c r="AN10" s="5" t="e">
        <f t="shared" ca="1" si="4"/>
        <v>#VALUE!</v>
      </c>
      <c r="AO10" s="6" t="e">
        <f t="shared" ca="1" si="4"/>
        <v>#VALUE!</v>
      </c>
      <c r="AP10" s="6" t="e">
        <f t="shared" ca="1" si="4"/>
        <v>#VALUE!</v>
      </c>
      <c r="AQ10" s="7" t="e">
        <f t="shared" ca="1" si="4"/>
        <v>#VALUE!</v>
      </c>
    </row>
    <row r="11" spans="1:43" ht="12.9" customHeight="1" x14ac:dyDescent="0.25">
      <c r="A11" s="13" t="str">
        <f>Lang!$A$28</f>
        <v>Price production</v>
      </c>
      <c r="B11" s="398" t="e">
        <f ca="1">((SUM(AO82:AO84)+SUM(AO90:AO92)+SUM(AO94:AO96))+($AJ53+$AJ93+$AJ97)/$AN5*SUM(AO6:AO8))/SUM(B2:B5)</f>
        <v>#VALUE!</v>
      </c>
      <c r="C11" s="398" t="e">
        <f ca="1">((SUM(AP82:AP84)+SUM(AP90:AP92)+SUM(AP94:AP96))+($AJ53+$AJ93+$AJ97)/$AN5*SUM(AP6:AP8))/SUM(C2:C5)</f>
        <v>#VALUE!</v>
      </c>
      <c r="D11" s="399" t="e">
        <f ca="1">((SUM(AQ82:AQ84)+SUM(AQ90:AQ92)+SUM(AQ94:AQ96))+($AJ53+$AJ93+$AJ97)/$AN5*SUM(AQ6:AQ8))/SUM(D2:D5)</f>
        <v>#VALUE!</v>
      </c>
      <c r="F11" s="1124" t="str">
        <f>Lang!$A$29</f>
        <v>Shift level</v>
      </c>
      <c r="G11" s="1125"/>
      <c r="H11" s="458">
        <v>2</v>
      </c>
      <c r="I11" s="481">
        <f>IF('92'!G$23=0,0,'91'!P20/'91'!W20/('92'!G$25/'92'!G$23*IF('91'!W20=1,1.37,1.27)))</f>
        <v>0</v>
      </c>
      <c r="J11" s="1078" t="str">
        <f>Lang!$A$30</f>
        <v>Orders next quarter</v>
      </c>
      <c r="K11" s="1079"/>
      <c r="L11" s="1088"/>
      <c r="N11" s="1128" t="str">
        <f>Lang!$A$31</f>
        <v>Seasonality</v>
      </c>
      <c r="O11" s="1129"/>
      <c r="P11" s="1130"/>
      <c r="Q11" s="113"/>
      <c r="R11" s="1100" t="str">
        <f>Lang!$A$32</f>
        <v>A&amp;D - recruit</v>
      </c>
      <c r="S11" s="1101"/>
      <c r="T11" s="1102"/>
      <c r="U11" s="2"/>
      <c r="V11" s="1131" t="str">
        <f>IF(X11=4,"Taxes","")</f>
        <v>Taxes</v>
      </c>
      <c r="W11" s="1132"/>
      <c r="X11" s="634">
        <f>IF(X6=4,1,X6+1)</f>
        <v>4</v>
      </c>
      <c r="Y11" s="1114">
        <f>SUM(V12:X14)</f>
        <v>2576</v>
      </c>
      <c r="AH11" s="1084"/>
      <c r="AI11" s="1085"/>
      <c r="AJ11" s="5">
        <f t="shared" si="4"/>
        <v>22500</v>
      </c>
      <c r="AK11" s="6">
        <f t="shared" si="4"/>
        <v>20000</v>
      </c>
      <c r="AL11" s="6">
        <f t="shared" si="4"/>
        <v>10000</v>
      </c>
      <c r="AM11" s="7">
        <f t="shared" si="4"/>
        <v>12000</v>
      </c>
      <c r="AN11" s="5" t="e">
        <f t="shared" ca="1" si="4"/>
        <v>#VALUE!</v>
      </c>
      <c r="AO11" s="6" t="e">
        <f t="shared" ca="1" si="4"/>
        <v>#VALUE!</v>
      </c>
      <c r="AP11" s="6" t="e">
        <f t="shared" ca="1" si="4"/>
        <v>#VALUE!</v>
      </c>
      <c r="AQ11" s="7" t="e">
        <f t="shared" ca="1" si="4"/>
        <v>#VALUE!</v>
      </c>
    </row>
    <row r="12" spans="1:43" ht="12.9" customHeight="1" thickBot="1" x14ac:dyDescent="0.3">
      <c r="A12" s="885" t="str">
        <f>Lang!$A$33</f>
        <v>CO2</v>
      </c>
      <c r="B12" s="886" t="str">
        <f>Lang!$A$34</f>
        <v>Available space</v>
      </c>
      <c r="C12" s="886" t="str">
        <f>Lang!$A$35</f>
        <v>Factory</v>
      </c>
      <c r="D12" s="493" t="str">
        <f>Lang!$A$36</f>
        <v>Space</v>
      </c>
      <c r="F12" s="1135" t="str">
        <f>Lang!$A$37</f>
        <v>Maintenance hours</v>
      </c>
      <c r="G12" s="1136"/>
      <c r="H12" s="396">
        <v>35</v>
      </c>
      <c r="I12" s="481" t="e">
        <f>H12/H11/(H2/H3*IF(H11=1,1.37,1.27))</f>
        <v>#DIV/0!</v>
      </c>
      <c r="J12" s="385" t="e">
        <f ca="1">'92'!U17*(1+N2+IF($T$46=1,R47,0))</f>
        <v>#VALUE!</v>
      </c>
      <c r="K12" s="386" t="e">
        <f ca="1">'92'!W17*(1+O2+IF($T$46=1,S47,0))</f>
        <v>#VALUE!</v>
      </c>
      <c r="L12" s="387" t="e">
        <f ca="1">'92'!Y17*(1+P2+IF($T$46=1,T47,0))</f>
        <v>#VALUE!</v>
      </c>
      <c r="N12" s="900">
        <f ca="1">IF(ISNUMBER(OFFSET(Config!G30,($B$52-1)*3,)),OFFSET(Config!G30,($B$52-1)*3,),IF(OFFSET(V7,($B$52-1)*5,)&gt;0,OFFSET(V7,($B$52-1)*5,)/OFFSET(V2,($B$52-1)*5,)-1,0))</f>
        <v>-0.17951624960055734</v>
      </c>
      <c r="O12" s="901">
        <f ca="1">IF(ISNUMBER(OFFSET(Config!H30,($B$52-1)*3,)),OFFSET(Config!H30,($B$52-1)*3,),IF(OFFSET(W7,($B$52-1)*5,)&gt;0,OFFSET(W7,($B$52-1)*5,)/OFFSET(W2,($B$52-1)*5,)-1,0))</f>
        <v>-0.17951624960055734</v>
      </c>
      <c r="P12" s="902">
        <f ca="1">IF(ISNUMBER(OFFSET(Config!I30,($B$52-1)*3,)),OFFSET(Config!I30,($B$52-1)*3,),IF(OFFSET(X7,($B$52-1)*5,)&gt;0,OFFSET(X7,($B$52-1)*5,)/OFFSET(X2,($B$52-1)*5,)-1,0))</f>
        <v>-0.17951624960055734</v>
      </c>
      <c r="Q12" s="113"/>
      <c r="R12" s="900">
        <f ca="1">($E28+OFFSET(History!$A$45,$B$52,0)*Config!$H5+OFFSET(History!$A$44,$B$52,0)*Config!$H5^2+OFFSET(History!$A$43,$B$52,0)*Config!$H5^3)^Config!$G5-(OFFSET(History!$A$45,$B$52,0)+OFFSET(History!$A$44,$B$52,0)*Config!$H5+OFFSET(History!$A$43,$B$52,0)*Config!$H5^2+OFFSET(History!$A$42,$B$52,0)*Config!$H5^3)^Config!$G5</f>
        <v>-0.24374720364952762</v>
      </c>
      <c r="S12" s="901">
        <f ca="1">($E28+OFFSET(History!$A$45,$B$52,0)*Config!$H5+OFFSET(History!$A$44,$B$52,0)*Config!$H5^2+OFFSET(History!$A$43,$B$52,0)*Config!$H5^3)^Config!$G5-(OFFSET(History!$A$45,$B$52,0)+OFFSET(History!$A$44,$B$52,0)*Config!$H5+OFFSET(History!$A$43,$B$52,0)*Config!$H5^2+OFFSET(History!$A$42,$B$52,0)*Config!$H5^3)^Config!$G5</f>
        <v>-0.24374720364952762</v>
      </c>
      <c r="T12" s="902">
        <f ca="1">($E28+OFFSET(History!$A$45,$B$52,0)*Config!$H5+OFFSET(History!$A$44,$B$52,0)*Config!$H5^2+OFFSET(History!$A$43,$B$52,0)*Config!$H5^3)^Config!$G5-(OFFSET(History!$A$45,$B$52,0)+OFFSET(History!$A$44,$B$52,0)*Config!$H5+OFFSET(History!$A$43,$B$52,0)*Config!$H5^2+OFFSET(History!$A$42,$B$52,0)*Config!$H5^3)^Config!$G5</f>
        <v>-0.24374720364952762</v>
      </c>
      <c r="U12" s="2"/>
      <c r="V12" s="638">
        <f>'32'!$U$17</f>
        <v>1367</v>
      </c>
      <c r="W12" s="639">
        <f>'32'!$W$17</f>
        <v>772</v>
      </c>
      <c r="X12" s="640">
        <f>'32'!$Y$17</f>
        <v>437</v>
      </c>
      <c r="Y12" s="1114"/>
      <c r="AH12" s="1086"/>
      <c r="AI12" s="1087"/>
      <c r="AJ12" s="9">
        <f t="shared" si="4"/>
        <v>40000</v>
      </c>
      <c r="AK12" s="10">
        <f t="shared" si="4"/>
        <v>8000</v>
      </c>
      <c r="AL12" s="10">
        <f t="shared" si="4"/>
        <v>8000</v>
      </c>
      <c r="AM12" s="11">
        <f t="shared" si="4"/>
        <v>10000</v>
      </c>
      <c r="AN12" s="9" t="e">
        <f t="shared" ca="1" si="4"/>
        <v>#VALUE!</v>
      </c>
      <c r="AO12" s="10" t="e">
        <f t="shared" ca="1" si="4"/>
        <v>#VALUE!</v>
      </c>
      <c r="AP12" s="10" t="e">
        <f t="shared" ca="1" si="4"/>
        <v>#VALUE!</v>
      </c>
      <c r="AQ12" s="11" t="e">
        <f t="shared" ca="1" si="4"/>
        <v>#VALUE!</v>
      </c>
    </row>
    <row r="13" spans="1:43" ht="12.9" customHeight="1" thickBot="1" x14ac:dyDescent="0.3">
      <c r="A13" s="525" t="e">
        <f ca="1">0.00019*50*C13+0.00052*(6*H2+H15)</f>
        <v>#VALUE!</v>
      </c>
      <c r="B13" s="505">
        <f>'92'!G7-'92'!G8-'92'!G10-D13</f>
        <v>0</v>
      </c>
      <c r="C13" s="401">
        <f>'92'!G10+D13</f>
        <v>0</v>
      </c>
      <c r="D13" s="396">
        <v>0</v>
      </c>
      <c r="E13" s="473" t="e">
        <f ca="1">C13-(C13*0.25+(H7+H8)*25+(H20+H21+H22)*10+FLOOR(IF(H31&gt;0,H31/1000*5,0),1))</f>
        <v>#VALUE!</v>
      </c>
      <c r="J13" s="385" t="e">
        <f ca="1">'92'!U18*(1+N3+IF($T$46=1,R48,0))</f>
        <v>#VALUE!</v>
      </c>
      <c r="K13" s="386" t="e">
        <f ca="1">'92'!W18*(1+O3+IF($T$46=1,S48,0))</f>
        <v>#VALUE!</v>
      </c>
      <c r="L13" s="387" t="e">
        <f ca="1">'92'!Y18*(1+P3+IF($T$46=1,T48,0))</f>
        <v>#VALUE!</v>
      </c>
      <c r="M13" s="32"/>
      <c r="N13" s="900">
        <f ca="1">IF(ISNUMBER(OFFSET(Config!G31,($B$52-1)*3,)),OFFSET(Config!G31,($B$52-1)*3,),IF(OFFSET(V8,($B$52-1)*5,)&gt;0,OFFSET(V8,($B$52-1)*5,)/OFFSET(V3,($B$52-1)*5,)-1,0))</f>
        <v>-0.12006766433586318</v>
      </c>
      <c r="O13" s="901">
        <f ca="1">IF(ISNUMBER(OFFSET(Config!H31,($B$52-1)*3,)),OFFSET(Config!H31,($B$52-1)*3,),IF(OFFSET(W8,($B$52-1)*5,)&gt;0,OFFSET(W8,($B$52-1)*5,)/OFFSET(W3,($B$52-1)*5,)-1,0))</f>
        <v>-0.12006766433586318</v>
      </c>
      <c r="P13" s="902">
        <f ca="1">IF(ISNUMBER(OFFSET(Config!I31,($B$52-1)*3,)),OFFSET(Config!I31,($B$52-1)*3,),IF(OFFSET(X8,($B$52-1)*5,)&gt;0,OFFSET(X8,($B$52-1)*5,)/OFFSET(X3,($B$52-1)*5,)-1,0))</f>
        <v>-0.12006766433586318</v>
      </c>
      <c r="Q13" s="113"/>
      <c r="R13" s="900">
        <f ca="1">($E29+OFFSET(History!$D$45,$B$52,0)*Config!$H6+OFFSET(History!$D$44,$B$52,0)*Config!$H6^2+OFFSET(History!$D$43,$B$52,0)*Config!$H6^3)^Config!$G6-(OFFSET(History!$D$45,$B$52,0)+OFFSET(History!$D$44,$B$52,0)*Config!$H6+OFFSET(History!$D$43,$B$52,0)*Config!$H6^2+OFFSET(History!$D$42,$B$52,0)*Config!$H6^3)^Config!$G6</f>
        <v>-0.21938837264809619</v>
      </c>
      <c r="S13" s="901">
        <f ca="1">($E29+OFFSET(History!$D$45,$B$52,0)*Config!$H6+OFFSET(History!$D$44,$B$52,0)*Config!$H6^2+OFFSET(History!$D$43,$B$52,0)*Config!$H6^3)^Config!$G6-(OFFSET(History!$D$45,$B$52,0)+OFFSET(History!$D$44,$B$52,0)*Config!$H6+OFFSET(History!$D$43,$B$52,0)*Config!$H6^2+OFFSET(History!$D$42,$B$52,0)*Config!$H6^3)^Config!$G6</f>
        <v>-0.21938837264809619</v>
      </c>
      <c r="T13" s="902">
        <f ca="1">($E29+OFFSET(History!$D$45,$B$52,0)*Config!$H6+OFFSET(History!$D$44,$B$52,0)*Config!$H6^2+OFFSET(History!$D$43,$B$52,0)*Config!$H6^3)^Config!$G6-(OFFSET(History!$D$45,$B$52,0)+OFFSET(History!$D$44,$B$52,0)*Config!$H6+OFFSET(History!$D$43,$B$52,0)*Config!$H6^2+OFFSET(History!$D$42,$B$52,0)*Config!$H6^3)^Config!$G6</f>
        <v>-0.21938837264809619</v>
      </c>
      <c r="U13" s="2"/>
      <c r="V13" s="638">
        <f>'32'!$U$18</f>
        <v>0</v>
      </c>
      <c r="W13" s="639">
        <f>'32'!$W$18</f>
        <v>0</v>
      </c>
      <c r="X13" s="640">
        <f>'32'!$Y$18</f>
        <v>0</v>
      </c>
      <c r="Y13" s="1114"/>
      <c r="AH13" s="1082" t="str">
        <f>Lang!$A$38</f>
        <v>Advertising</v>
      </c>
      <c r="AI13" s="1083"/>
      <c r="AJ13" s="5"/>
      <c r="AK13" s="6"/>
      <c r="AL13" s="6"/>
      <c r="AM13" s="7"/>
      <c r="AN13" s="5"/>
      <c r="AO13" s="6"/>
      <c r="AP13" s="6"/>
      <c r="AQ13" s="7"/>
    </row>
    <row r="14" spans="1:43" ht="12.9" customHeight="1" thickBot="1" x14ac:dyDescent="0.3">
      <c r="F14" s="1100" t="str">
        <f>Lang!$A$39</f>
        <v>Assembly details</v>
      </c>
      <c r="G14" s="1101"/>
      <c r="H14" s="1102"/>
      <c r="J14" s="388" t="e">
        <f ca="1">'92'!U19*(1+N4+IF($T$46=1,R49,0))</f>
        <v>#VALUE!</v>
      </c>
      <c r="K14" s="389" t="e">
        <f ca="1">'92'!W19*(1+O4+IF($T$46=1,S49,0))</f>
        <v>#VALUE!</v>
      </c>
      <c r="L14" s="390" t="e">
        <f ca="1">'92'!Y19*(1+P4+IF($T$46=1,T49,0))</f>
        <v>#VALUE!</v>
      </c>
      <c r="M14" s="128"/>
      <c r="N14" s="903">
        <f ca="1">IF(ISNUMBER(OFFSET(Config!G32,($B$52-1)*3,)),OFFSET(Config!G32,($B$52-1)*3,),IF(OFFSET(V9,($B$52-1)*5,)&gt;0,OFFSET(V9,($B$52-1)*5,)/OFFSET(V4,($B$52-1)*5,)-1,0))</f>
        <v>-0.10776670447584027</v>
      </c>
      <c r="O14" s="904">
        <f ca="1">IF(ISNUMBER(OFFSET(Config!H32,($B$52-1)*3,)),OFFSET(Config!H32,($B$52-1)*3,),IF(OFFSET(W9,($B$52-1)*5,)&gt;0,OFFSET(W9,($B$52-1)*5,)/OFFSET(W4,($B$52-1)*5,)-1,0))</f>
        <v>-0.10776670447584027</v>
      </c>
      <c r="P14" s="905">
        <f ca="1">IF(ISNUMBER(OFFSET(Config!I32,($B$52-1)*3,)),OFFSET(Config!I32,($B$52-1)*3,),IF(OFFSET(X9,($B$52-1)*5,)&gt;0,OFFSET(X9,($B$52-1)*5,)/OFFSET(X4,($B$52-1)*5,)-1,0))</f>
        <v>-0.10776670447584027</v>
      </c>
      <c r="Q14" s="113"/>
      <c r="R14" s="903"/>
      <c r="S14" s="904"/>
      <c r="T14" s="905"/>
      <c r="U14" s="2"/>
      <c r="V14" s="641">
        <f>'32'!$U$19</f>
        <v>0</v>
      </c>
      <c r="W14" s="642">
        <f>'32'!$W$19</f>
        <v>0</v>
      </c>
      <c r="X14" s="643">
        <f>'32'!$Y$19</f>
        <v>0</v>
      </c>
      <c r="Y14" s="1114"/>
      <c r="AH14" s="1084"/>
      <c r="AI14" s="1085"/>
      <c r="AJ14" s="5">
        <f t="shared" ref="AJ14:AM16" si="5">A38*1000</f>
        <v>0</v>
      </c>
      <c r="AK14" s="6">
        <f t="shared" si="5"/>
        <v>12000</v>
      </c>
      <c r="AL14" s="6">
        <f t="shared" si="5"/>
        <v>12000</v>
      </c>
      <c r="AM14" s="7">
        <f t="shared" si="5"/>
        <v>14000</v>
      </c>
      <c r="AN14" s="5"/>
      <c r="AO14" s="6"/>
      <c r="AP14" s="6"/>
      <c r="AQ14" s="7"/>
    </row>
    <row r="15" spans="1:43" ht="12.9" customHeight="1" thickBot="1" x14ac:dyDescent="0.3">
      <c r="A15" s="1100" t="str">
        <f>Lang!$A$40</f>
        <v>Quality</v>
      </c>
      <c r="B15" s="1101"/>
      <c r="C15" s="1101"/>
      <c r="D15" s="1102"/>
      <c r="F15" s="1124" t="str">
        <f>Lang!$A$41</f>
        <v>Hours for assembly</v>
      </c>
      <c r="G15" s="1125"/>
      <c r="H15" s="394" t="e">
        <f ca="1">(SUM(B2:B5)*B20+SUM(C2:C5)*C20+SUM(D2:D5)*D20)/60</f>
        <v>#VALUE!</v>
      </c>
      <c r="I15" s="455" t="e">
        <f ca="1">(H15+I19)/H18</f>
        <v>#VALUE!</v>
      </c>
      <c r="Q15" s="3"/>
      <c r="U15" s="2"/>
      <c r="V15" s="2"/>
      <c r="W15" s="8"/>
      <c r="AH15" s="1084"/>
      <c r="AI15" s="1085"/>
      <c r="AJ15" s="5">
        <f t="shared" si="5"/>
        <v>0</v>
      </c>
      <c r="AK15" s="6">
        <f t="shared" si="5"/>
        <v>20000</v>
      </c>
      <c r="AL15" s="6">
        <f t="shared" si="5"/>
        <v>10000</v>
      </c>
      <c r="AM15" s="7">
        <f t="shared" si="5"/>
        <v>12000</v>
      </c>
      <c r="AN15" s="5"/>
      <c r="AO15" s="6"/>
      <c r="AP15" s="6"/>
      <c r="AQ15" s="7"/>
    </row>
    <row r="16" spans="1:43" ht="12.9" customHeight="1" thickBot="1" x14ac:dyDescent="0.3">
      <c r="A16" s="13" t="str">
        <f>Lang!$A$42</f>
        <v>Next quarter</v>
      </c>
      <c r="B16" s="494" t="str">
        <f ca="1">TRIM(OFFSET(History!AA7,$B$52-1,))</f>
        <v>Major</v>
      </c>
      <c r="C16" s="494" t="str">
        <f ca="1">TRIM(OFFSET(History!AA17,$B$52-1,))</f>
        <v>Major</v>
      </c>
      <c r="D16" s="495" t="str">
        <f ca="1">TRIM(OFFSET(History!AA27,$B$52-1,))</f>
        <v>Minor</v>
      </c>
      <c r="E16" s="483"/>
      <c r="F16" s="1124" t="str">
        <f>Lang!$A$10</f>
        <v>7 days</v>
      </c>
      <c r="G16" s="1125"/>
      <c r="H16" s="454">
        <f>H20*(420+84+72)</f>
        <v>0</v>
      </c>
      <c r="I16" s="456" t="e">
        <f>H16/H18</f>
        <v>#DIV/0!</v>
      </c>
      <c r="J16" s="1078" t="str">
        <f>Lang!$A$43</f>
        <v>Sales next quarter</v>
      </c>
      <c r="K16" s="1079"/>
      <c r="L16" s="1088"/>
      <c r="N16" s="1128" t="str">
        <f>Lang!$A$44</f>
        <v>Assembly time</v>
      </c>
      <c r="O16" s="1129"/>
      <c r="P16" s="1130"/>
      <c r="Q16" s="113"/>
      <c r="R16" s="1128" t="str">
        <f>Lang!$A$45</f>
        <v>Premium materials</v>
      </c>
      <c r="S16" s="1129"/>
      <c r="T16" s="1130"/>
      <c r="U16" s="2"/>
      <c r="V16" s="1131" t="str">
        <f>IF(X16=4,"Taxes","")</f>
        <v/>
      </c>
      <c r="W16" s="1132"/>
      <c r="X16" s="634">
        <f>IF(X11=4,1,X11+1)</f>
        <v>1</v>
      </c>
      <c r="Y16" s="1114">
        <f>SUM(V17:X19)</f>
        <v>2543</v>
      </c>
      <c r="AH16" s="1086"/>
      <c r="AI16" s="1087"/>
      <c r="AJ16" s="9">
        <f t="shared" si="5"/>
        <v>0</v>
      </c>
      <c r="AK16" s="10">
        <f t="shared" si="5"/>
        <v>8000</v>
      </c>
      <c r="AL16" s="10">
        <f t="shared" si="5"/>
        <v>8000</v>
      </c>
      <c r="AM16" s="11">
        <f t="shared" si="5"/>
        <v>10000</v>
      </c>
      <c r="AN16" s="9"/>
      <c r="AO16" s="10"/>
      <c r="AP16" s="10"/>
      <c r="AQ16" s="11"/>
    </row>
    <row r="17" spans="1:43" ht="12.9" customHeight="1" x14ac:dyDescent="0.25">
      <c r="A17" s="13" t="str">
        <f>Lang!$A$46</f>
        <v>Previous quarter</v>
      </c>
      <c r="B17" s="494" t="str">
        <f>TRIM('92'!U39)</f>
        <v>0</v>
      </c>
      <c r="C17" s="494" t="str">
        <f>TRIM('92'!W39)</f>
        <v>0</v>
      </c>
      <c r="D17" s="495" t="str">
        <f>TRIM('92'!Y39)</f>
        <v>0</v>
      </c>
      <c r="E17" s="457">
        <f ca="1">B18*B10*SUM(J2:J4)+C18*C10*SUM(K2:K4)+D18*D10*SUM(L2:L4)</f>
        <v>0</v>
      </c>
      <c r="F17" s="1133" t="str">
        <f>Lang!$A$12</f>
        <v>6 days</v>
      </c>
      <c r="G17" s="1134"/>
      <c r="H17" s="399">
        <f>H20*(420+84)</f>
        <v>0</v>
      </c>
      <c r="I17" s="456" t="e">
        <f>H17/H18</f>
        <v>#DIV/0!</v>
      </c>
      <c r="J17" s="385" t="e">
        <f ca="1">J7+J12+IF(J37&lt;0,J37,0)</f>
        <v>#VALUE!</v>
      </c>
      <c r="K17" s="386" t="e">
        <f ca="1">K7+K12+IF(K37&lt;0,K37,0)</f>
        <v>#VALUE!</v>
      </c>
      <c r="L17" s="387" t="e">
        <f ca="1">L7+L12+IF(L37&lt;0,L37,0)</f>
        <v>#VALUE!</v>
      </c>
      <c r="N17" s="900" t="e">
        <f ca="1">((OFFSET(History!G$19,$B$52,0)/1-100+1)^Config!J17-(OFFSET(History!G$18,$B$52,0)/1-100+1)^Config!J17)*(100-'4'!B43)/(100-Config!M27)</f>
        <v>#NUM!</v>
      </c>
      <c r="O17" s="901" t="e">
        <f ca="1">((OFFSET(History!H$19,$B$52,0)/1.5-100+1)^Config!K17-(OFFSET(History!H$18,$B$52,0)/1.5-100+1)^Config!K17)*(100-'4'!C43)/(100-Config!N27)</f>
        <v>#NUM!</v>
      </c>
      <c r="P17" s="902" t="e">
        <f ca="1">((OFFSET(History!I$19,$B$52,0)/3-100+1)^Config!L17-(OFFSET(History!I$18,$B$52,0)/3-100+1)^Config!L17)*(100-'4'!D43)/(100-Config!O27)</f>
        <v>#NUM!</v>
      </c>
      <c r="Q17" s="113"/>
      <c r="R17" s="900">
        <f ca="1">((B$22*100)-OFFSET(History!N$19,$B$52,0))*(Config!J2+('4'!B43-Config!M27)*Config!M2)</f>
        <v>1.1970517524624221E-2</v>
      </c>
      <c r="S17" s="901">
        <f ca="1">((C$22*100)-OFFSET(History!O$19,$B$52,0))*(Config!K2+('4'!C43-Config!N27)*Config!N2)</f>
        <v>9.4906060394771181E-3</v>
      </c>
      <c r="T17" s="902">
        <f ca="1">((D$22*100)-OFFSET(History!P$19,$B$52,0))*(Config!L2+('4'!D43-Config!O27)*Config!O2)</f>
        <v>2.6814993819458768E-3</v>
      </c>
      <c r="U17" s="2"/>
      <c r="V17" s="638">
        <f>'42'!$U$17</f>
        <v>1112</v>
      </c>
      <c r="W17" s="639">
        <f>'42'!$W$17</f>
        <v>686</v>
      </c>
      <c r="X17" s="640">
        <f>'42'!$Y$17</f>
        <v>381</v>
      </c>
      <c r="Y17" s="1114"/>
      <c r="AH17" s="1082" t="str">
        <f>Lang!$A$47</f>
        <v>Internet distributor</v>
      </c>
      <c r="AI17" s="1083"/>
      <c r="AJ17" s="5"/>
      <c r="AK17" s="6"/>
      <c r="AL17" s="6"/>
      <c r="AM17" s="7"/>
      <c r="AN17" s="5"/>
      <c r="AO17" s="6"/>
      <c r="AP17" s="6"/>
      <c r="AQ17" s="7"/>
    </row>
    <row r="18" spans="1:43" ht="12.9" customHeight="1" x14ac:dyDescent="0.25">
      <c r="A18" s="1137" t="str">
        <f>Lang!$A$48</f>
        <v>R&amp;D</v>
      </c>
      <c r="B18" s="488">
        <v>0</v>
      </c>
      <c r="C18" s="488">
        <v>0</v>
      </c>
      <c r="D18" s="489">
        <v>1</v>
      </c>
      <c r="E18" s="457">
        <f>B18*(J2*J42+J3*J43+J4*J44)+C18*(K2*K42+K3*K43+K4*K44)+D18*(L2*L42+L3*L43+L4*L44)</f>
        <v>0</v>
      </c>
      <c r="F18" s="1133" t="str">
        <f>Lang!$A$14</f>
        <v>5 days</v>
      </c>
      <c r="G18" s="1134"/>
      <c r="H18" s="399">
        <f>H20*420</f>
        <v>0</v>
      </c>
      <c r="I18" s="456">
        <v>1</v>
      </c>
      <c r="J18" s="385" t="e">
        <f t="shared" ref="J18:L19" ca="1" si="6">J8+J13+IF(J38&lt;0,J38,0)</f>
        <v>#VALUE!</v>
      </c>
      <c r="K18" s="386" t="e">
        <f t="shared" ca="1" si="6"/>
        <v>#VALUE!</v>
      </c>
      <c r="L18" s="387" t="e">
        <f t="shared" ca="1" si="6"/>
        <v>#VALUE!</v>
      </c>
      <c r="N18" s="900" t="e">
        <f ca="1">((OFFSET(History!G$19,$B$52,0)/1-100+1)^Config!J18-(OFFSET(History!G$18,$B$52,0)/1-100+1)^Config!J18)*(100-'4'!B44)/(100-Config!M28)</f>
        <v>#NUM!</v>
      </c>
      <c r="O18" s="901" t="e">
        <f ca="1">((OFFSET(History!H$19,$B$52,0)/1.5-100+1)^Config!K18-(OFFSET(History!H$18,$B$52,0)/1.5-100+1)^Config!K18)*(100-'4'!C44)/(100-Config!N28)</f>
        <v>#NUM!</v>
      </c>
      <c r="P18" s="902" t="e">
        <f ca="1">((OFFSET(History!I$19,$B$52,0)/3-100+1)^Config!L18-(OFFSET(History!I$18,$B$52,0)/3-100+1)^Config!L18)*(100-'4'!D44)/(100-Config!O28)</f>
        <v>#NUM!</v>
      </c>
      <c r="Q18" s="113"/>
      <c r="R18" s="900">
        <f ca="1">((B$22*100)-OFFSET(History!N$19,$B$52,0))*(Config!J3+('4'!B44-Config!M28)*Config!M3)</f>
        <v>1.9136962833093442E-2</v>
      </c>
      <c r="S18" s="901">
        <f ca="1">((C$22*100)-OFFSET(History!O$19,$B$52,0))*(Config!K3+('4'!C44-Config!N28)*Config!N3)</f>
        <v>1.5823314235148399E-2</v>
      </c>
      <c r="T18" s="902">
        <f ca="1">((D$22*100)-OFFSET(History!P$19,$B$52,0))*(Config!L3+('4'!D44-Config!O28)*Config!O3)</f>
        <v>5.9646833938697625E-3</v>
      </c>
      <c r="U18" s="2"/>
      <c r="V18" s="638">
        <f>'42'!$U$18</f>
        <v>172</v>
      </c>
      <c r="W18" s="639">
        <f>'42'!$W$18</f>
        <v>123</v>
      </c>
      <c r="X18" s="640">
        <f>'42'!$Y$18</f>
        <v>69</v>
      </c>
      <c r="Y18" s="1114"/>
      <c r="AH18" s="1084"/>
      <c r="AI18" s="1085"/>
      <c r="AJ18" s="5"/>
      <c r="AK18" s="6"/>
      <c r="AL18" s="6"/>
      <c r="AM18" s="7"/>
      <c r="AN18" s="5"/>
      <c r="AO18" s="6"/>
      <c r="AP18" s="6"/>
      <c r="AQ18" s="7"/>
    </row>
    <row r="19" spans="1:43" ht="12.9" customHeight="1" thickBot="1" x14ac:dyDescent="0.3">
      <c r="A19" s="1138"/>
      <c r="B19" s="700">
        <f ca="1">IF($D$1=2,OFFSET(History!$T$6,$B$52,0),OFFSET(Config!$B$27,$B$52,0))</f>
        <v>11</v>
      </c>
      <c r="C19" s="700">
        <f ca="1">IF($D$1=2,OFFSET(History!$T$16,$B$52,0),OFFSET(Config!$B$32,$B$52,0))</f>
        <v>25</v>
      </c>
      <c r="D19" s="477">
        <f ca="1">IF($D$1=2,OFFSET(History!$T$26,$B$52,0),OFFSET(Config!$B$37,$B$52,0))</f>
        <v>16</v>
      </c>
      <c r="E19" s="457">
        <f ca="1">E17-E18</f>
        <v>0</v>
      </c>
      <c r="F19" s="1124" t="str">
        <f>Lang!$A$49</f>
        <v>Weeks of strike</v>
      </c>
      <c r="G19" s="1125"/>
      <c r="H19" s="454">
        <f>'92'!O20</f>
        <v>0</v>
      </c>
      <c r="I19" s="457">
        <f ca="1">H19*48*H20+AVERAGE(OFFSET(History!E16:E19,$B52,))</f>
        <v>175.25</v>
      </c>
      <c r="J19" s="388" t="e">
        <f t="shared" ca="1" si="6"/>
        <v>#VALUE!</v>
      </c>
      <c r="K19" s="389" t="e">
        <f t="shared" ca="1" si="6"/>
        <v>#VALUE!</v>
      </c>
      <c r="L19" s="390" t="e">
        <f t="shared" ca="1" si="6"/>
        <v>#VALUE!</v>
      </c>
      <c r="N19" s="903" t="e">
        <f ca="1">((OFFSET(History!G$19,$B$52,0)/1-100+1)^Config!J19-(OFFSET(History!G$18,$B$52,0)/1-100+1)^Config!J19)*(100-'4'!B45)/(100-Config!M29)</f>
        <v>#NUM!</v>
      </c>
      <c r="O19" s="904" t="e">
        <f ca="1">((OFFSET(History!H$19,$B$52,0)/1.5-100+1)^Config!K19-(OFFSET(History!H$18,$B$52,0)/1.5-100+1)^Config!K19)*(100-'4'!C45)/(100-Config!N29)</f>
        <v>#NUM!</v>
      </c>
      <c r="P19" s="905" t="e">
        <f ca="1">((OFFSET(History!I$19,$B$52,0)/3-100+1)^Config!L19-(OFFSET(History!I$18,$B$52,0)/3-100+1)^Config!L19)*(100-'4'!D45)/(100-Config!O29)</f>
        <v>#NUM!</v>
      </c>
      <c r="Q19" s="113"/>
      <c r="R19" s="903">
        <f ca="1">((B$22*100)-OFFSET(History!N$19,$B$52,0))*(Config!J4+('4'!B45-Config!M29)*Config!M4)</f>
        <v>1.0722954691605436E-2</v>
      </c>
      <c r="S19" s="904">
        <f ca="1">((C$22*100)-OFFSET(History!O$19,$B$52,0))*(Config!K4+('4'!C45-Config!N29)*Config!N4)</f>
        <v>8.931484891752231E-3</v>
      </c>
      <c r="T19" s="905">
        <f ca="1">((D$22*100)-OFFSET(History!P$19,$B$52,0))*(Config!L4+('4'!D45-Config!O29)*Config!O4)</f>
        <v>2.3519740549317724E-3</v>
      </c>
      <c r="U19" s="2"/>
      <c r="V19" s="641">
        <f>'42'!$U$19</f>
        <v>0</v>
      </c>
      <c r="W19" s="642">
        <f>'42'!$W$19</f>
        <v>0</v>
      </c>
      <c r="X19" s="643">
        <f>'42'!$Y$19</f>
        <v>0</v>
      </c>
      <c r="Y19" s="1114"/>
      <c r="AH19" s="1084"/>
      <c r="AI19" s="1085"/>
      <c r="AJ19" s="5"/>
      <c r="AK19" s="6"/>
      <c r="AL19" s="6"/>
      <c r="AM19" s="7"/>
      <c r="AN19" s="5"/>
      <c r="AO19" s="6"/>
      <c r="AP19" s="6"/>
      <c r="AQ19" s="7"/>
    </row>
    <row r="20" spans="1:43" ht="12.9" customHeight="1" thickBot="1" x14ac:dyDescent="0.3">
      <c r="A20" s="539" t="str">
        <f>Lang!$A$44</f>
        <v>Assembly time</v>
      </c>
      <c r="B20" s="463">
        <v>140</v>
      </c>
      <c r="C20" s="463">
        <v>176</v>
      </c>
      <c r="D20" s="458">
        <v>335</v>
      </c>
      <c r="E20" s="868">
        <f>IF(B17="Major",1,0)+'4'!E20*IF('4'!B18=0,1,0)</f>
        <v>0</v>
      </c>
      <c r="F20" s="1124" t="str">
        <f>Lang!$A$50</f>
        <v>Workers next quarter</v>
      </c>
      <c r="G20" s="1125"/>
      <c r="H20" s="474">
        <f>'92'!N12</f>
        <v>0</v>
      </c>
      <c r="I20" s="472">
        <f>(H20+H21)*0.055</f>
        <v>0.33</v>
      </c>
      <c r="Q20" s="3"/>
      <c r="R20" s="3"/>
      <c r="S20" s="3"/>
      <c r="U20" s="2"/>
      <c r="V20" s="2"/>
      <c r="W20" s="8"/>
      <c r="AH20" s="1086"/>
      <c r="AI20" s="1087"/>
      <c r="AJ20" s="9">
        <f>C30*1000</f>
        <v>10000</v>
      </c>
      <c r="AK20" s="10"/>
      <c r="AL20" s="10"/>
      <c r="AM20" s="11"/>
      <c r="AN20" s="9"/>
      <c r="AO20" s="10" t="e">
        <f ca="1">(J19*J44)*$D$30</f>
        <v>#VALUE!</v>
      </c>
      <c r="AP20" s="10" t="e">
        <f ca="1">(K19*K44)*$D$30</f>
        <v>#VALUE!</v>
      </c>
      <c r="AQ20" s="11" t="e">
        <f ca="1">(L19*L44)*$D$30</f>
        <v>#VALUE!</v>
      </c>
    </row>
    <row r="21" spans="1:43" ht="12.9" customHeight="1" x14ac:dyDescent="0.25">
      <c r="A21" s="699">
        <v>1.1000000000000001</v>
      </c>
      <c r="B21" s="700">
        <f>100*A21</f>
        <v>110.00000000000001</v>
      </c>
      <c r="C21" s="702">
        <f>150*A21</f>
        <v>165</v>
      </c>
      <c r="D21" s="477">
        <f>300*A21</f>
        <v>330</v>
      </c>
      <c r="E21" s="868">
        <f>IF(C17="Major",1,0)+'4'!E21*IF('4'!C18=0,1,0)</f>
        <v>0</v>
      </c>
      <c r="F21" s="1124" t="str">
        <f>Lang!$A$51</f>
        <v>Recruit workers</v>
      </c>
      <c r="G21" s="1125"/>
      <c r="H21" s="458">
        <v>6</v>
      </c>
      <c r="I21" s="472">
        <f ca="1">ROUNDUP((H20+H21)*AVERAGE(OFFSET(History!C15:C19,B52,)),0)</f>
        <v>1</v>
      </c>
      <c r="J21" s="1078" t="str">
        <f>Lang!$A$52</f>
        <v>Production plan next quarter</v>
      </c>
      <c r="K21" s="1079"/>
      <c r="L21" s="1088"/>
      <c r="N21" s="1128" t="str">
        <f>Lang!$A$48</f>
        <v>R&amp;D</v>
      </c>
      <c r="O21" s="1129"/>
      <c r="P21" s="1130"/>
      <c r="Q21" s="113"/>
      <c r="R21" s="1116" t="str">
        <f>Lang!$A$53</f>
        <v>Training</v>
      </c>
      <c r="S21" s="1117"/>
      <c r="T21" s="1118"/>
      <c r="U21" s="2"/>
      <c r="V21" s="1131" t="str">
        <f>IF(X21=4,"Taxes","")</f>
        <v/>
      </c>
      <c r="W21" s="1132"/>
      <c r="X21" s="634">
        <f>IF(X16=4,1,X16+1)</f>
        <v>2</v>
      </c>
      <c r="Y21" s="1114">
        <f>SUM(V22:X24)</f>
        <v>2892</v>
      </c>
      <c r="AH21" s="1082" t="str">
        <f>Lang!$A$54</f>
        <v>Internet service provider</v>
      </c>
      <c r="AI21" s="1083"/>
      <c r="AJ21" s="5"/>
      <c r="AK21" s="6"/>
      <c r="AL21" s="6"/>
      <c r="AM21" s="7"/>
      <c r="AN21" s="5"/>
      <c r="AO21" s="6"/>
      <c r="AP21" s="6"/>
      <c r="AQ21" s="7"/>
    </row>
    <row r="22" spans="1:43" ht="12.9" customHeight="1" x14ac:dyDescent="0.25">
      <c r="A22" s="888" t="str">
        <f>Lang!$A$45</f>
        <v>Premium materials</v>
      </c>
      <c r="B22" s="490">
        <v>0.22</v>
      </c>
      <c r="C22" s="490">
        <v>0.22</v>
      </c>
      <c r="D22" s="475">
        <v>0.1</v>
      </c>
      <c r="E22" s="868">
        <f>IF(D17="Major",1,0)+'4'!E22*IF('4'!D18=0,1,0)</f>
        <v>0</v>
      </c>
      <c r="F22" s="1124" t="str">
        <f>Lang!$A$55</f>
        <v>Train workers</v>
      </c>
      <c r="G22" s="1125"/>
      <c r="H22" s="458">
        <v>0</v>
      </c>
      <c r="J22" s="385" t="e">
        <f t="shared" ref="J22:L23" ca="1" si="7">J7+J12+J27-J2*(1-B$18)</f>
        <v>#VALUE!</v>
      </c>
      <c r="K22" s="386" t="e">
        <f t="shared" ca="1" si="7"/>
        <v>#VALUE!</v>
      </c>
      <c r="L22" s="387" t="e">
        <f t="shared" ca="1" si="7"/>
        <v>#VALUE!</v>
      </c>
      <c r="M22" s="446" t="e">
        <f ca="1">J22/500+K22/250+L22/125</f>
        <v>#VALUE!</v>
      </c>
      <c r="N22" s="900" t="e">
        <f ca="1">((B$23*20+60)-OFFSET(History!$W$6,$B$52-1,))*(Config!J7+('4'!B43-Config!M27)*Config!M7)</f>
        <v>#VALUE!</v>
      </c>
      <c r="O22" s="901" t="e">
        <f ca="1">((C$23*20+60)-OFFSET(History!$W$16,$B$52-1,))*(Config!K7+('4'!C43-Config!N27)*Config!N7)</f>
        <v>#VALUE!</v>
      </c>
      <c r="P22" s="902" t="e">
        <f ca="1">((D$23*20+60)-OFFSET(History!$W$26,$B$52-1,))*(Config!L7+('4'!D43-Config!O27)*Config!O7)</f>
        <v>#VALUE!</v>
      </c>
      <c r="Q22" s="113"/>
      <c r="R22" s="900">
        <f ca="1">($H$23+OFFSET(History!$P$32,$B$52,0)*Config!$H$22+OFFSET(History!$P$31,$B$52,0)*Config!$H$22^2+OFFSET(History!$P$30,$B$52,0)*Config!$H$22^3+1)^Config!$G$22-(OFFSET(History!$P$32,$B$52,0)+OFFSET(History!$P$31,$B$52,0)*Config!$H$22+OFFSET(History!$P$30,$B$52,0)*Config!$H$22^2+OFFSET(History!$P$29,$B$52,0)*Config!$H$22^3+1)^Config!$G$22</f>
        <v>7.3231253454653089E-3</v>
      </c>
      <c r="S22" s="901">
        <f ca="1">($H$23+OFFSET(History!$P$32,$B$52,0)*Config!$H$22+OFFSET(History!$P$31,$B$52,0)*Config!$H$22^2+OFFSET(History!$P$30,$B$52,0)*Config!$H$22^3+1)^Config!$G$22-(OFFSET(History!$P$32,$B$52,0)+OFFSET(History!$P$31,$B$52,0)*Config!$H$22+OFFSET(History!$P$30,$B$52,0)*Config!$H$22^2+OFFSET(History!$P$29,$B$52,0)*Config!$H$22^3+1)^Config!$G$22</f>
        <v>7.3231253454653089E-3</v>
      </c>
      <c r="T22" s="902">
        <f ca="1">($H$23+OFFSET(History!$P$32,$B$52,0)*Config!$H$22+OFFSET(History!$P$31,$B$52,0)*Config!$H$22^2+OFFSET(History!$P$30,$B$52,0)*Config!$H$22^3+1)^Config!$G$22-(OFFSET(History!$P$32,$B$52,0)+OFFSET(History!$P$31,$B$52,0)*Config!$H$22+OFFSET(History!$P$30,$B$52,0)*Config!$H$22^2+OFFSET(History!$P$29,$B$52,0)*Config!$H$22^3+1)^Config!$G$22</f>
        <v>7.3231253454653089E-3</v>
      </c>
      <c r="U22" s="2"/>
      <c r="V22" s="638">
        <f>'52'!$U$17</f>
        <v>1016</v>
      </c>
      <c r="W22" s="639">
        <f>'52'!$W$17</f>
        <v>670</v>
      </c>
      <c r="X22" s="640">
        <f>'52'!$Y$17</f>
        <v>396</v>
      </c>
      <c r="Y22" s="1114"/>
      <c r="AH22" s="1084"/>
      <c r="AI22" s="1085"/>
      <c r="AJ22" s="5"/>
      <c r="AK22" s="6"/>
      <c r="AL22" s="6"/>
      <c r="AM22" s="7"/>
      <c r="AN22" s="5"/>
      <c r="AO22" s="6"/>
      <c r="AP22" s="6"/>
      <c r="AQ22" s="7"/>
    </row>
    <row r="23" spans="1:43" ht="12.9" customHeight="1" x14ac:dyDescent="0.25">
      <c r="A23" s="539" t="str">
        <f>Lang!$A$48</f>
        <v>R&amp;D</v>
      </c>
      <c r="B23" s="491" t="e">
        <f ca="1">(OFFSET(History!W6,$B$52-1,)+E23+INDEX(Config!$M59:$O258,(OFFSET(History!W6,$B$52-1,)+E23)-60,2)-60)/20</f>
        <v>#VALUE!</v>
      </c>
      <c r="C23" s="491" t="e">
        <f ca="1">(OFFSET(History!W16,$B$52-1,)+E24+INDEX(Config!$M59:$O258,(OFFSET(History!W16,$B$52-1,)+E24)-60,2)-60)/20</f>
        <v>#VALUE!</v>
      </c>
      <c r="D23" s="492" t="e">
        <f ca="1">(OFFSET(History!W26,$B$52-1,)+E25+INDEX(Config!$M59:$O258,(OFFSET(History!W26,$B$52-1,)+E25)-60,2)-60)/20</f>
        <v>#VALUE!</v>
      </c>
      <c r="E23" s="476">
        <f ca="1">Config!$O55*B$18*E$20+IF(B$16="Major",Config!$O56,0)+IF(B$16="Minor",Config!$O54,0)</f>
        <v>6</v>
      </c>
      <c r="F23" s="1124" t="str">
        <f>Lang!$A$53</f>
        <v>Training</v>
      </c>
      <c r="G23" s="1125"/>
      <c r="H23" s="458">
        <v>12</v>
      </c>
      <c r="J23" s="385" t="e">
        <f t="shared" ca="1" si="7"/>
        <v>#VALUE!</v>
      </c>
      <c r="K23" s="386" t="e">
        <f t="shared" ca="1" si="7"/>
        <v>#VALUE!</v>
      </c>
      <c r="L23" s="387" t="e">
        <f t="shared" ca="1" si="7"/>
        <v>#VALUE!</v>
      </c>
      <c r="M23" s="446" t="e">
        <f ca="1">J23/500+K23/250+L23/125</f>
        <v>#VALUE!</v>
      </c>
      <c r="N23" s="900" t="e">
        <f ca="1">((B$23*20+60)-OFFSET(History!$W$6,$B$52-1,))*(Config!J8+('4'!B44-Config!M28)*Config!M8)</f>
        <v>#VALUE!</v>
      </c>
      <c r="O23" s="901" t="e">
        <f ca="1">((C$23*20+60)-OFFSET(History!$W$16,$B$52-1,))*(Config!K8+('4'!C44-Config!N28)*Config!N8)</f>
        <v>#VALUE!</v>
      </c>
      <c r="P23" s="902" t="e">
        <f ca="1">((D$23*20+60)-OFFSET(History!$W$26,$B$52-1,))*(Config!L8+('4'!D44-Config!O28)*Config!O8)</f>
        <v>#VALUE!</v>
      </c>
      <c r="Q23" s="113"/>
      <c r="R23" s="900">
        <f ca="1">($H$23+OFFSET(History!$P$32,$B$52,0)*Config!$H$22+OFFSET(History!$P$31,$B$52,0)*Config!$H$22^2+OFFSET(History!$P$30,$B$52,0)*Config!$H$22^3+1)^Config!$G$22-(OFFSET(History!$P$32,$B$52,0)+OFFSET(History!$P$31,$B$52,0)*Config!$H$22+OFFSET(History!$P$30,$B$52,0)*Config!$H$22^2+OFFSET(History!$P$29,$B$52,0)*Config!$H$22^3+1)^Config!$G$22</f>
        <v>7.3231253454653089E-3</v>
      </c>
      <c r="S23" s="901">
        <f ca="1">($H$23+OFFSET(History!$P$32,$B$52,0)*Config!$H$22+OFFSET(History!$P$31,$B$52,0)*Config!$H$22^2+OFFSET(History!$P$30,$B$52,0)*Config!$H$22^3+1)^Config!$G$22-(OFFSET(History!$P$32,$B$52,0)+OFFSET(History!$P$31,$B$52,0)*Config!$H$22+OFFSET(History!$P$30,$B$52,0)*Config!$H$22^2+OFFSET(History!$P$29,$B$52,0)*Config!$H$22^3+1)^Config!$G$22</f>
        <v>7.3231253454653089E-3</v>
      </c>
      <c r="T23" s="902">
        <f ca="1">($H$23+OFFSET(History!$P$32,$B$52,0)*Config!$H$22+OFFSET(History!$P$31,$B$52,0)*Config!$H$22^2+OFFSET(History!$P$30,$B$52,0)*Config!$H$22^3+1)^Config!$G$22-(OFFSET(History!$P$32,$B$52,0)+OFFSET(History!$P$31,$B$52,0)*Config!$H$22+OFFSET(History!$P$30,$B$52,0)*Config!$H$22^2+OFFSET(History!$P$29,$B$52,0)*Config!$H$22^3+1)^Config!$G$22</f>
        <v>7.3231253454653089E-3</v>
      </c>
      <c r="U23" s="2"/>
      <c r="V23" s="638">
        <f>'52'!$U$18</f>
        <v>122</v>
      </c>
      <c r="W23" s="639">
        <f>'52'!$W$18</f>
        <v>120</v>
      </c>
      <c r="X23" s="640">
        <f>'52'!$Y$18</f>
        <v>63</v>
      </c>
      <c r="Y23" s="1114"/>
      <c r="AH23" s="1084"/>
      <c r="AI23" s="1085"/>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0.124</v>
      </c>
      <c r="C24" s="546">
        <f>(C20-150)/150*IF(C20&lt;150*1.21,0.315,IF(C20&lt;150*1.41,0.31,IF(C20&lt;150*1.61,0.305,IF(C20&lt;150*1.81,0.3,0.295))))</f>
        <v>5.4600000000000003E-2</v>
      </c>
      <c r="D24" s="545">
        <f>(D20-300)/300*IF(D20&lt;300*1.21,0.315,IF(D20&lt;300*1.41,0.31,IF(D20&lt;300*1.61,0.305,IF(D20&lt;300*1.81,0.3,0.295))))</f>
        <v>3.6749999999999998E-2</v>
      </c>
      <c r="E24" s="476">
        <f ca="1">Config!$O55*C$18*E$21+IF(C$16="Major",Config!$O56,0)+IF(C$16="Minor",Config!$O54,0)</f>
        <v>6</v>
      </c>
      <c r="F24" s="1124" t="str">
        <f>Lang!$A$56</f>
        <v>Mechanics next quarter</v>
      </c>
      <c r="G24" s="1125"/>
      <c r="H24" s="503">
        <f>'92'!O12-I24</f>
        <v>0</v>
      </c>
      <c r="I24" s="768">
        <f>CEILING(IF(H7*4*H11&lt;'92'!O12,('92'!O12-H7*4*H11)/2,0),1)</f>
        <v>0</v>
      </c>
      <c r="J24" s="388" t="e">
        <f ca="1">J14+J29-J4*(1-B$18)</f>
        <v>#VALUE!</v>
      </c>
      <c r="K24" s="389" t="e">
        <f ca="1">K14+K29-K4*(1-C$18)</f>
        <v>#VALUE!</v>
      </c>
      <c r="L24" s="390" t="e">
        <f ca="1">L14+L29-L4*(1-D$18)</f>
        <v>#VALUE!</v>
      </c>
      <c r="M24" s="446" t="e">
        <f ca="1">J24/500+K24/250+L24/125</f>
        <v>#VALUE!</v>
      </c>
      <c r="N24" s="903" t="e">
        <f ca="1">((B$23*20+60)-OFFSET(History!$W$6,$B$52-1,))*(Config!J9+('4'!B45-Config!M29)*Config!M9)</f>
        <v>#VALUE!</v>
      </c>
      <c r="O24" s="904" t="e">
        <f ca="1">((C$23*20+60)-OFFSET(History!$W$16,$B$52-1,))*(Config!K9+('4'!C45-Config!N29)*Config!N9)</f>
        <v>#VALUE!</v>
      </c>
      <c r="P24" s="905" t="e">
        <f ca="1">((D$23*20+60)-OFFSET(History!$W$26,$B$52-1,))*(Config!L9+('4'!D45-Config!O29)*Config!O9)</f>
        <v>#VALUE!</v>
      </c>
      <c r="Q24" s="113"/>
      <c r="R24" s="903">
        <f ca="1">($H$23+OFFSET(History!$P$32,$B$52,0)*Config!$H$22+OFFSET(History!$P$31,$B$52,0)*Config!$H$22^2+OFFSET(History!$P$30,$B$52,0)*Config!$H$22^3+1)^Config!$G$22-(OFFSET(History!$P$32,$B$52,0)+OFFSET(History!$P$31,$B$52,0)*Config!$H$22+OFFSET(History!$P$30,$B$52,0)*Config!$H$22^2+OFFSET(History!$P$29,$B$52,0)*Config!$H$22^3+1)^Config!$G$22</f>
        <v>7.3231253454653089E-3</v>
      </c>
      <c r="S24" s="904">
        <f ca="1">($H$23+OFFSET(History!$P$32,$B$52,0)*Config!$H$22+OFFSET(History!$P$31,$B$52,0)*Config!$H$22^2+OFFSET(History!$P$30,$B$52,0)*Config!$H$22^3+1)^Config!$G$22-(OFFSET(History!$P$32,$B$52,0)+OFFSET(History!$P$31,$B$52,0)*Config!$H$22+OFFSET(History!$P$30,$B$52,0)*Config!$H$22^2+OFFSET(History!$P$29,$B$52,0)*Config!$H$22^3+1)^Config!$G$22</f>
        <v>7.3231253454653089E-3</v>
      </c>
      <c r="T24" s="905">
        <f ca="1">($H$23+OFFSET(History!$P$32,$B$52,0)*Config!$H$22+OFFSET(History!$P$31,$B$52,0)*Config!$H$22^2+OFFSET(History!$P$30,$B$52,0)*Config!$H$22^3+1)^Config!$G$22-(OFFSET(History!$P$32,$B$52,0)+OFFSET(History!$P$31,$B$52,0)*Config!$H$22+OFFSET(History!$P$30,$B$52,0)*Config!$H$22^2+OFFSET(History!$P$29,$B$52,0)*Config!$H$22^3+1)^Config!$G$22</f>
        <v>7.3231253454653089E-3</v>
      </c>
      <c r="U24" s="2"/>
      <c r="V24" s="641">
        <f>'52'!$U$19</f>
        <v>243</v>
      </c>
      <c r="W24" s="642">
        <f>'52'!$W$19</f>
        <v>167</v>
      </c>
      <c r="X24" s="643">
        <f>'52'!$Y$19</f>
        <v>95</v>
      </c>
      <c r="Y24" s="1114"/>
      <c r="AH24" s="1086"/>
      <c r="AI24" s="1087"/>
      <c r="AJ24" s="366">
        <f>'92'!G42*1000</f>
        <v>0</v>
      </c>
      <c r="AK24" s="10"/>
      <c r="AL24" s="10"/>
      <c r="AM24" s="11"/>
      <c r="AN24" s="9"/>
      <c r="AO24" s="10" t="e">
        <f ca="1">(J19*J44)*0.03</f>
        <v>#VALUE!</v>
      </c>
      <c r="AP24" s="10" t="e">
        <f ca="1">(K19*K44)*0.03</f>
        <v>#VALUE!</v>
      </c>
      <c r="AQ24" s="11" t="e">
        <f ca="1">(L19*L44)*0.03</f>
        <v>#VALUE!</v>
      </c>
    </row>
    <row r="25" spans="1:43" ht="12.9" customHeight="1" thickBot="1" x14ac:dyDescent="0.3">
      <c r="A25" s="540" t="str">
        <f>Lang!$A$45</f>
        <v>Premium materials</v>
      </c>
      <c r="B25" s="541">
        <f>B22*IF(B22&lt;21,0.165,IF(B22&lt;41,0.16,IF(B22&lt;61,0.155,IF(B22&lt;81,0.15,0.145))))</f>
        <v>3.6299999999999999E-2</v>
      </c>
      <c r="C25" s="541">
        <f>C22*IF(C22&lt;21,0.165,IF(C22&lt;41,0.16,IF(C22&lt;61,0.155,IF(C22&lt;81,0.15,0.145))))</f>
        <v>3.6299999999999999E-2</v>
      </c>
      <c r="D25" s="542">
        <f>D22*IF(D22&lt;21,0.165,IF(D22&lt;41,0.16,IF(D22&lt;61,0.155,IF(D22&lt;81,0.15,0.145))))</f>
        <v>1.6500000000000001E-2</v>
      </c>
      <c r="E25" s="476">
        <f ca="1">Config!$O55*D$18*E$22+IF(D$16="Major",Config!$O56,0)+IF(D$16="Minor",Config!$O54,0)</f>
        <v>6</v>
      </c>
      <c r="F25" s="1124" t="str">
        <f>Lang!$A$57</f>
        <v>Recruit mechanics</v>
      </c>
      <c r="G25" s="1125"/>
      <c r="H25" s="477">
        <f>IF(H7*4*H11-H24&lt;0,0,H7*4*H11-H24)</f>
        <v>0</v>
      </c>
      <c r="I25" s="768">
        <f ca="1">ROUNDUP((H24+H25)*AVERAGEIF(OFFSET(History!C2:C6,B52,),"&gt;0"),0)</f>
        <v>0</v>
      </c>
      <c r="N25" s="17"/>
      <c r="O25" s="17"/>
      <c r="P25" s="17"/>
      <c r="Q25" s="3"/>
      <c r="R25" s="1"/>
      <c r="S25" s="1"/>
      <c r="T25" s="1"/>
      <c r="U25" s="2"/>
      <c r="V25" s="2"/>
      <c r="W25" s="8"/>
      <c r="AH25" s="1082" t="str">
        <f>Lang!$A$58</f>
        <v>Agents and distributors</v>
      </c>
      <c r="AI25" s="1083"/>
      <c r="AJ25" s="5"/>
      <c r="AK25" s="6"/>
      <c r="AL25" s="6"/>
      <c r="AM25" s="7"/>
      <c r="AN25" s="5"/>
      <c r="AO25" s="6"/>
      <c r="AP25" s="6"/>
      <c r="AQ25" s="7"/>
    </row>
    <row r="26" spans="1:43" ht="12.9" customHeight="1" thickBot="1" x14ac:dyDescent="0.3">
      <c r="A26" s="20"/>
      <c r="B26" s="544" t="e">
        <f ca="1">ROUND(SUM(B23:B25),2)</f>
        <v>#VALUE!</v>
      </c>
      <c r="C26" s="544" t="e">
        <f ca="1">ROUND(SUM(C23:C25),2)</f>
        <v>#VALUE!</v>
      </c>
      <c r="D26" s="544" t="e">
        <f ca="1">ROUND(SUM(D23:D25),2)</f>
        <v>#VALUE!</v>
      </c>
      <c r="E26" s="483"/>
      <c r="F26" s="1124" t="str">
        <f>Lang!$A$59</f>
        <v>Workers wage rate</v>
      </c>
      <c r="G26" s="1125"/>
      <c r="H26" s="478">
        <v>13.25</v>
      </c>
      <c r="I26" s="457" t="e">
        <f ca="1">IF(H15&gt;H17,H26*H18+H26*1.5*(H17-H18)+H26*2*(H15-H17),IF(H15&gt;H18,H26*H18+H26*1.5*(H15-H18),H26*H15))/H20</f>
        <v>#VALUE!</v>
      </c>
      <c r="J26" s="1078" t="str">
        <f>Lang!$A$60</f>
        <v>Stocks next quarter</v>
      </c>
      <c r="K26" s="1079"/>
      <c r="L26" s="1088"/>
      <c r="N26" s="1116" t="str">
        <f>Lang!$A$61</f>
        <v>Corporate advertising</v>
      </c>
      <c r="O26" s="1117"/>
      <c r="P26" s="1118"/>
      <c r="Q26" s="113"/>
      <c r="R26" s="1116" t="str">
        <f>Lang!$A$115</f>
        <v>Management budget</v>
      </c>
      <c r="S26" s="1117"/>
      <c r="T26" s="1118"/>
      <c r="U26" s="2"/>
      <c r="V26" s="1080" t="str">
        <f>IF(X26=4,"Taxes","")</f>
        <v/>
      </c>
      <c r="W26" s="1104"/>
      <c r="X26" s="634">
        <f>IF(X21=4,1,X21+1)</f>
        <v>3</v>
      </c>
      <c r="Y26" s="1114">
        <f>SUM(V27:X29)</f>
        <v>3376</v>
      </c>
      <c r="AH26" s="1084"/>
      <c r="AI26" s="1085"/>
      <c r="AJ26" s="5">
        <f>(E28*C28)*1000+(B28-E28)*7500</f>
        <v>37500</v>
      </c>
      <c r="AK26" s="6"/>
      <c r="AL26" s="6"/>
      <c r="AM26" s="7"/>
      <c r="AN26" s="5"/>
      <c r="AO26" s="6" t="e">
        <f t="shared" ref="AO26:AQ27" ca="1" si="8">(J17*J42)*$D$28</f>
        <v>#VALUE!</v>
      </c>
      <c r="AP26" s="6" t="e">
        <f t="shared" ca="1" si="8"/>
        <v>#VALUE!</v>
      </c>
      <c r="AQ26" s="7" t="e">
        <f t="shared" ca="1" si="8"/>
        <v>#VALUE!</v>
      </c>
    </row>
    <row r="27" spans="1:43" ht="12.9" customHeight="1" thickBot="1" x14ac:dyDescent="0.3">
      <c r="A27" s="1100" t="str">
        <f>Lang!$A$58</f>
        <v>Agents and distributors</v>
      </c>
      <c r="B27" s="1101"/>
      <c r="C27" s="1101"/>
      <c r="D27" s="1102"/>
      <c r="E27" s="483"/>
      <c r="F27" s="1126" t="str">
        <f>Lang!$A$62</f>
        <v>Machinists wage rate</v>
      </c>
      <c r="G27" s="1127"/>
      <c r="H27" s="479">
        <f>H26*0.65</f>
        <v>8.6125000000000007</v>
      </c>
      <c r="I27" s="457">
        <f>IF(H24+H25=0,0,H62/(H24+H25))</f>
        <v>0</v>
      </c>
      <c r="J27" s="404" t="e">
        <f t="shared" ref="J27:L29" ca="1" si="9">J12*$M32+J12*J$35+J12*J32</f>
        <v>#VALUE!</v>
      </c>
      <c r="K27" s="405" t="e">
        <f t="shared" ca="1" si="9"/>
        <v>#VALUE!</v>
      </c>
      <c r="L27" s="408" t="e">
        <f t="shared" ca="1" si="9"/>
        <v>#VALUE!</v>
      </c>
      <c r="N27" s="900">
        <f ca="1">Config!$G17*(OFFSET(History!$A$32,$B$52,0)+OFFSET(History!$A$31,$B$52,0)*Config!$H17+OFFSET(History!$A$30,$B$52,0)*Config!$H17^2+OFFSET(History!$A$29,$B$52,0)*Config!$H17^3)-Config!$G17*(OFFSET(History!$A$31,$B$52,0)+OFFSET(History!$A$30,$B$52,0)*Config!$H17+OFFSET(History!$A$29,$B$52,0)*Config!$H17^2+OFFSET(History!$A$28,$B$52,0)*Config!$H17^3)</f>
        <v>-1.26195344690094E-3</v>
      </c>
      <c r="O27" s="901">
        <f ca="1">Config!$G17*(OFFSET(History!$A$32,$B$52,0)+OFFSET(History!$A$31,$B$52,0)*Config!$H17+OFFSET(History!$A$30,$B$52,0)*Config!$H17^2+OFFSET(History!$A$29,$B$52,0)*Config!$H17^3)-Config!$G17*(OFFSET(History!$A$31,$B$52,0)+OFFSET(History!$A$30,$B$52,0)*Config!$H17+OFFSET(History!$A$29,$B$52,0)*Config!$H17^2+OFFSET(History!$A$28,$B$52,0)*Config!$H17^3)</f>
        <v>-1.26195344690094E-3</v>
      </c>
      <c r="P27" s="902">
        <f ca="1">Config!$G17*(OFFSET(History!$A$32,$B$52,0)+OFFSET(History!$A$31,$B$52,0)*Config!$H17+OFFSET(History!$A$30,$B$52,0)*Config!$H17^2+OFFSET(History!$A$29,$B$52,0)*Config!$H17^3)-Config!$G17*(OFFSET(History!$A$31,$B$52,0)+OFFSET(History!$A$30,$B$52,0)*Config!$H17+OFFSET(History!$A$29,$B$52,0)*Config!$H17^2+OFFSET(History!$A$28,$B$52,0)*Config!$H17^3)</f>
        <v>-1.26195344690094E-3</v>
      </c>
      <c r="Q27" s="113"/>
      <c r="R27" s="900">
        <f ca="1">($H$47+OFFSET(History!$Q$19,$B$52,0)*Config!$H$25+OFFSET(History!$Q$18,$B$52,0)*Config!$H$25^2+OFFSET(History!$Q$17,$B$52,0)*Config!$H$25^3+1)^Config!$G$25-(OFFSET(History!$Q$19,$B$52,0)+OFFSET(History!$Q$18,$B$52,0)*Config!$H$25+OFFSET(History!$Q$17,$B$52,0)*Config!$H$25^2+OFFSET(History!$Q$16,$B$52,0)*Config!$H$25^3+1)^Config!$G$25</f>
        <v>5.2586617272031955E-2</v>
      </c>
      <c r="S27" s="901">
        <f ca="1">($H$47+OFFSET(History!$Q$19,$B$52,0)*Config!$H$25+OFFSET(History!$Q$18,$B$52,0)*Config!$H$25^2+OFFSET(History!$Q$17,$B$52,0)*Config!$H$25^3+1)^Config!$G$25-(OFFSET(History!$Q$19,$B$52,0)+OFFSET(History!$Q$18,$B$52,0)*Config!$H$25+OFFSET(History!$Q$17,$B$52,0)*Config!$H$25^2+OFFSET(History!$Q$16,$B$52,0)*Config!$H$25^3+1)^Config!$G$25</f>
        <v>5.2586617272031955E-2</v>
      </c>
      <c r="T27" s="902">
        <f ca="1">($H$47+OFFSET(History!$Q$19,$B$52,0)*Config!$H$25+OFFSET(History!$Q$18,$B$52,0)*Config!$H$25^2+OFFSET(History!$Q$17,$B$52,0)*Config!$H$25^3+1)^Config!$G$25-(OFFSET(History!$Q$19,$B$52,0)+OFFSET(History!$Q$18,$B$52,0)*Config!$H$25+OFFSET(History!$Q$17,$B$52,0)*Config!$H$25^2+OFFSET(History!$Q$16,$B$52,0)*Config!$H$25^3+1)^Config!$G$25</f>
        <v>5.2586617272031955E-2</v>
      </c>
      <c r="U27" s="2"/>
      <c r="V27" s="638">
        <f>'62'!$U$17</f>
        <v>970</v>
      </c>
      <c r="W27" s="639">
        <f>'62'!$W$17</f>
        <v>663</v>
      </c>
      <c r="X27" s="640">
        <f>'62'!$Y$17</f>
        <v>399</v>
      </c>
      <c r="Y27" s="1114"/>
      <c r="AH27" s="1084"/>
      <c r="AI27" s="1085"/>
      <c r="AJ27" s="5">
        <f>(E29*C29)*1000+(B29-E29)*7500</f>
        <v>22500</v>
      </c>
      <c r="AK27" s="6"/>
      <c r="AL27" s="6"/>
      <c r="AM27" s="7"/>
      <c r="AN27" s="5"/>
      <c r="AO27" s="6" t="e">
        <f t="shared" ca="1" si="8"/>
        <v>#VALUE!</v>
      </c>
      <c r="AP27" s="6" t="e">
        <f t="shared" ca="1" si="8"/>
        <v>#VALUE!</v>
      </c>
      <c r="AQ27" s="7" t="e">
        <f t="shared" ca="1" si="8"/>
        <v>#VALUE!</v>
      </c>
    </row>
    <row r="28" spans="1:43" ht="12.9" customHeight="1" thickBot="1" x14ac:dyDescent="0.3">
      <c r="A28" s="603">
        <v>0</v>
      </c>
      <c r="B28" s="463">
        <v>5</v>
      </c>
      <c r="C28" s="463">
        <v>12</v>
      </c>
      <c r="D28" s="523">
        <v>0.08</v>
      </c>
      <c r="E28" s="457">
        <f>'92'!M30+A28</f>
        <v>0</v>
      </c>
      <c r="F28" s="1115" t="e">
        <f ca="1">H76+H81</f>
        <v>#VALUE!</v>
      </c>
      <c r="G28" s="1115"/>
      <c r="H28" s="1115"/>
      <c r="J28" s="404" t="e">
        <f t="shared" ca="1" si="9"/>
        <v>#VALUE!</v>
      </c>
      <c r="K28" s="405" t="e">
        <f t="shared" ca="1" si="9"/>
        <v>#VALUE!</v>
      </c>
      <c r="L28" s="408" t="e">
        <f t="shared" ca="1" si="9"/>
        <v>#VALUE!</v>
      </c>
      <c r="N28" s="900">
        <f ca="1">Config!$G18*(OFFSET(History!$E$32,$B$52,0)+OFFSET(History!$E$31,$B$52,0)*Config!$H18+OFFSET(History!$E$30,$B$52,0)*Config!$H18^2+OFFSET(History!$E$29,$B$52,0)*Config!$H18^3)-Config!$G18*(OFFSET(History!$E$31,$B$52,0)+OFFSET(History!$E$30,$B$52,0)*Config!$H18+OFFSET(History!$E$29,$B$52,0)*Config!$H18^2+OFFSET(History!$E$28,$B$52,0)*Config!$H18^3)</f>
        <v>-9.149111642281785E-4</v>
      </c>
      <c r="O28" s="901">
        <f ca="1">Config!$G18*(OFFSET(History!$E$32,$B$52,0)+OFFSET(History!$E$31,$B$52,0)*Config!$H18+OFFSET(History!$E$30,$B$52,0)*Config!$H18^2+OFFSET(History!$E$29,$B$52,0)*Config!$H18^3)-Config!$G18*(OFFSET(History!$E$31,$B$52,0)+OFFSET(History!$E$30,$B$52,0)*Config!$H18+OFFSET(History!$E$29,$B$52,0)*Config!$H18^2+OFFSET(History!$E$28,$B$52,0)*Config!$H18^3)</f>
        <v>-9.149111642281785E-4</v>
      </c>
      <c r="P28" s="902">
        <f ca="1">Config!$G18*(OFFSET(History!$E$32,$B$52,0)+OFFSET(History!$E$31,$B$52,0)*Config!$H18+OFFSET(History!$E$30,$B$52,0)*Config!$H18^2+OFFSET(History!$E$29,$B$52,0)*Config!$H18^3)-Config!$G18*(OFFSET(History!$E$31,$B$52,0)+OFFSET(History!$E$30,$B$52,0)*Config!$H18+OFFSET(History!$E$29,$B$52,0)*Config!$H18^2+OFFSET(History!$E$28,$B$52,0)*Config!$H18^3)</f>
        <v>-9.149111642281785E-4</v>
      </c>
      <c r="Q28" s="113"/>
      <c r="R28" s="900">
        <f ca="1">($H$47+OFFSET(History!$Q$19,$B$52,0)*Config!$H$25+OFFSET(History!$Q$18,$B$52,0)*Config!$H$25^2+OFFSET(History!$Q$17,$B$52,0)*Config!$H$25^3+1)^Config!$G$25-(OFFSET(History!$Q$19,$B$52,0)+OFFSET(History!$Q$18,$B$52,0)*Config!$H$25+OFFSET(History!$Q$17,$B$52,0)*Config!$H$25^2+OFFSET(History!$Q$16,$B$52,0)*Config!$H$25^3+1)^Config!$G$25</f>
        <v>5.2586617272031955E-2</v>
      </c>
      <c r="S28" s="901">
        <f ca="1">($H$47+OFFSET(History!$Q$19,$B$52,0)*Config!$H$25+OFFSET(History!$Q$18,$B$52,0)*Config!$H$25^2+OFFSET(History!$Q$17,$B$52,0)*Config!$H$25^3+1)^Config!$G$25-(OFFSET(History!$Q$19,$B$52,0)+OFFSET(History!$Q$18,$B$52,0)*Config!$H$25+OFFSET(History!$Q$17,$B$52,0)*Config!$H$25^2+OFFSET(History!$Q$16,$B$52,0)*Config!$H$25^3+1)^Config!$G$25</f>
        <v>5.2586617272031955E-2</v>
      </c>
      <c r="T28" s="902">
        <f ca="1">($H$47+OFFSET(History!$Q$19,$B$52,0)*Config!$H$25+OFFSET(History!$Q$18,$B$52,0)*Config!$H$25^2+OFFSET(History!$Q$17,$B$52,0)*Config!$H$25^3+1)^Config!$G$25-(OFFSET(History!$Q$19,$B$52,0)+OFFSET(History!$Q$18,$B$52,0)*Config!$H$25+OFFSET(History!$Q$17,$B$52,0)*Config!$H$25^2+OFFSET(History!$Q$16,$B$52,0)*Config!$H$25^3+1)^Config!$G$25</f>
        <v>5.2586617272031955E-2</v>
      </c>
      <c r="U28" s="2"/>
      <c r="V28" s="638">
        <f>'62'!$U$18</f>
        <v>155</v>
      </c>
      <c r="W28" s="639">
        <f>'62'!$W$18</f>
        <v>152</v>
      </c>
      <c r="X28" s="640">
        <f>'62'!$Y$18</f>
        <v>77</v>
      </c>
      <c r="Y28" s="1114"/>
      <c r="AH28" s="1086"/>
      <c r="AI28" s="1087"/>
      <c r="AJ28" s="9"/>
      <c r="AK28" s="10"/>
      <c r="AL28" s="10"/>
      <c r="AM28" s="11"/>
      <c r="AN28" s="9"/>
      <c r="AO28" s="10"/>
      <c r="AP28" s="10"/>
      <c r="AQ28" s="11"/>
    </row>
    <row r="29" spans="1:43" ht="12.9" customHeight="1" thickBot="1" x14ac:dyDescent="0.3">
      <c r="A29" s="603">
        <v>0</v>
      </c>
      <c r="B29" s="463">
        <v>3</v>
      </c>
      <c r="C29" s="463">
        <v>12</v>
      </c>
      <c r="D29" s="523">
        <v>0.08</v>
      </c>
      <c r="E29" s="457">
        <f>'92'!N30+A29</f>
        <v>0</v>
      </c>
      <c r="F29" s="1080" t="str">
        <f>Lang!$A$63</f>
        <v>Raw materials</v>
      </c>
      <c r="G29" s="1081"/>
      <c r="H29" s="453">
        <f ca="1">IF(B52=1,G33,IF(B52=2,G34,G35))</f>
        <v>71410</v>
      </c>
      <c r="J29" s="407" t="e">
        <f t="shared" ca="1" si="9"/>
        <v>#VALUE!</v>
      </c>
      <c r="K29" s="406" t="e">
        <f t="shared" ca="1" si="9"/>
        <v>#VALUE!</v>
      </c>
      <c r="L29" s="403" t="e">
        <f t="shared" ca="1" si="9"/>
        <v>#VALUE!</v>
      </c>
      <c r="N29" s="903">
        <f ca="1">Config!$G19*(OFFSET(History!$I$32,$B$52,0)+OFFSET(History!$I$31,$B$52,0)*Config!$H19+OFFSET(History!$I$30,$B$52,0)*Config!$H19^2+OFFSET(History!$I$29,$B$52,0)*Config!$H19^3)-Config!$G19*(OFFSET(History!$I$31,$B$52,0)+OFFSET(History!$I$30,$B$52,0)*Config!$H19+OFFSET(History!$I$29,$B$52,0)*Config!$H19^2+OFFSET(History!$I$28,$B$52,0)*Config!$H19^3)</f>
        <v>-1.26195344690094E-3</v>
      </c>
      <c r="O29" s="904">
        <f ca="1">Config!$G19*(OFFSET(History!$I$32,$B$52,0)+OFFSET(History!$I$31,$B$52,0)*Config!$H19+OFFSET(History!$I$30,$B$52,0)*Config!$H19^2+OFFSET(History!$I$29,$B$52,0)*Config!$H19^3)-Config!$G19*(OFFSET(History!$I$31,$B$52,0)+OFFSET(History!$I$30,$B$52,0)*Config!$H19+OFFSET(History!$I$29,$B$52,0)*Config!$H19^2+OFFSET(History!$I$28,$B$52,0)*Config!$H19^3)</f>
        <v>-1.26195344690094E-3</v>
      </c>
      <c r="P29" s="905">
        <f ca="1">Config!$G19*(OFFSET(History!$I$32,$B$52,0)+OFFSET(History!$I$31,$B$52,0)*Config!$H19+OFFSET(History!$I$30,$B$52,0)*Config!$H19^2+OFFSET(History!$I$29,$B$52,0)*Config!$H19^3)-Config!$G19*(OFFSET(History!$I$31,$B$52,0)+OFFSET(History!$I$30,$B$52,0)*Config!$H19+OFFSET(History!$I$29,$B$52,0)*Config!$H19^2+OFFSET(History!$I$28,$B$52,0)*Config!$H19^3)</f>
        <v>-1.26195344690094E-3</v>
      </c>
      <c r="Q29" s="113"/>
      <c r="R29" s="903">
        <f ca="1">($H$47+OFFSET(History!$Q$19,$B$52,0)*Config!$H$25+OFFSET(History!$Q$18,$B$52,0)*Config!$H$25^2+OFFSET(History!$Q$17,$B$52,0)*Config!$H$25^3+1)^Config!$G$25-(OFFSET(History!$Q$19,$B$52,0)+OFFSET(History!$Q$18,$B$52,0)*Config!$H$25+OFFSET(History!$Q$17,$B$52,0)*Config!$H$25^2+OFFSET(History!$Q$16,$B$52,0)*Config!$H$25^3+1)^Config!$G$25</f>
        <v>5.2586617272031955E-2</v>
      </c>
      <c r="S29" s="904">
        <f ca="1">($H$47+OFFSET(History!$Q$19,$B$52,0)*Config!$H$25+OFFSET(History!$Q$18,$B$52,0)*Config!$H$25^2+OFFSET(History!$Q$17,$B$52,0)*Config!$H$25^3+1)^Config!$G$25-(OFFSET(History!$Q$19,$B$52,0)+OFFSET(History!$Q$18,$B$52,0)*Config!$H$25+OFFSET(History!$Q$17,$B$52,0)*Config!$H$25^2+OFFSET(History!$Q$16,$B$52,0)*Config!$H$25^3+1)^Config!$G$25</f>
        <v>5.2586617272031955E-2</v>
      </c>
      <c r="T29" s="905">
        <f ca="1">($H$47+OFFSET(History!$Q$19,$B$52,0)*Config!$H$25+OFFSET(History!$Q$18,$B$52,0)*Config!$H$25^2+OFFSET(History!$Q$17,$B$52,0)*Config!$H$25^3+1)^Config!$G$25-(OFFSET(History!$Q$19,$B$52,0)+OFFSET(History!$Q$18,$B$52,0)*Config!$H$25+OFFSET(History!$Q$17,$B$52,0)*Config!$H$25^2+OFFSET(History!$Q$16,$B$52,0)*Config!$H$25^3+1)^Config!$G$25</f>
        <v>5.2586617272031955E-2</v>
      </c>
      <c r="U29" s="2"/>
      <c r="V29" s="641">
        <f>'62'!$U$19</f>
        <v>464</v>
      </c>
      <c r="W29" s="642">
        <f>'62'!$W$19</f>
        <v>318</v>
      </c>
      <c r="X29" s="643">
        <f>'62'!$Y$19</f>
        <v>178</v>
      </c>
      <c r="Y29" s="1114"/>
      <c r="AH29" s="1090" t="str">
        <f>Lang!$A$64</f>
        <v>Sales office</v>
      </c>
      <c r="AI29" s="1091"/>
      <c r="AJ29" s="5" t="e">
        <f ca="1">C59</f>
        <v>#VALUE!</v>
      </c>
      <c r="AK29" s="6"/>
      <c r="AL29" s="6"/>
      <c r="AM29" s="7"/>
      <c r="AN29" s="5"/>
      <c r="AO29" s="6"/>
      <c r="AP29" s="6"/>
      <c r="AQ29" s="7"/>
    </row>
    <row r="30" spans="1:43" ht="12.9" customHeight="1" thickBot="1" x14ac:dyDescent="0.3">
      <c r="A30" s="15"/>
      <c r="B30" s="395"/>
      <c r="C30" s="395">
        <v>10</v>
      </c>
      <c r="D30" s="524">
        <v>0.06</v>
      </c>
      <c r="E30" s="457">
        <f>'92'!O30</f>
        <v>0</v>
      </c>
      <c r="F30" s="1107" t="str">
        <f>Lang!$A$65</f>
        <v>Required materials</v>
      </c>
      <c r="G30" s="1108"/>
      <c r="H30" s="394" t="e">
        <f ca="1">SUM(B2:B5)*1+SUM(C2:C5)*2+SUM(D2:D5)*3-(IF(SUM(B2:B5)&lt;B7,SUM(B2:B5),B7)*1+IF(SUM(C2:C5)&lt;C7,SUM(C2:C5),C7)*2+IF(SUM(D2:D5)&lt;D7,SUM(D2:D5),D7)*3)</f>
        <v>#VALUE!</v>
      </c>
      <c r="I30" s="471" t="e">
        <f ca="1">H30/'92'!G34</f>
        <v>#VALUE!</v>
      </c>
      <c r="O30" s="2"/>
      <c r="Q30" s="3"/>
      <c r="R30" s="3"/>
      <c r="S30" s="3"/>
      <c r="U30" s="2"/>
      <c r="V30" s="2"/>
      <c r="W30" s="8"/>
      <c r="AH30" s="1092"/>
      <c r="AI30" s="1093"/>
      <c r="AJ30" s="5"/>
      <c r="AK30" s="6"/>
      <c r="AL30" s="6"/>
      <c r="AM30" s="7"/>
      <c r="AN30" s="5"/>
      <c r="AO30" s="6"/>
      <c r="AP30" s="6"/>
      <c r="AQ30" s="7"/>
    </row>
    <row r="31" spans="1:43" ht="12.9" customHeight="1" thickBot="1" x14ac:dyDescent="0.3">
      <c r="E31" s="483"/>
      <c r="F31" s="1107" t="str">
        <f>Lang!$A$66</f>
        <v>Materials will remain</v>
      </c>
      <c r="G31" s="1108"/>
      <c r="H31" s="394" t="e">
        <f ca="1">I33+H32+H33-H30</f>
        <v>#VALUE!</v>
      </c>
      <c r="J31" s="1119" t="str">
        <f>Lang!$A$60</f>
        <v>Stocks next quarter</v>
      </c>
      <c r="K31" s="1120"/>
      <c r="L31" s="1121"/>
      <c r="N31" s="1116" t="str">
        <f>Lang!$A$67</f>
        <v>Direct advertising</v>
      </c>
      <c r="O31" s="1117"/>
      <c r="P31" s="1118"/>
      <c r="Q31" s="743"/>
      <c r="R31" s="1116" t="str">
        <f>Lang!$A$68</f>
        <v>Ports</v>
      </c>
      <c r="S31" s="1117"/>
      <c r="T31" s="1118"/>
      <c r="U31" s="2"/>
      <c r="V31" s="1080" t="str">
        <f>IF(X31=4,"Taxes","")</f>
        <v>Taxes</v>
      </c>
      <c r="W31" s="1104"/>
      <c r="X31" s="634">
        <f>IF(X26=4,1,X26+1)</f>
        <v>4</v>
      </c>
      <c r="Y31" s="1114">
        <f>SUM(V32:X34)</f>
        <v>3802</v>
      </c>
      <c r="AG31" s="8"/>
      <c r="AH31" s="1092"/>
      <c r="AI31" s="1093"/>
      <c r="AJ31" s="5"/>
      <c r="AK31" s="6"/>
      <c r="AL31" s="6"/>
      <c r="AM31" s="7"/>
      <c r="AN31" s="5"/>
      <c r="AO31" s="6"/>
      <c r="AP31" s="6"/>
      <c r="AQ31" s="7"/>
    </row>
    <row r="32" spans="1:43" ht="12.9" customHeight="1" thickBot="1" x14ac:dyDescent="0.3">
      <c r="A32" s="1078" t="str">
        <f>Lang!$A$69</f>
        <v>Optimal advertising</v>
      </c>
      <c r="B32" s="1079"/>
      <c r="C32" s="1079"/>
      <c r="D32" s="453" t="e">
        <f ca="1">H56*E32/1000</f>
        <v>#VALUE!</v>
      </c>
      <c r="E32" s="445">
        <v>0.05</v>
      </c>
      <c r="F32" s="1107" t="str">
        <f>Lang!$A$70</f>
        <v>Additional materials</v>
      </c>
      <c r="G32" s="1108"/>
      <c r="H32" s="394" t="e">
        <f ca="1">SUM(B2:B5)*1*B22+SUM(C2:C5)*2*C22+SUM(D2:D5)*3*D22-(IF(SUM(B2:B5)&lt;B7,SUM(B2:B5),B7)*1*B22+IF(SUM(C2:C5)&lt;C7,SUM(C2:C5),C7)*2*C22+IF(SUM(D2:D5)&lt;D7,SUM(D2:D5),D7)*3*D22)</f>
        <v>#VALUE!</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3.3124118631505835E-2</v>
      </c>
      <c r="O32" s="901">
        <f ca="1">Config!M22*(C38+OFFSET(History!C$32,$B$52,0)*Config!$O22+OFFSET(History!C$31,$B$52,0)*Config!$O22^2+OFFSET(History!C$30,$B$52,0)*Config!$O22^3)-Config!M22*(OFFSET(History!C$32,$B$52,0)+OFFSET(History!C$31,$B$52,0)*Config!$O22+OFFSET(History!C$30,$B$52,0)*Config!$O22^2+OFFSET(History!C$29,$B$52,0)*Config!$O22^3)</f>
        <v>3.3337550918983216E-2</v>
      </c>
      <c r="P32" s="902">
        <f ca="1">Config!N22*(D38+OFFSET(History!D$32,$B$52,0)*Config!$O22+OFFSET(History!D$31,$B$52,0)*Config!$O22^2+OFFSET(History!D$30,$B$52,0)*Config!$O22^3)-Config!N22*(OFFSET(History!D$32,$B$52,0)+OFFSET(History!D$31,$B$52,0)*Config!$O22+OFFSET(History!D$30,$B$52,0)*Config!$O22^2+OFFSET(History!D$29,$B$52,0)*Config!$O22^3)</f>
        <v>4.0013514017077909E-2</v>
      </c>
      <c r="Q32" s="113"/>
      <c r="R32" s="900"/>
      <c r="S32" s="901"/>
      <c r="T32" s="902"/>
      <c r="U32" s="2"/>
      <c r="V32" s="638">
        <f>'72'!$U$17</f>
        <v>1178</v>
      </c>
      <c r="W32" s="639">
        <f>'72'!$W$17</f>
        <v>717</v>
      </c>
      <c r="X32" s="640">
        <f>'72'!$Y$17</f>
        <v>392</v>
      </c>
      <c r="Y32" s="1114"/>
      <c r="AH32" s="1094"/>
      <c r="AI32" s="1095"/>
      <c r="AJ32" s="9"/>
      <c r="AK32" s="10"/>
      <c r="AL32" s="10"/>
      <c r="AM32" s="11"/>
      <c r="AN32" s="9"/>
      <c r="AO32" s="10"/>
      <c r="AP32" s="10"/>
      <c r="AQ32" s="11"/>
    </row>
    <row r="33" spans="1:43" ht="12.9" customHeight="1" x14ac:dyDescent="0.25">
      <c r="A33" s="433" t="e">
        <f ca="1">SUM(AK2:AM2)/SUM($AK$2:$AM$4)*SUM($A$38:$A$40)</f>
        <v>#VALUE!</v>
      </c>
      <c r="B33" s="434" t="e">
        <f t="shared" ref="B33:D35" ca="1" si="10">AK2/SUM($AK$2:$AM$4)*$D$32</f>
        <v>#VALUE!</v>
      </c>
      <c r="C33" s="434" t="e">
        <f t="shared" ca="1" si="10"/>
        <v>#VALUE!</v>
      </c>
      <c r="D33" s="438" t="e">
        <f t="shared" ca="1" si="10"/>
        <v>#VALUE!</v>
      </c>
      <c r="F33" s="888" t="str">
        <f>Lang!$A$71</f>
        <v>Spot - 1, 2, 3, 4, 5</v>
      </c>
      <c r="G33" s="62">
        <f ca="1">OFFSET(History!N45,$B52,)</f>
        <v>78498</v>
      </c>
      <c r="H33" s="429">
        <v>4000</v>
      </c>
      <c r="I33" s="457">
        <f>'92'!G35+'92'!G37+'92'!G38</f>
        <v>0</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5.8497941100735106E-2</v>
      </c>
      <c r="O33" s="901">
        <f ca="1">Config!M23*(C39+OFFSET(History!G$32,$B$52,0)*Config!$O23+OFFSET(History!G$31,$B$52,0)*Config!$O23^2+OFFSET(History!G$30,$B$52,0)*Config!$O23^3)-Config!M23*(OFFSET(History!G$32,$B$52,0)+OFFSET(History!G$31,$B$52,0)*Config!$O23+OFFSET(History!G$30,$B$52,0)*Config!$O23^2+OFFSET(History!G$29,$B$52,0)*Config!$O23^3)</f>
        <v>2.6226692005044527E-2</v>
      </c>
      <c r="P33" s="902">
        <f ca="1">Config!N23*(D39+OFFSET(History!H$32,$B$52,0)*Config!$O23+OFFSET(History!H$31,$B$52,0)*Config!$O23^2+OFFSET(History!H$30,$B$52,0)*Config!$O23^3)-Config!N23*(OFFSET(History!H$32,$B$52,0)+OFFSET(History!H$31,$B$52,0)*Config!$O23+OFFSET(History!H$30,$B$52,0)*Config!$O23^2+OFFSET(History!H$29,$B$52,0)*Config!$O23^3)</f>
        <v>3.2570147622351844E-2</v>
      </c>
      <c r="Q33" s="113"/>
      <c r="R33" s="900"/>
      <c r="S33" s="901"/>
      <c r="T33" s="902"/>
      <c r="U33" s="2"/>
      <c r="V33" s="638">
        <f>'72'!$U$18</f>
        <v>113</v>
      </c>
      <c r="W33" s="639">
        <f>'72'!$W$18</f>
        <v>126</v>
      </c>
      <c r="X33" s="640">
        <f>'72'!$Y$18</f>
        <v>63</v>
      </c>
      <c r="Y33" s="1114"/>
      <c r="AH33" s="1082" t="str">
        <f>Lang!$A$223</f>
        <v>Guarantee servicing</v>
      </c>
      <c r="AI33" s="1083"/>
      <c r="AJ33" s="5"/>
      <c r="AK33" s="6">
        <f ca="1">B6*60</f>
        <v>2784</v>
      </c>
      <c r="AL33" s="6">
        <f ca="1">C6*150</f>
        <v>3180</v>
      </c>
      <c r="AM33" s="7">
        <f ca="1">D6*250</f>
        <v>3000</v>
      </c>
      <c r="AN33" s="5"/>
      <c r="AO33" s="6"/>
      <c r="AP33" s="6"/>
      <c r="AQ33" s="7"/>
    </row>
    <row r="34" spans="1:43" ht="12.9" customHeight="1" thickBot="1" x14ac:dyDescent="0.3">
      <c r="A34" s="433" t="e">
        <f ca="1">SUM(AK3:AM3)/SUM($AK$2:$AM$4)*SUM($A$38:$A$40)</f>
        <v>#VALUE!</v>
      </c>
      <c r="B34" s="434" t="e">
        <f t="shared" ca="1" si="10"/>
        <v>#VALUE!</v>
      </c>
      <c r="C34" s="434" t="e">
        <f t="shared" ca="1" si="10"/>
        <v>#VALUE!</v>
      </c>
      <c r="D34" s="438" t="e">
        <f t="shared" ca="1" si="10"/>
        <v>#VALUE!</v>
      </c>
      <c r="F34" s="13" t="str">
        <f>Lang!$A$72</f>
        <v>3 mth - 1, 2, 3, 4</v>
      </c>
      <c r="G34" s="62">
        <f ca="1">OFFSET(History!O45,$B52,)</f>
        <v>75378</v>
      </c>
      <c r="H34" s="429">
        <v>0</v>
      </c>
      <c r="I34" s="457">
        <f>'92'!G39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1.9827870505645554E-2</v>
      </c>
      <c r="O34" s="904">
        <f ca="1">Config!M24*(C40+OFFSET(History!K$32,$B$52,0)*Config!$O24+OFFSET(History!K$31,$B$52,0)*Config!$O24^2+OFFSET(History!K$30,$B$52,0)*Config!$O24^3)-Config!M24*(OFFSET(History!K$32,$B$52,0)+OFFSET(History!K$31,$B$52,0)*Config!$O24+OFFSET(History!K$30,$B$52,0)*Config!$O24^2+OFFSET(History!K$29,$B$52,0)*Config!$O24^3)</f>
        <v>1.9883236387737206E-2</v>
      </c>
      <c r="P34" s="905">
        <f ca="1">Config!N24*(D40+OFFSET(History!L$32,$B$52,0)*Config!$O24+OFFSET(History!L$31,$B$52,0)*Config!$O24^2+OFFSET(History!L$30,$B$52,0)*Config!$O24^3)-Config!N24*(OFFSET(History!L$32,$B$52,0)+OFFSET(History!L$31,$B$52,0)*Config!$O24+OFFSET(History!L$30,$B$52,0)*Config!$O24^2+OFFSET(History!L$29,$B$52,0)*Config!$O24^3)</f>
        <v>2.6226692005044527E-2</v>
      </c>
      <c r="Q34" s="113"/>
      <c r="R34" s="903"/>
      <c r="S34" s="904"/>
      <c r="T34" s="905"/>
      <c r="U34" s="2"/>
      <c r="V34" s="641">
        <f>'72'!$U$19</f>
        <v>584</v>
      </c>
      <c r="W34" s="642">
        <f>'72'!$W$19</f>
        <v>395</v>
      </c>
      <c r="X34" s="643">
        <f>'72'!$Y$19</f>
        <v>234</v>
      </c>
      <c r="Y34" s="1114"/>
      <c r="AH34" s="1084"/>
      <c r="AI34" s="1085"/>
      <c r="AJ34" s="5"/>
      <c r="AK34" s="6"/>
      <c r="AL34" s="6"/>
      <c r="AM34" s="7"/>
      <c r="AN34" s="5"/>
      <c r="AO34" s="6"/>
      <c r="AP34" s="6"/>
      <c r="AQ34" s="7"/>
    </row>
    <row r="35" spans="1:43" ht="12.9" customHeight="1" thickBot="1" x14ac:dyDescent="0.3">
      <c r="A35" s="437" t="e">
        <f ca="1">SUM(AK4:AM4)/SUM($AK$2:$AM$4)*SUM($A$38:$A$40)</f>
        <v>#VALUE!</v>
      </c>
      <c r="B35" s="436" t="e">
        <f t="shared" ca="1" si="10"/>
        <v>#VALUE!</v>
      </c>
      <c r="C35" s="436" t="e">
        <f t="shared" ca="1" si="10"/>
        <v>#VALUE!</v>
      </c>
      <c r="D35" s="435" t="e">
        <f t="shared" ca="1" si="10"/>
        <v>#VALUE!</v>
      </c>
      <c r="F35" s="15" t="str">
        <f>Lang!$A$73</f>
        <v>6 mth - 1, 2, 3</v>
      </c>
      <c r="G35" s="651">
        <f ca="1">OFFSET(History!P45,$B52,)</f>
        <v>71410</v>
      </c>
      <c r="H35" s="432">
        <v>0</v>
      </c>
      <c r="J35" s="445">
        <v>0</v>
      </c>
      <c r="K35" s="445">
        <v>0</v>
      </c>
      <c r="L35" s="445">
        <v>0</v>
      </c>
      <c r="N35" s="2"/>
      <c r="O35" s="2"/>
      <c r="P35" s="2"/>
      <c r="Q35" s="3"/>
      <c r="S35" s="2"/>
      <c r="T35" s="2"/>
      <c r="U35" s="2"/>
      <c r="V35" s="2"/>
      <c r="W35" s="8"/>
      <c r="AH35" s="1084"/>
      <c r="AI35" s="1085"/>
      <c r="AJ35" s="5"/>
      <c r="AK35" s="6"/>
      <c r="AL35" s="6"/>
      <c r="AM35" s="7"/>
      <c r="AN35" s="5"/>
      <c r="AO35" s="6"/>
      <c r="AP35" s="6"/>
      <c r="AQ35" s="7"/>
    </row>
    <row r="36" spans="1:43" ht="12.9" customHeight="1" thickBot="1" x14ac:dyDescent="0.3">
      <c r="E36" s="3"/>
      <c r="F36" s="1115" t="e">
        <f ca="1">F28+J42*J37+J43*J38+J44*J39+K42*K37+K43*K38+K44*K39+L42*L37+L43*L38+L44*L39</f>
        <v>#VALUE!</v>
      </c>
      <c r="G36" s="1115"/>
      <c r="H36" s="1115"/>
      <c r="J36" s="1080" t="str">
        <f>Lang!$A$60</f>
        <v>Stocks next quarter</v>
      </c>
      <c r="K36" s="1081"/>
      <c r="L36" s="1103"/>
      <c r="N36" s="1116" t="str">
        <f>Lang!$A$74</f>
        <v>Prices</v>
      </c>
      <c r="O36" s="1117"/>
      <c r="P36" s="1118"/>
      <c r="Q36" s="743"/>
      <c r="R36" s="1080" t="str">
        <f>Lang!$A$75</f>
        <v>Web-site development</v>
      </c>
      <c r="S36" s="1081"/>
      <c r="T36" s="1103"/>
      <c r="U36" s="2"/>
      <c r="V36" s="1080" t="str">
        <f>IF(X36=4,"Taxes","")</f>
        <v/>
      </c>
      <c r="W36" s="1104"/>
      <c r="X36" s="634">
        <f>IF(X31=4,1,X31+1)</f>
        <v>1</v>
      </c>
      <c r="Y36" s="1114">
        <f>SUM(V37:X39)</f>
        <v>4965</v>
      </c>
      <c r="AH36" s="1086"/>
      <c r="AI36" s="1087"/>
      <c r="AJ36" s="9"/>
      <c r="AK36" s="10"/>
      <c r="AL36" s="10"/>
      <c r="AM36" s="11"/>
      <c r="AN36" s="9"/>
      <c r="AO36" s="10"/>
      <c r="AP36" s="10"/>
      <c r="AQ36" s="11"/>
    </row>
    <row r="37" spans="1:43" ht="12.9" customHeight="1" x14ac:dyDescent="0.25">
      <c r="A37" s="1080" t="str">
        <f>Lang!$A$38</f>
        <v>Advertising</v>
      </c>
      <c r="B37" s="1081"/>
      <c r="C37" s="1081"/>
      <c r="D37" s="453">
        <f>SUM(B38:D40)</f>
        <v>106</v>
      </c>
      <c r="F37" s="1080" t="str">
        <f>Lang!$A$76</f>
        <v>Operations</v>
      </c>
      <c r="G37" s="1081"/>
      <c r="H37" s="1103"/>
      <c r="J37" s="385" t="e">
        <f t="shared" ref="J37:L39" ca="1" si="11">B2+J2*(1-B$18)-J7-J12</f>
        <v>#VALUE!</v>
      </c>
      <c r="K37" s="386" t="e">
        <f t="shared" ca="1" si="11"/>
        <v>#VALUE!</v>
      </c>
      <c r="L37" s="387" t="e">
        <f t="shared" ca="1" si="11"/>
        <v>#VALUE!</v>
      </c>
      <c r="M37" s="448" t="e">
        <f ca="1">SUM(J37:L37)/SUM(J12:L12)</f>
        <v>#VALUE!</v>
      </c>
      <c r="N37" s="900" t="e">
        <f ca="1">((Config!J12/J42)-(Config!J12/J47))*(100-'4'!B43)/(100-Config!M27)</f>
        <v>#DIV/0!</v>
      </c>
      <c r="O37" s="901" t="e">
        <f ca="1">((Config!K12/K42)-(Config!K12/K47))*(100-'4'!C43)/(100-Config!N27)</f>
        <v>#DIV/0!</v>
      </c>
      <c r="P37" s="902" t="e">
        <f ca="1">((Config!L12/L42)-(Config!L12/L47))*(100-'4'!D43)/(100-Config!O27)</f>
        <v>#DIV/0!</v>
      </c>
      <c r="Q37" s="743"/>
      <c r="R37" s="900"/>
      <c r="S37" s="901"/>
      <c r="T37" s="902"/>
      <c r="U37" s="2"/>
      <c r="V37" s="638">
        <f>'82'!$U$17</f>
        <v>1093</v>
      </c>
      <c r="W37" s="639">
        <f>'82'!$W$17</f>
        <v>701</v>
      </c>
      <c r="X37" s="640">
        <f>'82'!$Y$17</f>
        <v>363</v>
      </c>
      <c r="Y37" s="1114"/>
      <c r="AH37" s="1082" t="str">
        <f>Lang!$A$77</f>
        <v>Transport</v>
      </c>
      <c r="AI37" s="1083"/>
      <c r="AJ37" s="5"/>
      <c r="AK37" s="6"/>
      <c r="AL37" s="6"/>
      <c r="AM37" s="7"/>
      <c r="AN37" s="5"/>
      <c r="AO37" s="6"/>
      <c r="AP37" s="6"/>
      <c r="AQ37" s="7"/>
    </row>
    <row r="38" spans="1:43" ht="12.9" customHeight="1" x14ac:dyDescent="0.25">
      <c r="A38" s="427">
        <v>0</v>
      </c>
      <c r="B38" s="428">
        <v>12</v>
      </c>
      <c r="C38" s="428">
        <v>12</v>
      </c>
      <c r="D38" s="429">
        <v>14</v>
      </c>
      <c r="E38" s="457">
        <f>SUM(A38:D38)</f>
        <v>38</v>
      </c>
      <c r="F38" s="1122" t="str">
        <f>Lang!$A$78</f>
        <v>Share price</v>
      </c>
      <c r="G38" s="1123"/>
      <c r="H38" s="484">
        <f ca="1">IF('91'!$O$5&gt;0,OFFSET('94'!E35,,'91'!$O$5),'94'!F35)</f>
        <v>0</v>
      </c>
      <c r="I38" s="483"/>
      <c r="J38" s="385" t="e">
        <f t="shared" ca="1" si="11"/>
        <v>#VALUE!</v>
      </c>
      <c r="K38" s="386" t="e">
        <f t="shared" ca="1" si="11"/>
        <v>#VALUE!</v>
      </c>
      <c r="L38" s="387" t="e">
        <f t="shared" ca="1" si="11"/>
        <v>#VALUE!</v>
      </c>
      <c r="M38" s="448" t="e">
        <f ca="1">SUM(J38:L38)/SUM(J13:L13)</f>
        <v>#VALUE!</v>
      </c>
      <c r="N38" s="900" t="e">
        <f ca="1">((Config!J13/J43)-(Config!J13/J48))*(100-'4'!B44)/(100-Config!M28)</f>
        <v>#DIV/0!</v>
      </c>
      <c r="O38" s="901" t="e">
        <f ca="1">((Config!K13/K43)-(Config!K13/K48))*(100-'4'!C44)/(100-Config!N28)</f>
        <v>#DIV/0!</v>
      </c>
      <c r="P38" s="902" t="e">
        <f ca="1">((Config!L13/L43)-(Config!L13/L48))*(100-'4'!D44)/(100-Config!O28)</f>
        <v>#DIV/0!</v>
      </c>
      <c r="Q38" s="743"/>
      <c r="R38" s="900"/>
      <c r="S38" s="901"/>
      <c r="T38" s="902"/>
      <c r="U38" s="2"/>
      <c r="V38" s="638">
        <f>'82'!$U$18</f>
        <v>595</v>
      </c>
      <c r="W38" s="639">
        <f>'82'!$W$18</f>
        <v>362</v>
      </c>
      <c r="X38" s="640">
        <f>'82'!$Y$18</f>
        <v>190</v>
      </c>
      <c r="Y38" s="1114"/>
      <c r="Z38" s="23"/>
      <c r="AA38" s="23"/>
      <c r="AB38" s="23"/>
      <c r="AH38" s="1084"/>
      <c r="AI38" s="1085"/>
      <c r="AJ38" s="5"/>
      <c r="AK38" s="6"/>
      <c r="AL38" s="6"/>
      <c r="AM38" s="7"/>
      <c r="AN38" s="5" t="e">
        <f ca="1">CEILING(E2,1)*CEILING('92'!M36/400,1)*650</f>
        <v>#VALUE!</v>
      </c>
      <c r="AO38" s="6"/>
      <c r="AP38" s="6"/>
      <c r="AQ38" s="7"/>
    </row>
    <row r="39" spans="1:43" ht="12.9" customHeight="1" thickBot="1" x14ac:dyDescent="0.3">
      <c r="A39" s="427">
        <v>0</v>
      </c>
      <c r="B39" s="428">
        <v>20</v>
      </c>
      <c r="C39" s="428">
        <v>10</v>
      </c>
      <c r="D39" s="429">
        <v>12</v>
      </c>
      <c r="E39" s="457">
        <f>SUM(A39:D39)</f>
        <v>42</v>
      </c>
      <c r="F39" s="1096" t="str">
        <f>Lang!$A$79</f>
        <v>Exchange rate</v>
      </c>
      <c r="G39" s="1097"/>
      <c r="H39" s="485">
        <f ca="1">OFFSET(History!Q45,$B52,)</f>
        <v>0.84</v>
      </c>
      <c r="I39" s="483"/>
      <c r="J39" s="388" t="e">
        <f t="shared" ca="1" si="11"/>
        <v>#VALUE!</v>
      </c>
      <c r="K39" s="389" t="e">
        <f t="shared" ca="1" si="11"/>
        <v>#VALUE!</v>
      </c>
      <c r="L39" s="390" t="e">
        <f t="shared" ca="1" si="11"/>
        <v>#VALUE!</v>
      </c>
      <c r="M39" s="448" t="e">
        <f ca="1">SUM(J39:L39)/SUM(J14:L14)</f>
        <v>#VALUE!</v>
      </c>
      <c r="N39" s="903" t="e">
        <f ca="1">((Config!J14/J44)-(Config!J14/J49))*(100-'4'!B45)/(100-Config!M29)</f>
        <v>#DIV/0!</v>
      </c>
      <c r="O39" s="904" t="e">
        <f ca="1">((Config!K14/K44)-(Config!K14/K49))*(100-'4'!C45)/(100-Config!N29)</f>
        <v>#DIV/0!</v>
      </c>
      <c r="P39" s="905" t="e">
        <f ca="1">((Config!L14/L44)-(Config!L14/L49))*(100-'4'!D45)/(100-Config!O29)</f>
        <v>#DIV/0!</v>
      </c>
      <c r="Q39" s="743"/>
      <c r="R39" s="903">
        <f ca="1">($H$46+OFFSET(History!$N$58,$B$52,0)*Config!$H$14+OFFSET(History!$N$57,$B$52,0)*Config!$H$14^2+OFFSET(History!$N$56,$B$52,0)*Config!$H$14^3+1)^Config!$G$14-(OFFSET(History!$N$58,$B$52,0)+OFFSET(History!$N$57,$B$52,0)*Config!$H$14+OFFSET(History!$N$56,$B$52,0)*Config!$H$14^2+OFFSET(History!$N$55,$B$52,0)*Config!$H$14^3+1)^Config!$G$14</f>
        <v>0.18880374237884645</v>
      </c>
      <c r="S39" s="904">
        <f ca="1">($H$46+OFFSET(History!$N$58,$B$52,0)*Config!$H$14+OFFSET(History!$N$57,$B$52,0)*Config!$H$14^2+OFFSET(History!$N$56,$B$52,0)*Config!$H$14^3+1)^Config!$G$14-(OFFSET(History!$N$58,$B$52,0)+OFFSET(History!$N$57,$B$52,0)*Config!$H$14+OFFSET(History!$N$56,$B$52,0)*Config!$H$14^2+OFFSET(History!$N$55,$B$52,0)*Config!$H$14^3+1)^Config!$G$14</f>
        <v>0.18880374237884645</v>
      </c>
      <c r="T39" s="905">
        <f ca="1">($H$46+OFFSET(History!$N$58,$B$52,0)*Config!$H$14+OFFSET(History!$N$57,$B$52,0)*Config!$H$14^2+OFFSET(History!$N$56,$B$52,0)*Config!$H$14^3+1)^Config!$G$14-(OFFSET(History!$N$58,$B$52,0)+OFFSET(History!$N$57,$B$52,0)*Config!$H$14+OFFSET(History!$N$56,$B$52,0)*Config!$H$14^2+OFFSET(History!$N$55,$B$52,0)*Config!$H$14^3+1)^Config!$G$14</f>
        <v>0.18880374237884645</v>
      </c>
      <c r="U39" s="2"/>
      <c r="V39" s="641">
        <f>'82'!$U$19</f>
        <v>928</v>
      </c>
      <c r="W39" s="642">
        <f>'82'!$W$19</f>
        <v>479</v>
      </c>
      <c r="X39" s="643">
        <f>'82'!$Y$19</f>
        <v>254</v>
      </c>
      <c r="Y39" s="1114"/>
      <c r="Z39" s="29"/>
      <c r="AA39" s="23"/>
      <c r="AB39" s="23"/>
      <c r="AH39" s="1084"/>
      <c r="AI39" s="1085"/>
      <c r="AJ39" s="5"/>
      <c r="AK39" s="6"/>
      <c r="AL39" s="6"/>
      <c r="AM39" s="7"/>
      <c r="AN39" s="5" t="e">
        <f ca="1">CEILING(E3,1)*CEILING('92'!N36/400,1)*650+CEILING(E3,1)*8000</f>
        <v>#VALUE!</v>
      </c>
      <c r="AO39" s="6"/>
      <c r="AP39" s="6"/>
      <c r="AQ39" s="7"/>
    </row>
    <row r="40" spans="1:43" ht="12.9" customHeight="1" thickBot="1" x14ac:dyDescent="0.3">
      <c r="A40" s="430">
        <v>0</v>
      </c>
      <c r="B40" s="431">
        <v>8</v>
      </c>
      <c r="C40" s="431">
        <v>8</v>
      </c>
      <c r="D40" s="432">
        <v>10</v>
      </c>
      <c r="E40" s="457">
        <f>SUM(A40:D40)</f>
        <v>26</v>
      </c>
      <c r="F40" s="1096" t="str">
        <f>Lang!$A$80</f>
        <v>Bank base rate</v>
      </c>
      <c r="G40" s="1097"/>
      <c r="H40" s="486">
        <f>'94'!G10</f>
        <v>0</v>
      </c>
      <c r="I40" s="483"/>
      <c r="J40" s="448" t="e">
        <f ca="1">SUM(J37:J39)/SUM(J12:J14)</f>
        <v>#VALUE!</v>
      </c>
      <c r="K40" s="448" t="e">
        <f ca="1">SUM(K37:K39)/SUM(K12:K14)</f>
        <v>#VALUE!</v>
      </c>
      <c r="L40" s="448" t="e">
        <f ca="1">SUM(L37:L39)/SUM(L12:L14)</f>
        <v>#VALUE!</v>
      </c>
      <c r="R40" s="107"/>
      <c r="S40" s="3"/>
      <c r="U40" s="2"/>
      <c r="V40" s="2"/>
      <c r="W40" s="8"/>
      <c r="Z40" s="23"/>
      <c r="AA40" s="23"/>
      <c r="AB40" s="23"/>
      <c r="AG40" s="8"/>
      <c r="AH40" s="1086"/>
      <c r="AI40" s="1087"/>
      <c r="AJ40" s="9"/>
      <c r="AK40" s="10"/>
      <c r="AL40" s="10"/>
      <c r="AM40" s="11"/>
      <c r="AN40" s="9" t="e">
        <f ca="1">CEILING(E4,1)*CEILING('92'!O36/400,1)*650</f>
        <v>#VALUE!</v>
      </c>
      <c r="AO40" s="10"/>
      <c r="AP40" s="10"/>
      <c r="AQ40" s="11"/>
    </row>
    <row r="41" spans="1:43" ht="12.9" customHeight="1" thickBot="1" x14ac:dyDescent="0.3">
      <c r="E41" s="3"/>
      <c r="F41" s="1096" t="str">
        <f>Lang!$A$81</f>
        <v>Issue/repurchase shares</v>
      </c>
      <c r="G41" s="1097"/>
      <c r="H41" s="392">
        <f ca="1">IF($D$1=2,OFFSET(History!$N$72,$B$52,0),OFFSET(Config!$E$20,$B$52,0)*OFFSET(History!$O$71,$B$52-(D52-1),0)/1000)</f>
        <v>0</v>
      </c>
      <c r="I41" s="483"/>
      <c r="J41" s="1100" t="str">
        <f>Lang!$A$74</f>
        <v>Prices</v>
      </c>
      <c r="K41" s="1101"/>
      <c r="L41" s="1102"/>
      <c r="N41" s="1078" t="str">
        <f>Lang!$A$82</f>
        <v>Average prices</v>
      </c>
      <c r="O41" s="1079"/>
      <c r="P41" s="1088"/>
      <c r="R41" s="1116" t="str">
        <f>Lang!$A$83</f>
        <v>Manual correction</v>
      </c>
      <c r="S41" s="1117"/>
      <c r="T41" s="1118"/>
      <c r="U41" s="2"/>
      <c r="V41" s="1080" t="str">
        <f>IF(X41=4,"Taxes","")</f>
        <v/>
      </c>
      <c r="W41" s="1104"/>
      <c r="X41" s="634">
        <f>IF(X36=4,1,X36+1)</f>
        <v>2</v>
      </c>
      <c r="Y41" s="1114">
        <f>SUM(V42:X44)</f>
        <v>0</v>
      </c>
      <c r="AH41" s="1082" t="str">
        <f>Lang!$A$48</f>
        <v>R&amp;D</v>
      </c>
      <c r="AI41" s="1083"/>
      <c r="AJ41" s="5"/>
      <c r="AK41" s="6">
        <f ca="1">B19*1000</f>
        <v>11000</v>
      </c>
      <c r="AL41" s="6">
        <f ca="1">C19*1000</f>
        <v>25000</v>
      </c>
      <c r="AM41" s="7">
        <f ca="1">D19*1000</f>
        <v>16000</v>
      </c>
      <c r="AN41" s="5"/>
      <c r="AO41" s="6"/>
      <c r="AP41" s="6"/>
      <c r="AQ41" s="7"/>
    </row>
    <row r="42" spans="1:43" ht="12.9" customHeight="1" x14ac:dyDescent="0.25">
      <c r="A42" s="1078" t="str">
        <f>Lang!$A$84</f>
        <v>Market shares</v>
      </c>
      <c r="B42" s="1079"/>
      <c r="C42" s="1079"/>
      <c r="D42" s="918">
        <v>0</v>
      </c>
      <c r="E42" s="457">
        <f ca="1">SUM(B43:D45)</f>
        <v>625.69419279907083</v>
      </c>
      <c r="F42" s="1096" t="str">
        <f>Lang!$A$85</f>
        <v>Dividends</v>
      </c>
      <c r="G42" s="1097"/>
      <c r="H42" s="475">
        <v>0</v>
      </c>
      <c r="I42" s="455">
        <f ca="1">OFFSET(Config!$E$7,$B$52,0)</f>
        <v>0.1</v>
      </c>
      <c r="J42" s="409">
        <v>330</v>
      </c>
      <c r="K42" s="410">
        <v>488</v>
      </c>
      <c r="L42" s="411">
        <v>708</v>
      </c>
      <c r="M42" s="923" t="e">
        <f>AVERAGE(J42:L42)/AVERAGE(N47:P47)-1</f>
        <v>#DIV/0!</v>
      </c>
      <c r="N42" s="421">
        <f>IF(ISNUMBER(AVERAGEIF('104'!F43:M43,"&gt;0")),AVERAGEIF('104'!F43:M43,"&gt;0"),0)</f>
        <v>0</v>
      </c>
      <c r="O42" s="422">
        <f>IF(ISNUMBER(AVERAGEIF('104'!F46:M46,"&gt;0")),AVERAGEIF('104'!F46:M46,"&gt;0"),0)</f>
        <v>0</v>
      </c>
      <c r="P42" s="423">
        <f>IF(ISNUMBER(AVERAGEIF('104'!F49:M49,"&gt;0")),AVERAGEIF('104'!F49:M49,"&gt;0"),0)</f>
        <v>0</v>
      </c>
      <c r="Q42" s="923" t="e">
        <f>AVERAGE(N42:P42)/AVERAGE(N47:P47)-1</f>
        <v>#DIV/0!</v>
      </c>
      <c r="R42" s="948">
        <v>-0.26831156061944167</v>
      </c>
      <c r="S42" s="490">
        <v>-0.25500198372458005</v>
      </c>
      <c r="T42" s="475">
        <v>-0.24182037815279725</v>
      </c>
      <c r="U42" s="2"/>
      <c r="V42" s="638">
        <f>'92'!$U$17</f>
        <v>0</v>
      </c>
      <c r="W42" s="639">
        <f>'92'!$W$17</f>
        <v>0</v>
      </c>
      <c r="X42" s="640">
        <f>'92'!$Y$17</f>
        <v>0</v>
      </c>
      <c r="Y42" s="1114"/>
      <c r="Z42" s="30"/>
      <c r="AA42" s="30"/>
      <c r="AB42" s="30"/>
      <c r="AH42" s="1084"/>
      <c r="AI42" s="1085"/>
      <c r="AJ42" s="5"/>
      <c r="AK42" s="6"/>
      <c r="AL42" s="6"/>
      <c r="AM42" s="7"/>
      <c r="AN42" s="5"/>
      <c r="AO42" s="6"/>
      <c r="AP42" s="6"/>
      <c r="AQ42" s="7"/>
    </row>
    <row r="43" spans="1:43" ht="12.9" customHeight="1" x14ac:dyDescent="0.25">
      <c r="A43" s="884" t="str">
        <f>Lang!$A$7</f>
        <v>Europe</v>
      </c>
      <c r="B43" s="393">
        <f ca="1">IF($D$1=2,OFFSET(History!A$72,$B$52,0),'4'!B43+(OFFSET(Config!M27,$B$52*3,0)-OFFSET(Config!M27,($B$52-1)*3,0))+IF($D$42&lt;&gt;0,$D$42,0))</f>
        <v>66.447619047619014</v>
      </c>
      <c r="C43" s="393">
        <f ca="1">IF($D$1=2,OFFSET(History!B$72,$B$52,0),'4'!C43+(OFFSET(Config!N27,$B$52*3,0)-OFFSET(Config!N27,($B$52-1)*3,0))+IF($D$42&lt;&gt;0,$D$42,0))</f>
        <v>73.878571428571433</v>
      </c>
      <c r="D43" s="394">
        <f ca="1">IF($D$1=2,OFFSET(History!C$72,$B$52,0),'4'!D43+(OFFSET(Config!O27,$B$52*3,0)-OFFSET(Config!O27,($B$52-1)*3,0))+IF($D$42&lt;&gt;0,$D$42,0))</f>
        <v>84.088095238095264</v>
      </c>
      <c r="F43" s="1096" t="str">
        <f>Lang!$A$86</f>
        <v>Term deposit</v>
      </c>
      <c r="G43" s="1097"/>
      <c r="H43" s="429">
        <v>-500</v>
      </c>
      <c r="I43" s="483"/>
      <c r="J43" s="409">
        <v>340</v>
      </c>
      <c r="K43" s="410">
        <v>490</v>
      </c>
      <c r="L43" s="411">
        <v>705</v>
      </c>
      <c r="M43" s="923" t="e">
        <f>AVERAGE(J43:L43)/AVERAGE(N48:P48)-1</f>
        <v>#DIV/0!</v>
      </c>
      <c r="N43" s="421">
        <f>IF(ISNUMBER(AVERAGEIF('104'!F44:M44,"&gt;0")),AVERAGEIF('104'!F44:M44,"&gt;0"),0)</f>
        <v>0</v>
      </c>
      <c r="O43" s="422">
        <f>IF(ISNUMBER(AVERAGEIF('104'!F47:M47,"&gt;0")),AVERAGEIF('104'!F47:M47,"&gt;0"),0)</f>
        <v>0</v>
      </c>
      <c r="P43" s="423">
        <f>IF(ISNUMBER(AVERAGEIF('104'!F50:M50,"&gt;0")),AVERAGEIF('104'!F50:M50,"&gt;0"),0)</f>
        <v>0</v>
      </c>
      <c r="Q43" s="923" t="e">
        <f>AVERAGE(N43:P43)/AVERAGE(N48:P48)-1</f>
        <v>#DIV/0!</v>
      </c>
      <c r="R43" s="948">
        <v>-0.29277051833067869</v>
      </c>
      <c r="S43" s="490">
        <v>-0.21619931383534591</v>
      </c>
      <c r="T43" s="475">
        <v>-0.20732173817947208</v>
      </c>
      <c r="U43" s="2"/>
      <c r="V43" s="638">
        <f>'92'!$U$18</f>
        <v>0</v>
      </c>
      <c r="W43" s="639">
        <f>'92'!$W$18</f>
        <v>0</v>
      </c>
      <c r="X43" s="640">
        <f>'92'!$Y$18</f>
        <v>0</v>
      </c>
      <c r="Y43" s="1114"/>
      <c r="AH43" s="1084"/>
      <c r="AI43" s="1085"/>
      <c r="AJ43" s="5"/>
      <c r="AK43" s="6"/>
      <c r="AL43" s="6"/>
      <c r="AM43" s="7"/>
      <c r="AN43" s="5"/>
      <c r="AO43" s="6"/>
      <c r="AP43" s="6"/>
      <c r="AQ43" s="7"/>
    </row>
    <row r="44" spans="1:43" ht="12.9" customHeight="1" thickBot="1" x14ac:dyDescent="0.3">
      <c r="A44" s="884" t="str">
        <f>Lang!$A$9</f>
        <v>Nafta</v>
      </c>
      <c r="B44" s="393">
        <f ca="1">IF($D$1=2,OFFSET(History!D$72,$B$52,0),'4'!B44+(OFFSET(Config!M28,$B$52*3,0)-OFFSET(Config!M28,($B$52-1)*3,0))+IF($D$42&lt;&gt;0,$D$42,0))</f>
        <v>46.197560975609761</v>
      </c>
      <c r="C44" s="393">
        <f ca="1">IF($D$1=2,OFFSET(History!E$72,$B$52,0),'4'!C44+(OFFSET(Config!N28,$B$52*3,0)-OFFSET(Config!N28,($B$52-1)*3,0))+IF($D$42&lt;&gt;0,$D$42,0))</f>
        <v>57.014634146341464</v>
      </c>
      <c r="D44" s="394">
        <f ca="1">IF($D$1=2,OFFSET(History!F$72,$B$52,0),'4'!D44+(OFFSET(Config!O28,$B$52*3,0)-OFFSET(Config!O28,($B$52-1)*3,0))+IF($D$42&lt;&gt;0,$D$42,0))</f>
        <v>64.943902439024399</v>
      </c>
      <c r="F44" s="1096" t="str">
        <f>Lang!$A$87</f>
        <v>Term loans</v>
      </c>
      <c r="G44" s="1097"/>
      <c r="H44" s="429">
        <v>0</v>
      </c>
      <c r="I44" s="483"/>
      <c r="J44" s="412">
        <v>378</v>
      </c>
      <c r="K44" s="413">
        <v>598</v>
      </c>
      <c r="L44" s="414">
        <v>850</v>
      </c>
      <c r="M44" s="923" t="e">
        <f>AVERAGE(J44:L44)/AVERAGE(N49:P49)-1</f>
        <v>#DIV/0!</v>
      </c>
      <c r="N44" s="424">
        <f>IF(ISNUMBER(AVERAGEIF('104'!F45:M45,"&gt;0")),AVERAGEIF('104'!F45:M45,"&gt;0"),0)</f>
        <v>0</v>
      </c>
      <c r="O44" s="425">
        <f>IF(ISNUMBER(AVERAGEIF('104'!F48:M48,"&gt;0")),AVERAGEIF('104'!F48:M48,"&gt;0"),0)</f>
        <v>0</v>
      </c>
      <c r="P44" s="426">
        <f>IF(ISNUMBER(AVERAGEIF('104'!F51:M51,"&gt;0")),AVERAGEIF('104'!F51:M51,"&gt;0"),0)</f>
        <v>0</v>
      </c>
      <c r="Q44" s="923" t="e">
        <f>AVERAGE(N44:P44)/AVERAGE(N49:P49)-1</f>
        <v>#DIV/0!</v>
      </c>
      <c r="R44" s="949">
        <v>-0.19564854350430602</v>
      </c>
      <c r="S44" s="950">
        <v>-0.21228754121780138</v>
      </c>
      <c r="T44" s="951">
        <v>-0.19488905530103762</v>
      </c>
      <c r="U44" s="2"/>
      <c r="V44" s="641">
        <f>'92'!$U$19</f>
        <v>0</v>
      </c>
      <c r="W44" s="642">
        <f>'92'!$W$19</f>
        <v>0</v>
      </c>
      <c r="X44" s="643">
        <f>'92'!$Y$19</f>
        <v>0</v>
      </c>
      <c r="Y44" s="1114"/>
      <c r="AC44" s="23"/>
      <c r="AD44" s="23"/>
      <c r="AE44" s="23"/>
      <c r="AH44" s="1086"/>
      <c r="AI44" s="1087"/>
      <c r="AJ44" s="9"/>
      <c r="AK44" s="10"/>
      <c r="AL44" s="10"/>
      <c r="AM44" s="11"/>
      <c r="AN44" s="9"/>
      <c r="AO44" s="10"/>
      <c r="AP44" s="10"/>
      <c r="AQ44" s="11"/>
    </row>
    <row r="45" spans="1:43" ht="12.9" customHeight="1" thickBot="1" x14ac:dyDescent="0.3">
      <c r="A45" s="887" t="str">
        <f>Lang!$A$11</f>
        <v>Internet</v>
      </c>
      <c r="B45" s="919">
        <f ca="1">IF($D$1=2,OFFSET(History!G$72,$B$52,0),'4'!B45+(OFFSET(Config!M29,$B$52*3,0)-OFFSET(Config!M29,($B$52-1)*3,0))+IF($D$42&lt;&gt;0,$D$42,0))</f>
        <v>70.495238095238079</v>
      </c>
      <c r="C45" s="919">
        <f ca="1">IF($D$1=2,OFFSET(History!H$72,$B$52,0),'4'!C45+(OFFSET(Config!N29,$B$52*3,0)-OFFSET(Config!N29,($B$52-1)*3,0))+IF($D$42&lt;&gt;0,$D$42,0))</f>
        <v>75.723809523809521</v>
      </c>
      <c r="D45" s="920">
        <f ca="1">IF($D$1=2,OFFSET(History!I$72,$B$52,0),'4'!D45+(OFFSET(Config!O29,$B$52*3,0)-OFFSET(Config!O29,($B$52-1)*3,0))+IF($D$42&lt;&gt;0,$D$42,0))</f>
        <v>86.90476190476187</v>
      </c>
      <c r="E45" s="151"/>
      <c r="F45" s="1105" t="str">
        <f>Lang!$A$68</f>
        <v>Ports</v>
      </c>
      <c r="G45" s="1106"/>
      <c r="H45" s="567">
        <f ca="1">IF($D$1=2,OFFSET(History!$K$59,$B$52,0),I45*2)</f>
        <v>12</v>
      </c>
      <c r="I45" s="481">
        <f>CEILING(I49*0.0001+6,1)</f>
        <v>6</v>
      </c>
      <c r="J45" s="923" t="e">
        <f>AVERAGE(J42:J44)/AVERAGE(N47:N49)-1</f>
        <v>#DIV/0!</v>
      </c>
      <c r="K45" s="923" t="e">
        <f>AVERAGE(K42:K44)/AVERAGE(O47:O49)-1</f>
        <v>#DIV/0!</v>
      </c>
      <c r="L45" s="923" t="e">
        <f>AVERAGE(L42:L44)/AVERAGE(P47:P49)-1</f>
        <v>#DIV/0!</v>
      </c>
      <c r="M45" s="703"/>
      <c r="N45" s="923" t="e">
        <f>AVERAGE(N42:N44)/AVERAGE(N47:N49)-1</f>
        <v>#DIV/0!</v>
      </c>
      <c r="O45" s="923" t="e">
        <f>AVERAGE(O42:O44)/AVERAGE(O47:O49)-1</f>
        <v>#DIV/0!</v>
      </c>
      <c r="P45" s="923" t="e">
        <f>AVERAGE(P42:P44)/AVERAGE(P47:P49)-1</f>
        <v>#DIV/0!</v>
      </c>
      <c r="Q45" s="3"/>
      <c r="R45" s="3"/>
      <c r="S45" s="3"/>
      <c r="U45" s="2"/>
      <c r="V45" s="2"/>
      <c r="W45" s="8"/>
      <c r="AC45" s="23"/>
      <c r="AD45" s="23"/>
      <c r="AE45" s="23"/>
      <c r="AH45" s="1082" t="str">
        <f>Lang!$A$75</f>
        <v>Web-site development</v>
      </c>
      <c r="AI45" s="1083"/>
      <c r="AJ45" s="5"/>
      <c r="AK45" s="6"/>
      <c r="AL45" s="6"/>
      <c r="AM45" s="7"/>
      <c r="AN45" s="5"/>
      <c r="AO45" s="6"/>
      <c r="AP45" s="6"/>
      <c r="AQ45" s="7"/>
    </row>
    <row r="46" spans="1:43" ht="12.9" customHeight="1" thickBot="1" x14ac:dyDescent="0.3">
      <c r="F46" s="1107" t="str">
        <f>Lang!$A$75</f>
        <v>Web-site development</v>
      </c>
      <c r="G46" s="1108"/>
      <c r="H46" s="429">
        <v>30</v>
      </c>
      <c r="I46" s="487"/>
      <c r="J46" s="1109" t="str">
        <f>Lang!$A$88</f>
        <v>Prices previous quarter</v>
      </c>
      <c r="K46" s="1110"/>
      <c r="L46" s="1111"/>
      <c r="N46" s="1109" t="str">
        <f>Lang!$A$89</f>
        <v>Average prices previous quarter</v>
      </c>
      <c r="O46" s="1110"/>
      <c r="P46" s="1111"/>
      <c r="Q46" s="3"/>
      <c r="R46" s="1112" t="str">
        <f>Lang!$A$90</f>
        <v>Deviation</v>
      </c>
      <c r="S46" s="1113"/>
      <c r="T46" s="69">
        <v>0</v>
      </c>
      <c r="U46" s="2"/>
      <c r="V46" s="1080" t="str">
        <f>IF(X46=4,"Taxes","")</f>
        <v/>
      </c>
      <c r="W46" s="1104"/>
      <c r="X46" s="634">
        <f>IF(X41=4,1,X41+1)</f>
        <v>3</v>
      </c>
      <c r="Y46" s="1114">
        <f>SUM(V47:X49)</f>
        <v>0</v>
      </c>
      <c r="AC46" s="23"/>
      <c r="AD46" s="23"/>
      <c r="AE46" s="23"/>
      <c r="AH46" s="1084"/>
      <c r="AI46" s="1085"/>
      <c r="AJ46" s="5"/>
      <c r="AK46" s="6"/>
      <c r="AL46" s="6"/>
      <c r="AM46" s="7"/>
      <c r="AN46" s="5"/>
      <c r="AO46" s="6"/>
      <c r="AP46" s="6"/>
      <c r="AQ46" s="7"/>
    </row>
    <row r="47" spans="1:43" ht="12.9" customHeight="1" x14ac:dyDescent="0.25">
      <c r="A47" s="1078" t="str">
        <f>Lang!$A$91</f>
        <v>Variable costs in price</v>
      </c>
      <c r="B47" s="1079"/>
      <c r="C47" s="1079"/>
      <c r="D47" s="1088"/>
      <c r="F47" s="1096" t="str">
        <f>Lang!$A$115</f>
        <v>Management budget</v>
      </c>
      <c r="G47" s="1097"/>
      <c r="H47" s="429">
        <v>70</v>
      </c>
      <c r="I47" s="457" t="e">
        <f ca="1">(C71-C70)*0.14/1000</f>
        <v>#VALUE!</v>
      </c>
      <c r="J47" s="415">
        <f>'91'!F19</f>
        <v>0</v>
      </c>
      <c r="K47" s="416">
        <f>'91'!H19</f>
        <v>0</v>
      </c>
      <c r="L47" s="417">
        <f>'91'!J19</f>
        <v>0</v>
      </c>
      <c r="N47" s="421" t="e">
        <f>AVERAGEIF('94'!F43:M43,"&gt;0")</f>
        <v>#DIV/0!</v>
      </c>
      <c r="O47" s="422" t="e">
        <f>AVERAGEIF('94'!F46:M46,"&gt;0")</f>
        <v>#DIV/0!</v>
      </c>
      <c r="P47" s="423" t="e">
        <f>AVERAGEIF('94'!F49:M49,"&gt;0")</f>
        <v>#DIV/0!</v>
      </c>
      <c r="R47" s="908">
        <f>IF('92'!U17&gt;0,'102'!U17/'92'!U17-1-N2,0)</f>
        <v>0</v>
      </c>
      <c r="S47" s="909">
        <f>IF('92'!W17&gt;0,'102'!W17/'92'!W17-1-O2,0)</f>
        <v>0</v>
      </c>
      <c r="T47" s="910">
        <f>IF('92'!Y17&gt;0,'102'!Y17/'92'!Y17-1-P2,0)</f>
        <v>0</v>
      </c>
      <c r="U47" s="2"/>
      <c r="V47" s="638">
        <f>'102'!$U$17</f>
        <v>0</v>
      </c>
      <c r="W47" s="639">
        <f>'102'!$W$17</f>
        <v>0</v>
      </c>
      <c r="X47" s="640">
        <f>'102'!$Y$17</f>
        <v>0</v>
      </c>
      <c r="Y47" s="1114"/>
      <c r="AH47" s="1084"/>
      <c r="AI47" s="1085"/>
      <c r="AJ47" s="5"/>
      <c r="AK47" s="6"/>
      <c r="AL47" s="6"/>
      <c r="AM47" s="7"/>
      <c r="AN47" s="5"/>
      <c r="AO47" s="6"/>
      <c r="AP47" s="6"/>
      <c r="AQ47" s="7"/>
    </row>
    <row r="48" spans="1:43" ht="12.9" customHeight="1" thickBot="1" x14ac:dyDescent="0.3">
      <c r="A48" s="884" t="str">
        <f>Lang!$A$7</f>
        <v>Europe</v>
      </c>
      <c r="B48" s="449" t="e">
        <f ca="1">AO6/(B2*(1+'92'!U$8/'92'!U$6))/J42</f>
        <v>#VALUE!</v>
      </c>
      <c r="C48" s="449" t="e">
        <f ca="1">AP6/(C2*(1+'92'!W$8/'92'!W$6))/K42</f>
        <v>#VALUE!</v>
      </c>
      <c r="D48" s="450" t="e">
        <f ca="1">AQ6/(D2*(1+'92'!Y$8/'92'!Y$6))/L42</f>
        <v>#VALUE!</v>
      </c>
      <c r="E48" s="448" t="e">
        <f ca="1">E49+E50</f>
        <v>#VALUE!</v>
      </c>
      <c r="F48" s="1096" t="str">
        <f>Lang!$A$92</f>
        <v>Insurance plan</v>
      </c>
      <c r="G48" s="1097"/>
      <c r="H48" s="392">
        <f ca="1">IF($D$1=2,OFFSET(History!$O$33,$B$52,0),IF(OFFSET(Config!D20,B52,)&gt;('93'!R12+'93'!L18)*0.005,4,0))</f>
        <v>0</v>
      </c>
      <c r="I48" s="483"/>
      <c r="J48" s="415">
        <f>'91'!F20</f>
        <v>0</v>
      </c>
      <c r="K48" s="416">
        <f>'91'!H20</f>
        <v>0</v>
      </c>
      <c r="L48" s="417">
        <f>'91'!J20</f>
        <v>0</v>
      </c>
      <c r="N48" s="421" t="e">
        <f>AVERAGEIF('94'!F44:M44,"&gt;0")</f>
        <v>#DIV/0!</v>
      </c>
      <c r="O48" s="422" t="e">
        <f>AVERAGEIF('94'!F47:M47,"&gt;0")</f>
        <v>#DIV/0!</v>
      </c>
      <c r="P48" s="423" t="e">
        <f>AVERAGEIF('94'!F50:M50,"&gt;0")</f>
        <v>#DIV/0!</v>
      </c>
      <c r="R48" s="908">
        <f>IF('92'!U18&gt;0,'102'!U18/'92'!U18-1-N3,0)</f>
        <v>0</v>
      </c>
      <c r="S48" s="909">
        <f>IF('92'!W18&gt;0,'102'!W18/'92'!W18-1-O3,0)</f>
        <v>0</v>
      </c>
      <c r="T48" s="910">
        <f>IF('92'!Y18&gt;0,'102'!Y18/'92'!Y18-1-P3,0)</f>
        <v>0</v>
      </c>
      <c r="U48" s="2"/>
      <c r="V48" s="638">
        <f>'102'!$U$18</f>
        <v>0</v>
      </c>
      <c r="W48" s="639">
        <f>'102'!$W$18</f>
        <v>0</v>
      </c>
      <c r="X48" s="640">
        <f>'102'!$Y$18</f>
        <v>0</v>
      </c>
      <c r="Y48" s="1114"/>
      <c r="AB48" s="23"/>
      <c r="AC48" s="23"/>
      <c r="AD48" s="23"/>
      <c r="AE48" s="23"/>
      <c r="AH48" s="1086"/>
      <c r="AI48" s="1087"/>
      <c r="AJ48" s="9">
        <f>C62</f>
        <v>30000</v>
      </c>
      <c r="AK48" s="10"/>
      <c r="AL48" s="10"/>
      <c r="AM48" s="11"/>
      <c r="AN48" s="9"/>
      <c r="AO48" s="10"/>
      <c r="AP48" s="10"/>
      <c r="AQ48" s="11"/>
    </row>
    <row r="49" spans="1:43" ht="12.9" customHeight="1" thickBot="1" x14ac:dyDescent="0.3">
      <c r="A49" s="884" t="str">
        <f>Lang!$A$9</f>
        <v>Nafta</v>
      </c>
      <c r="B49" s="449" t="e">
        <f ca="1">AO7/(B3*(1+'92'!U$8/'92'!U$6))/J43</f>
        <v>#VALUE!</v>
      </c>
      <c r="C49" s="449" t="e">
        <f ca="1">AP7/(C3*(1+'92'!W$8/'92'!W$6))/K43</f>
        <v>#VALUE!</v>
      </c>
      <c r="D49" s="450" t="e">
        <f ca="1">AQ7/(D3*(1+'92'!Y$8/'92'!Y$6))/L43</f>
        <v>#VALUE!</v>
      </c>
      <c r="E49" s="448" t="e">
        <f ca="1">AN1</f>
        <v>#VALUE!</v>
      </c>
      <c r="F49" s="1096" t="str">
        <f>Lang!$A$93</f>
        <v>Corporate activity</v>
      </c>
      <c r="G49" s="1097"/>
      <c r="H49" s="429">
        <v>1</v>
      </c>
      <c r="I49" s="457">
        <f>I50*0.85+A40*500</f>
        <v>0</v>
      </c>
      <c r="J49" s="418">
        <f>'91'!F21</f>
        <v>0</v>
      </c>
      <c r="K49" s="419">
        <f>'91'!H21</f>
        <v>0</v>
      </c>
      <c r="L49" s="420">
        <f>'91'!J21</f>
        <v>0</v>
      </c>
      <c r="N49" s="424" t="e">
        <f>AVERAGEIF('94'!F45:M45,"&gt;0")</f>
        <v>#DIV/0!</v>
      </c>
      <c r="O49" s="425" t="e">
        <f>AVERAGEIF('94'!F48:M48,"&gt;0")</f>
        <v>#DIV/0!</v>
      </c>
      <c r="P49" s="426" t="e">
        <f>AVERAGEIF('94'!F51:M51,"&gt;0")</f>
        <v>#DIV/0!</v>
      </c>
      <c r="R49" s="911">
        <f>IF('92'!U19&gt;0,'102'!U19/'92'!U19-1-N4,0)</f>
        <v>0</v>
      </c>
      <c r="S49" s="912">
        <f>IF('92'!W19&gt;0,'102'!W19/'92'!W19-1-O4,0)</f>
        <v>0</v>
      </c>
      <c r="T49" s="913">
        <f>IF('92'!Y19&gt;0,'102'!Y19/'92'!Y19-1-P4,0)</f>
        <v>0</v>
      </c>
      <c r="U49" s="2"/>
      <c r="V49" s="641">
        <f>'102'!$U$19</f>
        <v>0</v>
      </c>
      <c r="W49" s="642">
        <f>'102'!$W$19</f>
        <v>0</v>
      </c>
      <c r="X49" s="643">
        <f>'102'!$Y$19</f>
        <v>0</v>
      </c>
      <c r="Y49" s="1114"/>
      <c r="AC49" s="23"/>
      <c r="AD49" s="23"/>
      <c r="AE49" s="23"/>
      <c r="AH49" s="1082" t="str">
        <f>Lang!$A$106</f>
        <v>Personnel department</v>
      </c>
      <c r="AI49" s="1083"/>
      <c r="AJ49" s="5">
        <f>C63</f>
        <v>24000</v>
      </c>
      <c r="AK49" s="6"/>
      <c r="AL49" s="6"/>
      <c r="AM49" s="7"/>
      <c r="AN49" s="5"/>
      <c r="AO49" s="6"/>
      <c r="AP49" s="6"/>
      <c r="AQ49" s="7"/>
    </row>
    <row r="50" spans="1:43" ht="12.9" customHeight="1" thickBot="1" x14ac:dyDescent="0.3">
      <c r="A50" s="887" t="str">
        <f>Lang!$A$11</f>
        <v>Internet</v>
      </c>
      <c r="B50" s="451" t="e">
        <f ca="1">AO8/(B4*(1+'92'!U$8/'92'!U$6))/J44</f>
        <v>#VALUE!</v>
      </c>
      <c r="C50" s="451" t="e">
        <f ca="1">AP8/(C4*(1+'92'!W$8/'92'!W$6))/K44</f>
        <v>#VALUE!</v>
      </c>
      <c r="D50" s="452" t="e">
        <f ca="1">AQ8/(D4*(1+'92'!Y$8/'92'!Y$6))/L44</f>
        <v>#VALUE!</v>
      </c>
      <c r="E50" s="448" t="e">
        <f ca="1">AN1/AN5*AJ5</f>
        <v>#VALUE!</v>
      </c>
      <c r="F50" s="1098" t="str">
        <f>Lang!$A$84</f>
        <v>Market shares</v>
      </c>
      <c r="G50" s="1099"/>
      <c r="H50" s="550">
        <f>IF($D$1=2,'101'!P35,1)</f>
        <v>1</v>
      </c>
      <c r="I50" s="473">
        <f>'92'!G43</f>
        <v>0</v>
      </c>
      <c r="Q50" s="133"/>
      <c r="U50" s="2"/>
      <c r="AH50" s="1084"/>
      <c r="AI50" s="1085"/>
      <c r="AJ50" s="5"/>
      <c r="AK50" s="6"/>
      <c r="AL50" s="6"/>
      <c r="AM50" s="7"/>
      <c r="AN50" s="5"/>
      <c r="AO50" s="6"/>
      <c r="AP50" s="6"/>
      <c r="AQ50" s="7"/>
    </row>
    <row r="51" spans="1:43" ht="12.9" customHeight="1" x14ac:dyDescent="0.25">
      <c r="J51" s="23"/>
      <c r="K51" s="23"/>
      <c r="L51" s="23"/>
      <c r="R51" s="95"/>
      <c r="S51" s="95"/>
      <c r="T51" s="95"/>
      <c r="U51" s="2"/>
      <c r="V51" s="95"/>
      <c r="W51" s="95"/>
      <c r="X51" s="95"/>
      <c r="AH51" s="1084"/>
      <c r="AI51" s="1085"/>
      <c r="AJ51" s="5"/>
      <c r="AK51" s="6"/>
      <c r="AL51" s="6"/>
      <c r="AM51" s="7"/>
      <c r="AN51" s="5"/>
      <c r="AO51" s="6"/>
      <c r="AP51" s="6"/>
      <c r="AQ51" s="7"/>
    </row>
    <row r="52" spans="1:43" ht="12.9" customHeight="1" thickBot="1" x14ac:dyDescent="0.3">
      <c r="A52" s="3" t="str">
        <f>Lang!$A$94</f>
        <v>Decision</v>
      </c>
      <c r="B52" s="461">
        <v>5</v>
      </c>
      <c r="C52" s="3" t="str">
        <f>Lang!$A$95</f>
        <v>Quarter</v>
      </c>
      <c r="D52" s="462">
        <f>IF('91'!S9=4,1,'91'!S9+1)</f>
        <v>1</v>
      </c>
      <c r="I52" s="3"/>
      <c r="J52" s="32"/>
      <c r="K52" s="23"/>
      <c r="L52" s="23"/>
      <c r="R52" s="95"/>
      <c r="S52" s="95"/>
      <c r="T52" s="95"/>
      <c r="V52" s="95"/>
      <c r="W52" s="95"/>
      <c r="X52" s="95"/>
      <c r="AH52" s="1086"/>
      <c r="AI52" s="1087"/>
      <c r="AJ52" s="9"/>
      <c r="AK52" s="10"/>
      <c r="AL52" s="10"/>
      <c r="AM52" s="11"/>
      <c r="AN52" s="9"/>
      <c r="AO52" s="10"/>
      <c r="AP52" s="10"/>
      <c r="AQ52" s="11"/>
    </row>
    <row r="53" spans="1:43" ht="12.9" customHeight="1" x14ac:dyDescent="0.25">
      <c r="E53" s="151"/>
      <c r="J53" s="23"/>
      <c r="K53" s="23"/>
      <c r="L53" s="23"/>
      <c r="M53" s="3"/>
      <c r="Q53" s="3"/>
      <c r="R53" s="95"/>
      <c r="S53" s="95"/>
      <c r="T53" s="95"/>
      <c r="V53" s="95"/>
      <c r="W53" s="95"/>
      <c r="X53" s="95"/>
      <c r="AH53" s="1082" t="str">
        <f>Lang!$A$37</f>
        <v>Maintenance hours</v>
      </c>
      <c r="AI53" s="1083"/>
      <c r="AJ53" s="5">
        <f ca="1">C64</f>
        <v>8575</v>
      </c>
      <c r="AK53" s="6"/>
      <c r="AL53" s="6"/>
      <c r="AM53" s="7"/>
      <c r="AN53" s="5"/>
      <c r="AO53" s="6"/>
      <c r="AP53" s="6"/>
      <c r="AQ53" s="7"/>
    </row>
    <row r="54" spans="1:43" ht="12.9" customHeight="1" x14ac:dyDescent="0.25">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84"/>
      <c r="AI54" s="1085"/>
      <c r="AJ54" s="5"/>
      <c r="AK54" s="6"/>
      <c r="AL54" s="6"/>
      <c r="AM54" s="7"/>
      <c r="AN54" s="5"/>
      <c r="AO54" s="6"/>
      <c r="AP54" s="6"/>
      <c r="AQ54" s="7"/>
    </row>
    <row r="55" spans="1:43" ht="12.9" customHeight="1" x14ac:dyDescent="0.25">
      <c r="A55" s="21" t="str">
        <f>Lang!$A$38</f>
        <v>Advertising</v>
      </c>
      <c r="B55" s="20"/>
      <c r="C55" s="19">
        <f>SUM(A38:D40)*1000</f>
        <v>106000</v>
      </c>
      <c r="D55" s="504">
        <f>'103'!F8</f>
        <v>0</v>
      </c>
      <c r="E55" s="3"/>
      <c r="F55" s="20" t="str">
        <f>Lang!$A$100</f>
        <v>Orders revenue</v>
      </c>
      <c r="H55" s="22" t="e">
        <f ca="1">J12*J42+J13*J43+J14*J44+K12*K42+K13*K43+K14*K44+L12*L42+L13*L43+L14*L44</f>
        <v>#VALUE!</v>
      </c>
      <c r="I55" s="151" t="e">
        <f ca="1">H56-H55</f>
        <v>#VALUE!</v>
      </c>
      <c r="K55" s="501" t="str">
        <f>Lang!$A$153</f>
        <v>Non-current assets</v>
      </c>
      <c r="L55" s="501"/>
      <c r="M55" s="20"/>
      <c r="N55" s="655"/>
      <c r="O55" s="504"/>
      <c r="P55" s="149" t="str">
        <f>Lang!$A$101</f>
        <v>Operating activities</v>
      </c>
      <c r="Q55" s="3"/>
      <c r="R55" s="3"/>
      <c r="S55" s="3"/>
      <c r="V55" s="907"/>
      <c r="W55" s="907"/>
      <c r="X55" s="907"/>
      <c r="AH55" s="1084"/>
      <c r="AI55" s="1085"/>
      <c r="AJ55" s="5"/>
      <c r="AK55" s="6"/>
      <c r="AL55" s="6"/>
      <c r="AM55" s="7"/>
      <c r="AN55" s="5"/>
      <c r="AO55" s="6"/>
      <c r="AP55" s="6"/>
      <c r="AQ55" s="7"/>
    </row>
    <row r="56" spans="1:43" ht="12.9" customHeight="1" thickBot="1" x14ac:dyDescent="0.3">
      <c r="A56" s="21" t="str">
        <f>Lang!$A$47</f>
        <v>Internet distributor</v>
      </c>
      <c r="B56" s="20"/>
      <c r="C56" s="19" t="e">
        <f ca="1">(J19*J44+K19*K44+L19*L44)*D30+C30*1000</f>
        <v>#VALUE!</v>
      </c>
      <c r="D56" s="504">
        <f>'103'!F9</f>
        <v>0</v>
      </c>
      <c r="E56" s="3"/>
      <c r="F56" s="20" t="str">
        <f>Lang!$A$102</f>
        <v>Sales revenue</v>
      </c>
      <c r="H56" s="19" t="e">
        <f ca="1">(J17*J42+K17*K42+L17*L42+J18*J43+K18*K43+L18*L43+J19*J44+K19*K44+L19*L44)+E17</f>
        <v>#VALUE!</v>
      </c>
      <c r="I56" s="504">
        <f>'103'!L8</f>
        <v>0</v>
      </c>
      <c r="K56" s="3" t="str">
        <f>Lang!$A$238</f>
        <v>Land</v>
      </c>
      <c r="L56" s="2"/>
      <c r="M56" s="19">
        <f>'93'!R9</f>
        <v>0</v>
      </c>
      <c r="N56" s="504">
        <f>'103'!R9</f>
        <v>0</v>
      </c>
      <c r="O56" s="655"/>
      <c r="P56" s="3" t="str">
        <f>Lang!$A$249</f>
        <v>Trading receipts</v>
      </c>
      <c r="Q56" s="3"/>
      <c r="R56" s="19" t="e">
        <f ca="1">(J17*J42+K17*K42+L17*L42)*0.34+('91'!F19*'92'!U22+'91'!H19*'92'!W22+'91'!J19*'92'!Y22)*0.66+('91'!F20*'92'!U23+'91'!H20*'92'!W23+'91'!J20*'92'!Y23)+(J19*J44+K19*K44+L19*L44)</f>
        <v>#VALUE!</v>
      </c>
      <c r="S56" s="504">
        <f>'103'!X9</f>
        <v>0</v>
      </c>
      <c r="V56" s="907"/>
      <c r="W56" s="907"/>
      <c r="X56" s="907"/>
      <c r="AH56" s="1086"/>
      <c r="AI56" s="1087"/>
      <c r="AJ56" s="9"/>
      <c r="AK56" s="10"/>
      <c r="AL56" s="10"/>
      <c r="AM56" s="11"/>
      <c r="AN56" s="9"/>
      <c r="AO56" s="10"/>
      <c r="AP56" s="10"/>
      <c r="AQ56" s="11"/>
    </row>
    <row r="57" spans="1:43" ht="12.9" customHeight="1" x14ac:dyDescent="0.25">
      <c r="A57" s="21" t="str">
        <f>Lang!$A$54</f>
        <v>Internet service provider</v>
      </c>
      <c r="B57" s="20"/>
      <c r="C57" s="19" t="e">
        <f ca="1">(J19*J44+K19*K44+L19*L44)*0.03+'92'!G42*1000</f>
        <v>#VALUE!</v>
      </c>
      <c r="D57" s="504">
        <f>'103'!F10</f>
        <v>0</v>
      </c>
      <c r="E57" s="150"/>
      <c r="F57" s="20"/>
      <c r="H57" s="22"/>
      <c r="I57" s="504"/>
      <c r="J57" s="23"/>
      <c r="K57" s="20" t="str">
        <f>Lang!$A$239</f>
        <v>Buildings</v>
      </c>
      <c r="L57" s="20"/>
      <c r="M57" s="19">
        <f>'93'!R10+D13*500</f>
        <v>0</v>
      </c>
      <c r="N57" s="504">
        <f>'103'!R10</f>
        <v>0</v>
      </c>
      <c r="O57" s="655"/>
      <c r="P57" s="3" t="str">
        <f>Lang!$A$234</f>
        <v>Insurance receipts</v>
      </c>
      <c r="Q57" s="3"/>
      <c r="R57" s="19">
        <f ca="1">H70</f>
        <v>0</v>
      </c>
      <c r="S57" s="504">
        <f>'103'!X10</f>
        <v>0</v>
      </c>
      <c r="V57" s="907"/>
      <c r="W57" s="907"/>
      <c r="X57" s="907"/>
      <c r="AH57" s="1082" t="str">
        <f>Lang!$A$107</f>
        <v xml:space="preserve">Purchasing and warehousing </v>
      </c>
      <c r="AI57" s="1083"/>
      <c r="AJ57" s="5" t="e">
        <f ca="1">C65</f>
        <v>#VALUE!</v>
      </c>
      <c r="AK57" s="6"/>
      <c r="AL57" s="6"/>
      <c r="AM57" s="7"/>
      <c r="AN57" s="5"/>
      <c r="AO57" s="6"/>
      <c r="AP57" s="6"/>
      <c r="AQ57" s="7"/>
    </row>
    <row r="58" spans="1:43" ht="12.9" customHeight="1" x14ac:dyDescent="0.25">
      <c r="A58" s="379" t="str">
        <f>Lang!$A$58</f>
        <v>Agents and distributors</v>
      </c>
      <c r="B58" s="20"/>
      <c r="C58" s="19" t="e">
        <f ca="1">(J12*J42+K12*K42+L12*L42)*MAX('91'!W14/100,D28)+(J18*J43+K18*K43+L18*L43)*MAX('91'!W15/100,D29)+(E28*MAX('91'!T14,C28)+E29*MAX('91'!T15,C29))*1000+((B28+B29)-(E28+E29))*7500</f>
        <v>#VALUE!</v>
      </c>
      <c r="D58" s="504">
        <f>'103'!F11</f>
        <v>0</v>
      </c>
      <c r="E58" s="3"/>
      <c r="F58" s="20" t="str">
        <f>Lang!$A$229</f>
        <v>Opening inventory values</v>
      </c>
      <c r="H58" s="19">
        <f>'93'!L18</f>
        <v>0</v>
      </c>
      <c r="I58" s="504">
        <f>'103'!L10</f>
        <v>0</v>
      </c>
      <c r="K58" s="2" t="str">
        <f>Lang!$A$240</f>
        <v>Machinery</v>
      </c>
      <c r="L58" s="2"/>
      <c r="M58" s="19">
        <f>IF('92'!G21&gt;0,('93'!R11+H8*300000-'93'!R11/'92'!G21*H9)*0.975,0)</f>
        <v>0</v>
      </c>
      <c r="N58" s="504">
        <f>'103'!R11</f>
        <v>0</v>
      </c>
      <c r="O58" s="655"/>
      <c r="P58" s="3" t="str">
        <f>Lang!$A$250</f>
        <v>Trading payments</v>
      </c>
      <c r="Q58" s="3"/>
      <c r="R58" s="19" t="e">
        <f ca="1">(C71+H59+H60+H63+H62+H61+H64+H65+'93'!R25)-M74</f>
        <v>#VALUE!</v>
      </c>
      <c r="S58" s="504">
        <f>'103'!X11</f>
        <v>0</v>
      </c>
      <c r="AH58" s="1084"/>
      <c r="AI58" s="1085"/>
      <c r="AJ58" s="5"/>
      <c r="AK58" s="6"/>
      <c r="AL58" s="6"/>
      <c r="AM58" s="7"/>
      <c r="AN58" s="5"/>
      <c r="AO58" s="6"/>
      <c r="AP58" s="6"/>
      <c r="AQ58" s="7"/>
    </row>
    <row r="59" spans="1:43" ht="12.9" customHeight="1" x14ac:dyDescent="0.25">
      <c r="A59" s="21" t="str">
        <f>Lang!$A$64</f>
        <v>Sales office</v>
      </c>
      <c r="B59" s="20"/>
      <c r="C59" s="19" t="e">
        <f ca="1">MAX(H55,H56)*0.01</f>
        <v>#VALUE!</v>
      </c>
      <c r="D59" s="504">
        <f>'103'!F12</f>
        <v>0</v>
      </c>
      <c r="E59" s="3"/>
      <c r="F59" s="8" t="str">
        <f>Lang!$A$230</f>
        <v>Components purchased</v>
      </c>
      <c r="G59" s="8"/>
      <c r="H59" s="19">
        <f ca="1">B8*ROUND(B10,0)+C8*ROUND(C10,0)+D8*ROUND(D10,0)</f>
        <v>0</v>
      </c>
      <c r="I59" s="504">
        <f>'103'!L11</f>
        <v>0</v>
      </c>
      <c r="J59" s="8"/>
      <c r="K59" s="20" t="str">
        <f>Lang!$A$103</f>
        <v>Property, plant and equipment</v>
      </c>
      <c r="L59" s="20"/>
      <c r="M59" s="19">
        <f>SUM(M56:M58)</f>
        <v>0</v>
      </c>
      <c r="N59" s="504">
        <f>'103'!R12</f>
        <v>0</v>
      </c>
      <c r="O59" s="655"/>
      <c r="P59" s="3" t="str">
        <f>Lang!$A$251</f>
        <v>Tax paid</v>
      </c>
      <c r="Q59" s="3"/>
      <c r="R59" s="19">
        <f>IF(D52=2,'93'!R24,0)</f>
        <v>0</v>
      </c>
      <c r="S59" s="504">
        <f>'103'!X12</f>
        <v>0</v>
      </c>
      <c r="V59" s="617"/>
      <c r="W59" s="617"/>
      <c r="X59" s="617"/>
      <c r="AH59" s="1084"/>
      <c r="AI59" s="1085"/>
      <c r="AJ59" s="5"/>
      <c r="AK59" s="6"/>
      <c r="AL59" s="6"/>
      <c r="AM59" s="7"/>
      <c r="AN59" s="5"/>
      <c r="AO59" s="6"/>
      <c r="AP59" s="6"/>
      <c r="AQ59" s="7"/>
    </row>
    <row r="60" spans="1:43" ht="12.9" customHeight="1" thickBot="1" x14ac:dyDescent="0.3">
      <c r="A60" s="21" t="str">
        <f>Lang!$A$223</f>
        <v>Guarantee servicing</v>
      </c>
      <c r="B60" s="20"/>
      <c r="C60" s="19">
        <f ca="1">B6*60+C6*150+D6*250</f>
        <v>8964</v>
      </c>
      <c r="D60" s="504">
        <f>'103'!F13</f>
        <v>0</v>
      </c>
      <c r="F60" s="2" t="str">
        <f>Lang!$A$137</f>
        <v>Materials purchased</v>
      </c>
      <c r="H60" s="19" t="e">
        <f ca="1">(H32*G33*1.5+IF(H31&lt;0,-H31,0)*G33*1.1+H33*G33+H34*G34+H35*G35)*H39/1000</f>
        <v>#VALUE!</v>
      </c>
      <c r="I60" s="504">
        <f>'103'!L12</f>
        <v>0</v>
      </c>
      <c r="L60" s="2"/>
      <c r="M60" s="3"/>
      <c r="N60" s="504"/>
      <c r="O60" s="655"/>
      <c r="P60" s="3" t="str">
        <f>Lang!$A$104</f>
        <v>Net cash flow from operations</v>
      </c>
      <c r="Q60" s="3"/>
      <c r="R60" s="19" t="e">
        <f ca="1">R56+R57-R58-R59</f>
        <v>#VALUE!</v>
      </c>
      <c r="S60" s="504">
        <f>'103'!X13</f>
        <v>0</v>
      </c>
      <c r="V60" s="617"/>
      <c r="W60" s="617"/>
      <c r="X60" s="617"/>
      <c r="AH60" s="1086"/>
      <c r="AI60" s="1087"/>
      <c r="AJ60" s="9"/>
      <c r="AK60" s="10"/>
      <c r="AL60" s="10"/>
      <c r="AM60" s="11"/>
      <c r="AN60" s="9"/>
      <c r="AO60" s="10"/>
      <c r="AP60" s="10"/>
      <c r="AQ60" s="11"/>
    </row>
    <row r="61" spans="1:43" ht="12.9" customHeight="1" x14ac:dyDescent="0.25">
      <c r="A61" s="21" t="str">
        <f>Lang!$A$294</f>
        <v>Product development</v>
      </c>
      <c r="B61" s="20"/>
      <c r="C61" s="19">
        <f ca="1">SUM(B19:D19)*1000</f>
        <v>52000</v>
      </c>
      <c r="D61" s="504">
        <f>'103'!F14</f>
        <v>0</v>
      </c>
      <c r="E61" s="3"/>
      <c r="F61" s="20" t="str">
        <f>Lang!$A$149</f>
        <v>Machine running costs</v>
      </c>
      <c r="H61" s="19" t="e">
        <f ca="1">8*H2+3500*H7+IF(H7=0,0,H11*12500)+SUM(B2:D5)</f>
        <v>#VALUE!</v>
      </c>
      <c r="I61" s="504">
        <f>'103'!L13</f>
        <v>0</v>
      </c>
      <c r="K61" s="365" t="str">
        <f>Lang!$A$113</f>
        <v>Current assets</v>
      </c>
      <c r="L61" s="2"/>
      <c r="M61" s="3"/>
      <c r="N61" s="504"/>
      <c r="Q61" s="3"/>
      <c r="R61" s="3"/>
      <c r="S61" s="504"/>
      <c r="V61" s="617"/>
      <c r="W61" s="617"/>
      <c r="X61" s="617"/>
      <c r="AH61" s="1082" t="str">
        <f>Lang!$A$108</f>
        <v>Business intelligence</v>
      </c>
      <c r="AI61" s="1083"/>
      <c r="AJ61" s="5">
        <f>C66</f>
        <v>12500</v>
      </c>
      <c r="AK61" s="6"/>
      <c r="AL61" s="6"/>
      <c r="AM61" s="7"/>
      <c r="AN61" s="5"/>
      <c r="AO61" s="6"/>
      <c r="AP61" s="6"/>
      <c r="AQ61" s="7"/>
    </row>
    <row r="62" spans="1:43" ht="12.9" customHeight="1" x14ac:dyDescent="0.25">
      <c r="A62" s="21" t="str">
        <f>Lang!$A$75</f>
        <v>Web-site development</v>
      </c>
      <c r="B62" s="20"/>
      <c r="C62" s="19">
        <f>H46*1000</f>
        <v>30000</v>
      </c>
      <c r="D62" s="504">
        <f>'103'!F15</f>
        <v>0</v>
      </c>
      <c r="E62" s="3"/>
      <c r="F62" s="20" t="str">
        <f>Lang!$A$299</f>
        <v>Machinists wages</v>
      </c>
      <c r="H62" s="19">
        <f>IF(H2&lt;(H24+H25)*360/4,(H24+H25)*360*H27,IF(H2&gt;H4,H27*H5+H27*1.5*(H4-H5)+H27*2*(H2-H4),IF(H2&gt;H5,H27*H5+H27*1.5*(H2-H5),H27*H2))*4)*IF(H11=2,4/3,IF(H11=3,5/3,1))</f>
        <v>0</v>
      </c>
      <c r="I62" s="504">
        <f>'103'!L14</f>
        <v>0</v>
      </c>
      <c r="K62" s="2" t="str">
        <f>Lang!$A$241</f>
        <v>Product inventories</v>
      </c>
      <c r="L62" s="2"/>
      <c r="M62" s="19" t="e">
        <f ca="1">(SUMIF(J37:J39,"&gt;0")*1*(1+B22)+SUMIF(K37:K39,"&gt;0")*2*(1+C22)+SUMIF(L37:L39,"&gt;0")*3*(1+D22))*MIN(G33:G35)/1000*H39*0.9+(SUMIF(J37:J39,"&gt;0")*B20+SUMIF(K37:K39,"&gt;0")*C20+SUMIF(L37:L39,"&gt;0")*D20)/60*(H63/IF(H15&gt;0,H15,1))+(SUMIF(J37:J39,"&gt;0")*60+SUMIF(K37:K39,"&gt;0")*75+SUMIF(L37:L39,"&gt;0")*120)/60*(H62/IF(H2&lt;(H24+H25)*360/4,(H24+H25)*360/4,IF(H2&gt;0,H2,1)))</f>
        <v>#VALUE!</v>
      </c>
      <c r="N62" s="504">
        <f>'103'!R15</f>
        <v>0</v>
      </c>
      <c r="O62" s="8"/>
      <c r="P62" s="149" t="str">
        <f>Lang!$A$105</f>
        <v>Investing activities</v>
      </c>
      <c r="Q62" s="3"/>
      <c r="R62" s="3"/>
      <c r="S62" s="504"/>
      <c r="AH62" s="1084"/>
      <c r="AI62" s="1085"/>
      <c r="AJ62" s="5"/>
      <c r="AK62" s="6"/>
      <c r="AL62" s="6"/>
      <c r="AM62" s="7"/>
      <c r="AN62" s="5"/>
      <c r="AO62" s="6"/>
      <c r="AP62" s="6"/>
      <c r="AQ62" s="7"/>
    </row>
    <row r="63" spans="1:43" ht="12.9" customHeight="1" x14ac:dyDescent="0.25">
      <c r="A63" s="21" t="str">
        <f>Lang!$A$106</f>
        <v>Personnel department</v>
      </c>
      <c r="B63" s="20"/>
      <c r="C63" s="19">
        <f>H21*2000+H22*8500+H23*1000+I24*2000+IF(H25&gt;0,H25*1000)</f>
        <v>24000</v>
      </c>
      <c r="D63" s="504">
        <f>'103'!F16</f>
        <v>0</v>
      </c>
      <c r="E63" s="20"/>
      <c r="F63" s="20" t="str">
        <f>Lang!$A$298</f>
        <v>Assembly wages</v>
      </c>
      <c r="H63" s="19" t="e">
        <f ca="1">IF(H15&gt;H17,H26*H18+H26*1.5*(H17-H18)+H26*2*(H15-H17),IF(H15&gt;H18,H26*H18+H26*1.5*(H15-H18),H26*H15))+IF(I26&lt;I27,(I27-I26)*H20,0)</f>
        <v>#VALUE!</v>
      </c>
      <c r="I63" s="504">
        <f>'103'!L15</f>
        <v>0</v>
      </c>
      <c r="K63" s="8" t="str">
        <f>Lang!$A$242</f>
        <v>Component inventories</v>
      </c>
      <c r="L63" s="2"/>
      <c r="M63" s="19" t="e">
        <f ca="1">(B8*B10+C8*C10+D8*D10)+OFFSET(History!$M$85,$B$52,0)</f>
        <v>#VALUE!</v>
      </c>
      <c r="N63" s="504">
        <f>'103'!R16</f>
        <v>0</v>
      </c>
      <c r="O63" s="656"/>
      <c r="P63" s="3" t="str">
        <f>Lang!$A$252</f>
        <v>Interest received</v>
      </c>
      <c r="Q63" s="3"/>
      <c r="R63" s="19">
        <f>H73</f>
        <v>0</v>
      </c>
      <c r="S63" s="504">
        <f>'103'!X16</f>
        <v>0</v>
      </c>
      <c r="V63" s="95"/>
      <c r="W63" s="95"/>
      <c r="X63" s="95"/>
      <c r="AH63" s="1084"/>
      <c r="AI63" s="1085"/>
      <c r="AJ63" s="5"/>
      <c r="AK63" s="6"/>
      <c r="AL63" s="6"/>
      <c r="AM63" s="7"/>
      <c r="AN63" s="5"/>
      <c r="AO63" s="6"/>
      <c r="AP63" s="6"/>
      <c r="AQ63" s="7"/>
    </row>
    <row r="64" spans="1:43" ht="12.9" customHeight="1" thickBot="1" x14ac:dyDescent="0.3">
      <c r="A64" s="21" t="str">
        <f>Lang!$A$224</f>
        <v>Machine maintenance</v>
      </c>
      <c r="B64" s="20"/>
      <c r="C64" s="19">
        <f ca="1">85*H12*H7+IF(H6&gt;H12*H7,175*(H6-H12*H7),0)</f>
        <v>8575</v>
      </c>
      <c r="D64" s="549">
        <f>'103'!F17</f>
        <v>0</v>
      </c>
      <c r="E64" s="3"/>
      <c r="F64" s="20" t="str">
        <f>Lang!$A$150</f>
        <v>Quality control</v>
      </c>
      <c r="H64" s="19" t="e">
        <f ca="1">SUM(B2:D5)</f>
        <v>#VALUE!</v>
      </c>
      <c r="I64" s="504">
        <f>'103'!L16</f>
        <v>0</v>
      </c>
      <c r="J64" s="150"/>
      <c r="K64" s="2" t="str">
        <f>Lang!$A$243</f>
        <v>Materials inventory</v>
      </c>
      <c r="L64" s="2"/>
      <c r="M64" s="19" t="e">
        <f ca="1">(IF(H31&lt;0,0,H31)+H34+I34+H35)/1000*MIN(OFFSET(History!N46:P46,$B52,))*OFFSET(History!Q46,$B52,)*0.9</f>
        <v>#VALUE!</v>
      </c>
      <c r="N64" s="504">
        <f>'103'!R17</f>
        <v>0</v>
      </c>
      <c r="O64" s="657"/>
      <c r="P64" s="3" t="str">
        <f>Lang!$A$253</f>
        <v>Asset sales</v>
      </c>
      <c r="Q64" s="3"/>
      <c r="R64" s="19">
        <f>IF('92'!G21=0,0,'93'!R11/'92'!G21*H9)</f>
        <v>0</v>
      </c>
      <c r="S64" s="504">
        <f>'103'!X17</f>
        <v>0</v>
      </c>
      <c r="V64" s="95"/>
      <c r="W64" s="95"/>
      <c r="X64" s="95"/>
      <c r="AH64" s="1086"/>
      <c r="AI64" s="1087"/>
      <c r="AJ64" s="9"/>
      <c r="AK64" s="10"/>
      <c r="AL64" s="10"/>
      <c r="AM64" s="11"/>
      <c r="AN64" s="9"/>
      <c r="AO64" s="10"/>
      <c r="AP64" s="10"/>
      <c r="AQ64" s="11"/>
    </row>
    <row r="65" spans="1:43" ht="12.9" customHeight="1" x14ac:dyDescent="0.25">
      <c r="A65" s="379" t="str">
        <f>Lang!$A$107</f>
        <v xml:space="preserve">Purchasing and warehousing </v>
      </c>
      <c r="B65" s="2"/>
      <c r="C65" s="19" t="e">
        <f ca="1">7500+(SUMIF(J37:L37,"&gt;0")+SUM(J2:L2))*3.5/2+(SUMIF(J38:L38,"&gt;0")+SUM(J3:L3))*4*H39/2+(SUMIF(J39:L39,"&gt;0")+SUM(J4:L4))*3.5/2+IF((E7+E9)&lt;0,(E7+E9)*-3,0)</f>
        <v>#VALUE!</v>
      </c>
      <c r="D65" s="504">
        <f>'103'!F18</f>
        <v>0</v>
      </c>
      <c r="E65" s="3"/>
      <c r="F65" s="20" t="str">
        <f>Lang!$A$231</f>
        <v>Hired transport</v>
      </c>
      <c r="G65" s="20"/>
      <c r="H65" s="19" t="e">
        <f ca="1">(IF($D$1=1,E2,CEILING(E2,1))*CEILING('92'!M36/400,1)+IF($D$1=1,E3,CEILING(E3,1))*CEILING('92'!N36/400,1)+IF($D$1=1,E4,CEILING(E4,1))*CEILING('92'!O36/400,1))*650+IF($D$1=1,E3,CEILING(E3,1))*8000</f>
        <v>#VALUE!</v>
      </c>
      <c r="I65" s="504">
        <f>'103'!L17</f>
        <v>0</v>
      </c>
      <c r="K65" s="2" t="str">
        <f>Lang!$A$155</f>
        <v>Trade receivables</v>
      </c>
      <c r="L65" s="20"/>
      <c r="M65" s="19" t="e">
        <f ca="1">'93'!R18+H56-R56</f>
        <v>#VALUE!</v>
      </c>
      <c r="N65" s="504">
        <f>'103'!R18</f>
        <v>0</v>
      </c>
      <c r="O65" s="658"/>
      <c r="P65" s="8" t="str">
        <f>Lang!$A$254</f>
        <v>Assets purchased</v>
      </c>
      <c r="Q65" s="8"/>
      <c r="R65" s="19">
        <f>H8*300000+D13*500</f>
        <v>0</v>
      </c>
      <c r="S65" s="504">
        <f>'103'!X18</f>
        <v>0</v>
      </c>
      <c r="V65" s="95"/>
      <c r="W65" s="95"/>
      <c r="X65" s="95"/>
      <c r="AH65" s="1082" t="str">
        <f>Lang!$A$110</f>
        <v>Credit control</v>
      </c>
      <c r="AI65" s="1083"/>
      <c r="AJ65" s="5"/>
      <c r="AK65" s="6"/>
      <c r="AL65" s="6"/>
      <c r="AM65" s="7"/>
      <c r="AN65" s="5"/>
      <c r="AO65" s="6"/>
      <c r="AP65" s="6"/>
      <c r="AQ65" s="7"/>
    </row>
    <row r="66" spans="1:43" ht="12.9" customHeight="1" x14ac:dyDescent="0.25">
      <c r="A66" s="21" t="str">
        <f>Lang!$A$108</f>
        <v>Business intelligence</v>
      </c>
      <c r="B66" s="20"/>
      <c r="C66" s="19">
        <f>7500*H49+5000*H50</f>
        <v>12500</v>
      </c>
      <c r="D66" s="504">
        <f>'103'!F19</f>
        <v>0</v>
      </c>
      <c r="E66" s="150"/>
      <c r="F66" s="554" t="str">
        <f>Lang!$A$232</f>
        <v>Less closing inventory values</v>
      </c>
      <c r="H66" s="19" t="e">
        <f ca="1">M62+M63+M64</f>
        <v>#VALUE!</v>
      </c>
      <c r="I66" s="504">
        <f>'103'!L18</f>
        <v>0</v>
      </c>
      <c r="K66" s="20" t="str">
        <f>Lang!$A$244</f>
        <v>Cash</v>
      </c>
      <c r="L66" s="20"/>
      <c r="M66" s="19" t="e">
        <f ca="1">IF(R84&gt;0,R84,0)</f>
        <v>#VALUE!</v>
      </c>
      <c r="N66" s="1089">
        <f>'103'!R19</f>
        <v>0</v>
      </c>
      <c r="O66" s="660" t="e">
        <f ca="1">(M66+M67-M75)/M80</f>
        <v>#VALUE!</v>
      </c>
      <c r="P66" s="3" t="str">
        <f>Lang!$A$109</f>
        <v>Net cash flow from investing</v>
      </c>
      <c r="Q66" s="3"/>
      <c r="R66" s="19">
        <f>R63+R64-R65</f>
        <v>0</v>
      </c>
      <c r="S66" s="504">
        <f>'103'!X19</f>
        <v>0</v>
      </c>
      <c r="AH66" s="1084"/>
      <c r="AI66" s="1085"/>
      <c r="AJ66" s="5"/>
      <c r="AK66" s="6"/>
      <c r="AL66" s="6"/>
      <c r="AM66" s="7"/>
      <c r="AN66" s="5"/>
      <c r="AO66" s="6" t="e">
        <f ca="1">J17</f>
        <v>#VALUE!</v>
      </c>
      <c r="AP66" s="6" t="e">
        <f t="shared" ref="AP66:AQ68" ca="1" si="12">K17</f>
        <v>#VALUE!</v>
      </c>
      <c r="AQ66" s="7" t="e">
        <f t="shared" ca="1" si="12"/>
        <v>#VALUE!</v>
      </c>
    </row>
    <row r="67" spans="1:43" ht="12.9" customHeight="1" x14ac:dyDescent="0.25">
      <c r="A67" s="21" t="str">
        <f>Lang!$A$110</f>
        <v>Credit control</v>
      </c>
      <c r="B67" s="20"/>
      <c r="C67" s="19" t="e">
        <f ca="1">SUM(J17:L19)</f>
        <v>#VALUE!</v>
      </c>
      <c r="D67" s="504">
        <f>'103'!F20</f>
        <v>0</v>
      </c>
      <c r="E67" s="3"/>
      <c r="F67" s="20" t="str">
        <f>Lang!$A$111</f>
        <v>Cost of sales</v>
      </c>
      <c r="H67" s="19" t="e">
        <f ca="1">SUM(H58:H65)-H66</f>
        <v>#VALUE!</v>
      </c>
      <c r="I67" s="504">
        <f>'103'!L19</f>
        <v>0</v>
      </c>
      <c r="K67" s="3" t="str">
        <f>Lang!$A$245</f>
        <v>Cash equivalents</v>
      </c>
      <c r="M67" s="19">
        <f>'93'!X32+H43*1000</f>
        <v>-500000</v>
      </c>
      <c r="N67" s="1089"/>
      <c r="O67" s="660">
        <f>H40/100</f>
        <v>0</v>
      </c>
      <c r="Q67" s="3"/>
      <c r="R67" s="3"/>
      <c r="S67" s="504"/>
      <c r="V67" s="617"/>
      <c r="W67" s="617"/>
      <c r="X67" s="617"/>
      <c r="AH67" s="1084"/>
      <c r="AI67" s="1085"/>
      <c r="AJ67" s="5"/>
      <c r="AK67" s="6"/>
      <c r="AL67" s="6"/>
      <c r="AM67" s="7"/>
      <c r="AN67" s="5"/>
      <c r="AO67" s="6" t="e">
        <f ca="1">J18</f>
        <v>#VALUE!</v>
      </c>
      <c r="AP67" s="6" t="e">
        <f t="shared" ca="1" si="12"/>
        <v>#VALUE!</v>
      </c>
      <c r="AQ67" s="7" t="e">
        <f t="shared" ca="1" si="12"/>
        <v>#VALUE!</v>
      </c>
    </row>
    <row r="68" spans="1:43" ht="12.9" customHeight="1" thickBot="1" x14ac:dyDescent="0.3">
      <c r="A68" s="21" t="str">
        <f>Lang!$A$225</f>
        <v>Insurance premiums</v>
      </c>
      <c r="B68" s="20"/>
      <c r="C68" s="19">
        <f ca="1">('93'!R12+'93'!L18)*(IF(H48=4,0.001,IF(H48=3,0.002,IF(H48=2,0.0035,IF(H48=1,0.006,0)))))</f>
        <v>0</v>
      </c>
      <c r="D68" s="504">
        <f>'103'!F21</f>
        <v>0</v>
      </c>
      <c r="E68" s="3"/>
      <c r="F68" s="73" t="str">
        <f>Lang!$A$112</f>
        <v>Gross profit</v>
      </c>
      <c r="G68" s="73"/>
      <c r="H68" s="331" t="e">
        <f ca="1">H56-H67</f>
        <v>#VALUE!</v>
      </c>
      <c r="I68" s="652">
        <f>'103'!L20</f>
        <v>0</v>
      </c>
      <c r="K68" s="3" t="str">
        <f>Lang!$A$113</f>
        <v>Current assets</v>
      </c>
      <c r="L68" s="20"/>
      <c r="M68" s="19" t="e">
        <f ca="1">SUM(M62:M67)</f>
        <v>#VALUE!</v>
      </c>
      <c r="N68" s="504">
        <f>'103'!R20</f>
        <v>0</v>
      </c>
      <c r="O68" s="658"/>
      <c r="P68" s="149" t="str">
        <f>Lang!$A$114</f>
        <v>Financing activities</v>
      </c>
      <c r="Q68" s="3"/>
      <c r="R68" s="3"/>
      <c r="S68" s="504"/>
      <c r="V68" s="617"/>
      <c r="W68" s="617"/>
      <c r="X68" s="617"/>
      <c r="AH68" s="1086"/>
      <c r="AI68" s="1087"/>
      <c r="AJ68" s="9"/>
      <c r="AK68" s="10"/>
      <c r="AL68" s="10"/>
      <c r="AM68" s="11"/>
      <c r="AN68" s="9"/>
      <c r="AO68" s="10" t="e">
        <f ca="1">J19</f>
        <v>#VALUE!</v>
      </c>
      <c r="AP68" s="10" t="e">
        <f t="shared" ca="1" si="12"/>
        <v>#VALUE!</v>
      </c>
      <c r="AQ68" s="11" t="e">
        <f t="shared" ca="1" si="12"/>
        <v>#VALUE!</v>
      </c>
    </row>
    <row r="69" spans="1:43" ht="12.9" customHeight="1" x14ac:dyDescent="0.25">
      <c r="A69" s="21" t="str">
        <f>Lang!$A$115</f>
        <v>Management budget</v>
      </c>
      <c r="B69" s="20"/>
      <c r="C69" s="19">
        <f>H47*1000</f>
        <v>70000</v>
      </c>
      <c r="D69" s="504">
        <f>'103'!F22</f>
        <v>0</v>
      </c>
      <c r="E69" s="3"/>
      <c r="F69" s="20" t="str">
        <f>Lang!$A$233</f>
        <v>Administrative expenses</v>
      </c>
      <c r="H69" s="19" t="e">
        <f ca="1">C71</f>
        <v>#VALUE!</v>
      </c>
      <c r="I69" s="504">
        <f>'103'!L21</f>
        <v>0</v>
      </c>
      <c r="J69" s="150"/>
      <c r="O69" s="658"/>
      <c r="P69" s="2" t="str">
        <f>Lang!$A$255</f>
        <v>Shares issued</v>
      </c>
      <c r="R69" s="19">
        <f ca="1">IF(H41&gt;0,H38*H41*10,0)</f>
        <v>0</v>
      </c>
      <c r="S69" s="504">
        <f>'103'!X22</f>
        <v>0</v>
      </c>
      <c r="V69" s="617"/>
      <c r="W69" s="617"/>
      <c r="X69" s="617"/>
      <c r="AH69" s="1082" t="str">
        <f>Lang!$A$116</f>
        <v>Insurance</v>
      </c>
      <c r="AI69" s="1083"/>
      <c r="AJ69" s="5">
        <f ca="1">C68</f>
        <v>0</v>
      </c>
      <c r="AK69" s="6"/>
      <c r="AL69" s="6"/>
      <c r="AM69" s="7"/>
      <c r="AN69" s="5"/>
      <c r="AO69" s="6"/>
      <c r="AP69" s="6"/>
      <c r="AQ69" s="7"/>
    </row>
    <row r="70" spans="1:43" ht="12.9" customHeight="1" x14ac:dyDescent="0.25">
      <c r="A70" s="379" t="str">
        <f>Lang!$A$128</f>
        <v>Other costs</v>
      </c>
      <c r="B70" s="20"/>
      <c r="C70" s="19" t="e">
        <f ca="1">H9*60000+(C13-D13)*20+A13*40</f>
        <v>#VALUE!</v>
      </c>
      <c r="D70" s="504">
        <f>'103'!F23</f>
        <v>0</v>
      </c>
      <c r="E70" s="3"/>
      <c r="F70" s="20" t="str">
        <f>Lang!$A$234</f>
        <v>Insurance receipts</v>
      </c>
      <c r="H70" s="19">
        <f ca="1">IF(C80-C81&gt;0,C80-C81,0)</f>
        <v>0</v>
      </c>
      <c r="I70" s="504">
        <f>'103'!L22</f>
        <v>0</v>
      </c>
      <c r="J70" s="150"/>
      <c r="K70" s="3" t="str">
        <f>Lang!$A$117</f>
        <v>Total assets</v>
      </c>
      <c r="L70" s="2"/>
      <c r="M70" s="19" t="e">
        <f ca="1">M59+M68</f>
        <v>#VALUE!</v>
      </c>
      <c r="N70" s="504">
        <f>'103'!R21</f>
        <v>0</v>
      </c>
      <c r="P70" s="2" t="str">
        <f>Lang!$A$256</f>
        <v>Shares repurchased</v>
      </c>
      <c r="R70" s="19">
        <f ca="1">IF(H41&lt;0,-H38*H41*10,0)</f>
        <v>0</v>
      </c>
      <c r="S70" s="504">
        <f>'103'!X23</f>
        <v>0</v>
      </c>
      <c r="AH70" s="1084"/>
      <c r="AI70" s="1085"/>
      <c r="AJ70" s="5"/>
      <c r="AK70" s="6"/>
      <c r="AL70" s="6"/>
      <c r="AM70" s="7"/>
      <c r="AN70" s="5"/>
      <c r="AO70" s="6"/>
      <c r="AP70" s="6"/>
      <c r="AQ70" s="7"/>
    </row>
    <row r="71" spans="1:43" ht="12.9" customHeight="1" x14ac:dyDescent="0.25">
      <c r="A71" s="21" t="str">
        <f>Lang!$A$118</f>
        <v>Total administrative expenses</v>
      </c>
      <c r="B71" s="501"/>
      <c r="C71" s="19" t="e">
        <f ca="1">SUM(C55:C70)</f>
        <v>#VALUE!</v>
      </c>
      <c r="D71" s="504">
        <f>'103'!F24</f>
        <v>0</v>
      </c>
      <c r="E71" s="3"/>
      <c r="F71" s="20" t="str">
        <f>Lang!$A$151</f>
        <v>Depreciation</v>
      </c>
      <c r="H71" s="19">
        <f>M58/0.975*0.025</f>
        <v>0</v>
      </c>
      <c r="I71" s="504">
        <f>'103'!L23</f>
        <v>0</v>
      </c>
      <c r="J71" s="150"/>
      <c r="K71" s="20"/>
      <c r="L71" s="20"/>
      <c r="M71" s="661"/>
      <c r="N71" s="504"/>
      <c r="P71" s="2" t="str">
        <f>Lang!$A$133</f>
        <v>Dividends paid</v>
      </c>
      <c r="R71" s="19">
        <f>H80</f>
        <v>0</v>
      </c>
      <c r="S71" s="504">
        <f>'103'!X24</f>
        <v>0</v>
      </c>
      <c r="AH71" s="1084"/>
      <c r="AI71" s="1085"/>
      <c r="AJ71" s="5"/>
      <c r="AK71" s="6"/>
      <c r="AL71" s="6"/>
      <c r="AM71" s="7"/>
      <c r="AN71" s="5"/>
      <c r="AO71" s="6"/>
      <c r="AP71" s="6"/>
      <c r="AQ71" s="7"/>
    </row>
    <row r="72" spans="1:43" ht="12.9" customHeight="1" thickBot="1" x14ac:dyDescent="0.3">
      <c r="D72" s="504"/>
      <c r="E72" s="3"/>
      <c r="F72" s="332" t="str">
        <f>Lang!$A$119</f>
        <v>Operating profit/loss</v>
      </c>
      <c r="G72" s="73"/>
      <c r="H72" s="331" t="e">
        <f ca="1">H68+H70-H69-H71</f>
        <v>#VALUE!</v>
      </c>
      <c r="I72" s="652">
        <f>'103'!L24</f>
        <v>0</v>
      </c>
      <c r="J72" s="150"/>
      <c r="K72" s="501" t="str">
        <f>Lang!$A$120</f>
        <v>Liabilities</v>
      </c>
      <c r="L72" s="20"/>
      <c r="M72" s="661"/>
      <c r="N72" s="504"/>
      <c r="O72" s="658"/>
      <c r="P72" s="3" t="str">
        <f>Lang!$A$257</f>
        <v>Additional loans</v>
      </c>
      <c r="Q72" s="3"/>
      <c r="R72" s="19">
        <f>H44*1000</f>
        <v>0</v>
      </c>
      <c r="S72" s="504">
        <f>'103'!X25</f>
        <v>0</v>
      </c>
      <c r="AH72" s="1086"/>
      <c r="AI72" s="1087"/>
      <c r="AJ72" s="9"/>
      <c r="AK72" s="10"/>
      <c r="AL72" s="10"/>
      <c r="AM72" s="11"/>
      <c r="AN72" s="9"/>
      <c r="AO72" s="10"/>
      <c r="AP72" s="10"/>
      <c r="AQ72" s="11"/>
    </row>
    <row r="73" spans="1:43" ht="12.9" customHeight="1" x14ac:dyDescent="0.25">
      <c r="A73" s="327" t="str">
        <f>Lang!$A$121</f>
        <v>Accumulated taxable profit</v>
      </c>
      <c r="B73" s="20"/>
      <c r="C73" s="504"/>
      <c r="D73" s="504"/>
      <c r="E73" s="3"/>
      <c r="F73" s="2" t="str">
        <f>Lang!$A$235</f>
        <v>Finance income</v>
      </c>
      <c r="G73" s="8"/>
      <c r="H73" s="19">
        <f>M67*O67/4</f>
        <v>0</v>
      </c>
      <c r="I73" s="504">
        <f>'103'!L25</f>
        <v>0</v>
      </c>
      <c r="J73" s="150"/>
      <c r="K73" s="20" t="str">
        <f>Lang!$A$246</f>
        <v>Tax due</v>
      </c>
      <c r="L73" s="20"/>
      <c r="M73" s="19">
        <f>IF(D52=4,IF((C74+C75)&gt;0,(C74+C75)*0.3,0),IF(D52=2,0,'93'!R24))</f>
        <v>0</v>
      </c>
      <c r="N73" s="504">
        <f>'103'!R24</f>
        <v>0</v>
      </c>
      <c r="P73" s="3" t="str">
        <f>Lang!$A$258</f>
        <v>Interest paid</v>
      </c>
      <c r="Q73" s="3"/>
      <c r="R73" s="19" t="e">
        <f ca="1">H74</f>
        <v>#VALUE!</v>
      </c>
      <c r="S73" s="504">
        <f>'103'!X26</f>
        <v>0</v>
      </c>
      <c r="AH73" s="1082" t="str">
        <f>Lang!$A$115</f>
        <v>Management budget</v>
      </c>
      <c r="AI73" s="1083"/>
      <c r="AJ73" s="5">
        <f>C69</f>
        <v>70000</v>
      </c>
      <c r="AK73" s="6"/>
      <c r="AL73" s="6"/>
      <c r="AM73" s="7"/>
      <c r="AN73" s="5"/>
      <c r="AO73" s="6"/>
      <c r="AP73" s="6"/>
      <c r="AQ73" s="7"/>
    </row>
    <row r="74" spans="1:43" ht="12.9" customHeight="1" x14ac:dyDescent="0.25">
      <c r="A74" s="21" t="str">
        <f>Lang!$A$123</f>
        <v>Profit/loss before tax</v>
      </c>
      <c r="B74" s="20"/>
      <c r="C74" s="19" t="e">
        <f ca="1">H75</f>
        <v>#VALUE!</v>
      </c>
      <c r="D74" s="504">
        <f>'103'!F27</f>
        <v>0</v>
      </c>
      <c r="E74" s="3"/>
      <c r="F74" s="2" t="str">
        <f>Lang!$A$236</f>
        <v>Finance expense</v>
      </c>
      <c r="G74" s="8"/>
      <c r="H74" s="19" t="e">
        <f ca="1">(M75+OFFSET(History!K$71,$B$52,0)*1000)/2*O75/4+(M76+OFFSET(History!L$71,$B$52,0)*1000)/2*O76/4+M78*O78/4</f>
        <v>#VALUE!</v>
      </c>
      <c r="I74" s="504">
        <f>'103'!L26</f>
        <v>0</v>
      </c>
      <c r="K74" s="2" t="str">
        <f>Lang!$A$247</f>
        <v>Trade payables</v>
      </c>
      <c r="L74" s="20"/>
      <c r="M74" s="19" t="e">
        <f ca="1">C55+C60+H65+C62+C64+C65+C66+(H59+H60)/2</f>
        <v>#VALUE!</v>
      </c>
      <c r="N74" s="504">
        <f>'103'!R25</f>
        <v>0</v>
      </c>
      <c r="P74" s="3" t="str">
        <f>Lang!$A$122</f>
        <v>Net cash flow from financing</v>
      </c>
      <c r="Q74" s="3"/>
      <c r="R74" s="19" t="e">
        <f ca="1">(R72+R69)-(R73+R71+R70)</f>
        <v>#VALUE!</v>
      </c>
      <c r="S74" s="504">
        <f>'103'!X27</f>
        <v>0</v>
      </c>
      <c r="AH74" s="1084"/>
      <c r="AI74" s="1085"/>
      <c r="AJ74" s="5"/>
      <c r="AK74" s="6"/>
      <c r="AL74" s="6"/>
      <c r="AM74" s="7"/>
      <c r="AN74" s="5"/>
      <c r="AO74" s="6"/>
      <c r="AP74" s="6"/>
      <c r="AQ74" s="7"/>
    </row>
    <row r="75" spans="1:43" ht="12.9" customHeight="1" x14ac:dyDescent="0.25">
      <c r="A75" s="21" t="str">
        <f>Lang!$A$226</f>
        <v>Previous taxable profit/loss</v>
      </c>
      <c r="B75" s="20"/>
      <c r="C75" s="19">
        <f>IF(D52=1,IF('93'!F29&lt;0,'93'!F29,0),'93'!F29)</f>
        <v>0</v>
      </c>
      <c r="D75" s="504">
        <f>'103'!F28</f>
        <v>0</v>
      </c>
      <c r="E75" s="3"/>
      <c r="F75" s="73" t="str">
        <f>Lang!$A$123</f>
        <v>Profit/loss before tax</v>
      </c>
      <c r="G75" s="73"/>
      <c r="H75" s="331" t="e">
        <f ca="1">H72+H73-H74</f>
        <v>#VALUE!</v>
      </c>
      <c r="I75" s="652">
        <f>'103'!L27</f>
        <v>0</v>
      </c>
      <c r="K75" s="20" t="str">
        <f>Lang!$A$158</f>
        <v>Bank overdraft</v>
      </c>
      <c r="L75" s="20"/>
      <c r="M75" s="19" t="e">
        <f ca="1">IF(R85&gt;0,IF(R85&gt;R81,R81,R85),0)</f>
        <v>#VALUE!</v>
      </c>
      <c r="N75" s="1089">
        <f>'103'!R26</f>
        <v>0</v>
      </c>
      <c r="O75" s="662">
        <f>(H40+4)/100</f>
        <v>0.04</v>
      </c>
      <c r="P75" s="2"/>
      <c r="R75" s="3"/>
      <c r="S75" s="504"/>
      <c r="AH75" s="1084"/>
      <c r="AI75" s="1085"/>
      <c r="AJ75" s="5"/>
      <c r="AK75" s="6"/>
      <c r="AL75" s="6"/>
      <c r="AM75" s="7"/>
      <c r="AN75" s="5"/>
      <c r="AO75" s="6"/>
      <c r="AP75" s="6"/>
      <c r="AQ75" s="7"/>
    </row>
    <row r="76" spans="1:43" ht="12.9" customHeight="1" thickBot="1" x14ac:dyDescent="0.3">
      <c r="A76" s="21" t="str">
        <f>Lang!$A$227</f>
        <v>Taxable profit/loss</v>
      </c>
      <c r="B76" s="20"/>
      <c r="C76" s="19" t="e">
        <f ca="1">C74+C75</f>
        <v>#VALUE!</v>
      </c>
      <c r="D76" s="504">
        <f>'103'!F29</f>
        <v>0</v>
      </c>
      <c r="E76" s="3"/>
      <c r="F76" s="20" t="str">
        <f>Lang!$A$237</f>
        <v>Tax assessed</v>
      </c>
      <c r="H76" s="19">
        <f>IF(D52=4,M73,0)</f>
        <v>0</v>
      </c>
      <c r="I76" s="504">
        <f>'103'!L28</f>
        <v>0</v>
      </c>
      <c r="K76" s="2" t="str">
        <f>Lang!$A$248</f>
        <v>Borrowing power</v>
      </c>
      <c r="M76" s="19" t="e">
        <f ca="1">IF(R85&gt;0,IF(R85&gt;R81,R85-R81,0),0)</f>
        <v>#VALUE!</v>
      </c>
      <c r="N76" s="1089"/>
      <c r="O76" s="662">
        <f>(H40+10)/100</f>
        <v>0.1</v>
      </c>
      <c r="P76" s="3" t="str">
        <f>Lang!$A$124</f>
        <v>Net cash flow</v>
      </c>
      <c r="Q76" s="3"/>
      <c r="R76" s="19" t="e">
        <f ca="1">R60+R66+R74</f>
        <v>#VALUE!</v>
      </c>
      <c r="S76" s="504">
        <f>'103'!X29</f>
        <v>0</v>
      </c>
      <c r="AH76" s="1086"/>
      <c r="AI76" s="1087"/>
      <c r="AJ76" s="9"/>
      <c r="AK76" s="10"/>
      <c r="AL76" s="10"/>
      <c r="AM76" s="11"/>
      <c r="AN76" s="9"/>
      <c r="AO76" s="10"/>
      <c r="AP76" s="10"/>
      <c r="AQ76" s="11"/>
    </row>
    <row r="77" spans="1:43" ht="12.9" customHeight="1" x14ac:dyDescent="0.25">
      <c r="D77" s="504"/>
      <c r="E77" s="3"/>
      <c r="F77" s="20" t="str">
        <f>Lang!$A$125</f>
        <v>Profit/loss for the period</v>
      </c>
      <c r="H77" s="19" t="e">
        <f ca="1">H68+H70+H73-H74-H69-H71-H76</f>
        <v>#VALUE!</v>
      </c>
      <c r="I77" s="504">
        <f>'103'!L29</f>
        <v>0</v>
      </c>
      <c r="K77" s="20" t="str">
        <f>Lang!$A$126</f>
        <v>Current liabilities</v>
      </c>
      <c r="L77" s="20"/>
      <c r="M77" s="19" t="e">
        <f ca="1">SUM(M73:M76)</f>
        <v>#VALUE!</v>
      </c>
      <c r="N77" s="504">
        <f>'103'!R27</f>
        <v>0</v>
      </c>
      <c r="P77" s="2" t="str">
        <f>Lang!$A$127</f>
        <v>Previous cash balance</v>
      </c>
      <c r="R77" s="19">
        <f>'93'!X31</f>
        <v>0</v>
      </c>
      <c r="S77" s="504">
        <f>'103'!X30</f>
        <v>0</v>
      </c>
      <c r="AH77" s="1082" t="str">
        <f>Lang!$A$128</f>
        <v>Other costs</v>
      </c>
      <c r="AI77" s="1083"/>
      <c r="AJ77" s="5" t="e">
        <f ca="1">C70</f>
        <v>#VALUE!</v>
      </c>
      <c r="AK77" s="6"/>
      <c r="AL77" s="6"/>
      <c r="AM77" s="7"/>
      <c r="AN77" s="5"/>
      <c r="AO77" s="6"/>
      <c r="AP77" s="6"/>
      <c r="AQ77" s="7"/>
    </row>
    <row r="78" spans="1:43" x14ac:dyDescent="0.25">
      <c r="A78" s="8"/>
      <c r="B78" s="8"/>
      <c r="D78" s="504"/>
      <c r="E78" s="3"/>
      <c r="F78" s="3" t="str">
        <f>Lang!$A$129</f>
        <v>Earnings per share</v>
      </c>
      <c r="H78" s="19" t="e">
        <f ca="1">H77/M83*100</f>
        <v>#VALUE!</v>
      </c>
      <c r="I78" s="504">
        <f>'103'!L30</f>
        <v>0</v>
      </c>
      <c r="K78" s="20" t="str">
        <f>Lang!$A$87</f>
        <v>Term loans</v>
      </c>
      <c r="L78" s="20"/>
      <c r="M78" s="19">
        <f>H44*1000+'93'!R28</f>
        <v>0</v>
      </c>
      <c r="N78" s="504">
        <f>'103'!R28</f>
        <v>0</v>
      </c>
      <c r="O78" s="662">
        <v>0.1</v>
      </c>
      <c r="P78" s="3" t="str">
        <f>Lang!$A$130</f>
        <v>Cash balance</v>
      </c>
      <c r="Q78" s="3"/>
      <c r="R78" s="19" t="e">
        <f ca="1">R76+R77</f>
        <v>#VALUE!</v>
      </c>
      <c r="S78" s="504">
        <f>'103'!X31</f>
        <v>0</v>
      </c>
      <c r="AH78" s="1084"/>
      <c r="AI78" s="1085"/>
      <c r="AJ78" s="5"/>
      <c r="AK78" s="6"/>
      <c r="AL78" s="6"/>
      <c r="AM78" s="7"/>
      <c r="AN78" s="5"/>
      <c r="AO78" s="6"/>
      <c r="AP78" s="6"/>
      <c r="AQ78" s="7"/>
    </row>
    <row r="79" spans="1:43" x14ac:dyDescent="0.25">
      <c r="A79" s="8"/>
      <c r="B79" s="8"/>
      <c r="D79" s="504"/>
      <c r="E79" s="3"/>
      <c r="F79" s="20"/>
      <c r="H79" s="504"/>
      <c r="I79" s="504"/>
      <c r="L79" s="2"/>
      <c r="M79" s="3"/>
      <c r="N79" s="504"/>
      <c r="O79" s="655"/>
      <c r="P79" s="2" t="str">
        <f>Lang!$A$131</f>
        <v>Including a term deposit</v>
      </c>
      <c r="R79" s="19">
        <f>M67</f>
        <v>-500000</v>
      </c>
      <c r="S79" s="504">
        <f>'103'!X32</f>
        <v>0</v>
      </c>
      <c r="AH79" s="1084"/>
      <c r="AI79" s="1085"/>
      <c r="AJ79" s="5"/>
      <c r="AK79" s="6"/>
      <c r="AL79" s="6"/>
      <c r="AM79" s="7"/>
      <c r="AN79" s="5"/>
      <c r="AO79" s="6"/>
      <c r="AP79" s="6"/>
      <c r="AQ79" s="7"/>
    </row>
    <row r="80" spans="1:43" ht="13.8" thickBot="1" x14ac:dyDescent="0.3">
      <c r="A80" s="8" t="str">
        <f>Lang!$A$132</f>
        <v>Insurance claimed</v>
      </c>
      <c r="B80" s="8"/>
      <c r="C80" s="19">
        <f ca="1">IF($D$1=2,OFFSET(History!N33,B52,),IF(H48=0,0,OFFSET(Config!D20,B52,)))</f>
        <v>0</v>
      </c>
      <c r="D80" s="504">
        <f>'103'!F33</f>
        <v>0</v>
      </c>
      <c r="E80" s="3"/>
      <c r="F80" s="20" t="str">
        <f>Lang!$A$133</f>
        <v>Dividends paid</v>
      </c>
      <c r="H80" s="19">
        <f>H42*'93'!R33</f>
        <v>0</v>
      </c>
      <c r="I80" s="504">
        <f>'103'!L32</f>
        <v>0</v>
      </c>
      <c r="K80" s="20" t="str">
        <f>Lang!$A$134</f>
        <v>Net assets</v>
      </c>
      <c r="L80" s="20"/>
      <c r="M80" s="19" t="e">
        <f ca="1">M70-SUM(M77:M78)</f>
        <v>#VALUE!</v>
      </c>
      <c r="N80" s="504">
        <f>'103'!R30</f>
        <v>0</v>
      </c>
      <c r="O80" s="653"/>
      <c r="P80" s="2"/>
      <c r="R80" s="3"/>
      <c r="S80" s="504"/>
      <c r="AH80" s="1086"/>
      <c r="AI80" s="1087"/>
      <c r="AJ80" s="9"/>
      <c r="AK80" s="10"/>
      <c r="AL80" s="10"/>
      <c r="AM80" s="11"/>
      <c r="AN80" s="9"/>
      <c r="AO80" s="10"/>
      <c r="AP80" s="10"/>
      <c r="AQ80" s="11"/>
    </row>
    <row r="81" spans="1:43" ht="12.75" customHeight="1" x14ac:dyDescent="0.25">
      <c r="A81" s="3" t="str">
        <f>Lang!$A$135</f>
        <v>Primary non-insured risk</v>
      </c>
      <c r="C81" s="19">
        <f ca="1">('93'!R12+'93'!L18)*(IF(H48=4,0.004,IF(H48=3,0.003,IF(H48=2,0.002,IF(H48=1,0.001,0)))))</f>
        <v>0</v>
      </c>
      <c r="D81" s="504">
        <f>'103'!F34</f>
        <v>0</v>
      </c>
      <c r="E81" s="3"/>
      <c r="F81" s="20" t="str">
        <f>Lang!$A$136</f>
        <v>Transferred to retained earnings</v>
      </c>
      <c r="H81" s="19" t="e">
        <f ca="1">H77-H80</f>
        <v>#VALUE!</v>
      </c>
      <c r="I81" s="504">
        <f>'103'!L33</f>
        <v>0</v>
      </c>
      <c r="M81" s="3"/>
      <c r="N81" s="504"/>
      <c r="P81" s="3" t="str">
        <f>Lang!$A$259</f>
        <v>Overdraft limit for next quarter</v>
      </c>
      <c r="Q81" s="3"/>
      <c r="R81" s="19">
        <f>'93'!X34</f>
        <v>0</v>
      </c>
      <c r="S81" s="504"/>
      <c r="AH81" s="1090" t="str">
        <f>Lang!$A$137</f>
        <v>Materials purchased</v>
      </c>
      <c r="AI81" s="1091"/>
      <c r="AJ81" s="5"/>
      <c r="AK81" s="6"/>
      <c r="AL81" s="6"/>
      <c r="AM81" s="7"/>
      <c r="AN81" s="5"/>
      <c r="AO81" s="6"/>
      <c r="AP81" s="6"/>
      <c r="AQ81" s="7"/>
    </row>
    <row r="82" spans="1:43" x14ac:dyDescent="0.25">
      <c r="D82" s="2"/>
      <c r="E82" s="3"/>
      <c r="F82" s="3" t="str">
        <f>Lang!$A$138</f>
        <v>Previous retained earnings</v>
      </c>
      <c r="H82" s="19">
        <f>'93'!R35</f>
        <v>0</v>
      </c>
      <c r="I82" s="504">
        <f>'103'!L34</f>
        <v>0</v>
      </c>
      <c r="K82" s="501" t="str">
        <f>Lang!$A$139</f>
        <v>Equity</v>
      </c>
      <c r="L82" s="20"/>
      <c r="M82" s="3"/>
      <c r="N82" s="504"/>
      <c r="P82" s="3" t="str">
        <f>Lang!$A$260</f>
        <v>Borrowing power next quarter</v>
      </c>
      <c r="Q82" s="3"/>
      <c r="R82" s="19">
        <f>'93'!X35</f>
        <v>0</v>
      </c>
      <c r="S82" s="504"/>
      <c r="AH82" s="1092"/>
      <c r="AI82" s="1093"/>
      <c r="AJ82" s="5"/>
      <c r="AK82" s="6"/>
      <c r="AL82" s="6"/>
      <c r="AM82" s="7"/>
      <c r="AN82" s="5"/>
      <c r="AO82" s="6" t="e">
        <f ca="1">(1-B$22)*B2*(1+B$5/SUM(B$2:B$4))*$H$29/1000*$H$39+B$22*B2*(1+B$5/SUM(B$2:B$4))*$G$33/1000*$H$39*1.5</f>
        <v>#VALUE!</v>
      </c>
      <c r="AP82" s="6" t="e">
        <f ca="1">(1-C$22)*C2*(1+C$5/SUM(C$2:C$4))*2*$H$29/1000*$H$39+C$22*C2*(1+C$5/SUM(C$2:C$4))*2*$G$33/1000*$H$39*1.5</f>
        <v>#VALUE!</v>
      </c>
      <c r="AQ82" s="7" t="e">
        <f ca="1">(1-D$22)*D2*(1+D$5/SUM(D$2:D$4))*3*$H$29/1000*$H$39+D$22*D2*(1+D$5/SUM(D$2:D$4))*3*$G$33/1000*$H$39*1.5</f>
        <v>#VALUE!</v>
      </c>
    </row>
    <row r="83" spans="1:43" x14ac:dyDescent="0.25">
      <c r="D83" s="2"/>
      <c r="E83" s="3"/>
      <c r="F83" s="3" t="str">
        <f>Lang!$A$141</f>
        <v xml:space="preserve">Retained earnings </v>
      </c>
      <c r="H83" s="19" t="e">
        <f ca="1">H81+H82</f>
        <v>#VALUE!</v>
      </c>
      <c r="I83" s="504">
        <f>'103'!L35</f>
        <v>0</v>
      </c>
      <c r="K83" s="20" t="str">
        <f>Lang!$A$160</f>
        <v>Share capital</v>
      </c>
      <c r="L83" s="20"/>
      <c r="M83" s="19">
        <f ca="1">'93'!R33+H41*1000</f>
        <v>0</v>
      </c>
      <c r="N83" s="504">
        <f>'103'!R33</f>
        <v>0</v>
      </c>
      <c r="Q83" s="3"/>
      <c r="R83" s="3"/>
      <c r="S83" s="504"/>
      <c r="AH83" s="1092"/>
      <c r="AI83" s="1093"/>
      <c r="AJ83" s="5"/>
      <c r="AK83" s="6"/>
      <c r="AL83" s="6"/>
      <c r="AM83" s="7"/>
      <c r="AN83" s="5"/>
      <c r="AO83" s="6" t="e">
        <f ca="1">(1-B$22)*B3*(1+B$5/SUM(B$2:B$4))*$H$29/1000*$H$39+B$22*B3*(1+B$5/SUM(B$2:B$4))*$G$33/1000*$H$39*1.5</f>
        <v>#VALUE!</v>
      </c>
      <c r="AP83" s="6" t="e">
        <f ca="1">(1-C$22)*C3*(1+C$5/SUM(C$2:C$4))*2*$H$29/1000*$H$39+C$22*C3*(1+C$5/SUM(C$2:C$4))*2*$G$33/1000*$H$39*1.5</f>
        <v>#VALUE!</v>
      </c>
      <c r="AQ83" s="7" t="e">
        <f ca="1">(1-D$22)*D3*(1+D$5/SUM(D$2:D$4))*3*$H$29/1000*$H$39+D$22*D3*(1+D$5/SUM(D$2:D$4))*3*$G$33/1000*$H$39*1.5</f>
        <v>#VALUE!</v>
      </c>
    </row>
    <row r="84" spans="1:43" ht="13.8" thickBot="1" x14ac:dyDescent="0.3">
      <c r="D84" s="2"/>
      <c r="E84" s="3"/>
      <c r="H84" s="2"/>
      <c r="I84" s="3"/>
      <c r="K84" s="8" t="str">
        <f>Lang!$A$161</f>
        <v>Share premium account</v>
      </c>
      <c r="L84" s="2"/>
      <c r="M84" s="19">
        <f ca="1">IF('93'!R34+(H38-100)*H41*10&gt;0,'93'!R34+(H38-100)*H41*10,0)</f>
        <v>0</v>
      </c>
      <c r="N84" s="504">
        <f>'103'!R34</f>
        <v>0</v>
      </c>
      <c r="P84" s="8" t="str">
        <f>Lang!$A$140</f>
        <v>Balance</v>
      </c>
      <c r="R84" s="19" t="e">
        <f ca="1">(R56+R57-R58-R59)+(R63+R64-R65)+(R72+R69)-(R71+R70)+'93'!X31-R79</f>
        <v>#VALUE!</v>
      </c>
      <c r="S84" s="150"/>
      <c r="AH84" s="1094"/>
      <c r="AI84" s="1095"/>
      <c r="AJ84" s="9"/>
      <c r="AK84" s="10"/>
      <c r="AL84" s="10"/>
      <c r="AM84" s="11"/>
      <c r="AN84" s="9"/>
      <c r="AO84" s="10" t="e">
        <f ca="1">(1-B$22)*B4*(1+B$5/SUM(B$2:B$4))*$H$29/1000*$H$39+B$22*B4*(1+B$5/SUM(B$2:B$4))*$G$33/1000*$H$39*1.5</f>
        <v>#VALUE!</v>
      </c>
      <c r="AP84" s="10" t="e">
        <f ca="1">(1-C$22)*C4*(1+C$5/SUM(C$2:C$4))*2*$H$29/1000*$H$39+C$22*C4*(1+C$5/SUM(C$2:C$4))*2*$G$33/1000*$H$39*1.5</f>
        <v>#VALUE!</v>
      </c>
      <c r="AQ84" s="11" t="e">
        <f ca="1">(1-D$22)*D4*(1+D$5/SUM(D$2:D$4))*3*$H$29/1000*$H$39+D$22*D4*(1+D$5/SUM(D$2:D$4))*3*$G$33/1000*$H$39*1.5</f>
        <v>#VALUE!</v>
      </c>
    </row>
    <row r="85" spans="1:43" ht="12.9" customHeight="1" x14ac:dyDescent="0.25">
      <c r="D85" s="2"/>
      <c r="E85" s="3"/>
      <c r="H85" s="2"/>
      <c r="I85" s="3"/>
      <c r="K85" s="20" t="str">
        <f>Lang!$A$141</f>
        <v xml:space="preserve">Retained earnings </v>
      </c>
      <c r="L85" s="20"/>
      <c r="M85" s="19" t="e">
        <f ca="1">H83</f>
        <v>#VALUE!</v>
      </c>
      <c r="N85" s="504">
        <f>'103'!R35</f>
        <v>0</v>
      </c>
      <c r="P85" s="8" t="str">
        <f>Lang!$A$142</f>
        <v>Credit</v>
      </c>
      <c r="R85" s="19" t="e">
        <f ca="1">IF(R84&lt;0,-R84,)</f>
        <v>#VALUE!</v>
      </c>
      <c r="S85" s="504"/>
      <c r="AH85" s="1082" t="str">
        <f>Lang!$A$298</f>
        <v>Assembly wages</v>
      </c>
      <c r="AI85" s="1083"/>
      <c r="AJ85" s="5"/>
      <c r="AK85" s="6"/>
      <c r="AL85" s="6"/>
      <c r="AM85" s="7"/>
      <c r="AN85" s="5"/>
      <c r="AO85" s="6"/>
      <c r="AP85" s="6"/>
      <c r="AQ85" s="7"/>
    </row>
    <row r="86" spans="1:43" ht="12.9" customHeight="1" x14ac:dyDescent="0.25">
      <c r="K86" s="20" t="str">
        <f>Lang!$A$143</f>
        <v>Total equity</v>
      </c>
      <c r="L86" s="20"/>
      <c r="M86" s="19" t="e">
        <f ca="1">M83+M84+M85</f>
        <v>#VALUE!</v>
      </c>
      <c r="N86" s="504">
        <f>'103'!R36</f>
        <v>0</v>
      </c>
      <c r="AH86" s="1084"/>
      <c r="AI86" s="1085"/>
      <c r="AJ86" s="5"/>
      <c r="AK86" s="6"/>
      <c r="AL86" s="6"/>
      <c r="AM86" s="7"/>
      <c r="AN86" s="5"/>
      <c r="AO86" s="6" t="e">
        <f ca="1">$H$63/$H$15*B2*(1+B$5/SUM(B$2:B$4))*B$20/60</f>
        <v>#VALUE!</v>
      </c>
      <c r="AP86" s="6" t="e">
        <f t="shared" ref="AP86:AQ88" ca="1" si="13">$H$63/$H$15*C2*(1+C$5/SUM(C$2:C$4))*C$20/60</f>
        <v>#VALUE!</v>
      </c>
      <c r="AQ86" s="7" t="e">
        <f t="shared" ca="1" si="13"/>
        <v>#VALUE!</v>
      </c>
    </row>
    <row r="87" spans="1:43" ht="12.9" customHeight="1" x14ac:dyDescent="0.25">
      <c r="P87" s="150"/>
      <c r="AH87" s="1084"/>
      <c r="AI87" s="1085"/>
      <c r="AJ87" s="5"/>
      <c r="AK87" s="6"/>
      <c r="AL87" s="6"/>
      <c r="AM87" s="7"/>
      <c r="AN87" s="5"/>
      <c r="AO87" s="6" t="e">
        <f ca="1">$H$63/$H$15*B3*(1+B$5/SUM(B$2:B$4))*B$20/60</f>
        <v>#VALUE!</v>
      </c>
      <c r="AP87" s="6" t="e">
        <f t="shared" ca="1" si="13"/>
        <v>#VALUE!</v>
      </c>
      <c r="AQ87" s="7" t="e">
        <f t="shared" ca="1" si="13"/>
        <v>#VALUE!</v>
      </c>
    </row>
    <row r="88" spans="1:43" ht="12.9" customHeight="1" thickBot="1" x14ac:dyDescent="0.3">
      <c r="S88" s="3"/>
      <c r="AH88" s="1086"/>
      <c r="AI88" s="1087"/>
      <c r="AJ88" s="9"/>
      <c r="AK88" s="10"/>
      <c r="AL88" s="10"/>
      <c r="AM88" s="11"/>
      <c r="AN88" s="9"/>
      <c r="AO88" s="10" t="e">
        <f ca="1">$H$63/$H$15*B4*(1+B$5/SUM(B$2:B$4))*B$20/60</f>
        <v>#VALUE!</v>
      </c>
      <c r="AP88" s="10" t="e">
        <f t="shared" ca="1" si="13"/>
        <v>#VALUE!</v>
      </c>
      <c r="AQ88" s="11" t="e">
        <f t="shared" ca="1" si="13"/>
        <v>#VALUE!</v>
      </c>
    </row>
    <row r="89" spans="1:43" ht="12.9" customHeight="1" x14ac:dyDescent="0.25">
      <c r="A89" s="95"/>
      <c r="E89" s="3"/>
      <c r="M89" s="3"/>
      <c r="Q89" s="25"/>
      <c r="R89" s="3"/>
      <c r="S89" s="3"/>
      <c r="AH89" s="1082" t="str">
        <f>Lang!$A$299</f>
        <v>Machinists wages</v>
      </c>
      <c r="AI89" s="1083"/>
      <c r="AJ89" s="5">
        <f>IF($H$2=0,H62,0)</f>
        <v>0</v>
      </c>
      <c r="AK89" s="6"/>
      <c r="AL89" s="6"/>
      <c r="AM89" s="7"/>
      <c r="AN89" s="5"/>
      <c r="AO89" s="6"/>
      <c r="AP89" s="6"/>
      <c r="AQ89" s="7"/>
    </row>
    <row r="90" spans="1:43" ht="12.9" customHeight="1" x14ac:dyDescent="0.25">
      <c r="E90" s="3"/>
      <c r="M90" s="3"/>
      <c r="Q90" s="3"/>
      <c r="R90" s="3"/>
      <c r="S90" s="3"/>
      <c r="AH90" s="1084"/>
      <c r="AI90" s="1085"/>
      <c r="AJ90" s="5"/>
      <c r="AK90" s="6"/>
      <c r="AL90" s="6"/>
      <c r="AM90" s="7"/>
      <c r="AN90" s="5"/>
      <c r="AO90" s="6">
        <f>IF($H$2=0,0,$H$62/$H$2*B2*(1+B$5/SUM(B$2:B$4))*60/60/$H$10)</f>
        <v>0</v>
      </c>
      <c r="AP90" s="6">
        <f>IF($H$2=0,0,$H$62/$H$2*C2*(1+C$5/SUM(C$2:C$4))*75/60/$H$10)</f>
        <v>0</v>
      </c>
      <c r="AQ90" s="7">
        <f>IF($H$2=0,0,$H$62/$H$2*D2*(1+D$5/SUM(D$2:D$4))*120/60/$H$10)</f>
        <v>0</v>
      </c>
    </row>
    <row r="91" spans="1:43" ht="12.9" customHeight="1" thickBot="1" x14ac:dyDescent="0.3">
      <c r="S91" s="3"/>
      <c r="AH91" s="1084"/>
      <c r="AI91" s="1085"/>
      <c r="AJ91" s="5"/>
      <c r="AK91" s="6"/>
      <c r="AL91" s="6"/>
      <c r="AM91" s="7"/>
      <c r="AN91" s="5"/>
      <c r="AO91" s="6">
        <f>IF($H$2=0,0,$H$62/$H$2*B3*(1+B$5/SUM(B$2:B$4))*60/60/$H$10)</f>
        <v>0</v>
      </c>
      <c r="AP91" s="6">
        <f>IF($H$2=0,0,$H$62/$H$2*C3*(1+C$5/SUM(C$2:C$4))*75/60/$H$10)</f>
        <v>0</v>
      </c>
      <c r="AQ91" s="7">
        <f>IF($H$2=0,0,$H$62/$H$2*D3*(1+D$5/SUM(D$2:D$4))*120/60/$H$10)</f>
        <v>0</v>
      </c>
    </row>
    <row r="92" spans="1:43" ht="12.9" customHeight="1" thickBot="1" x14ac:dyDescent="0.3">
      <c r="C92" s="1080" t="str">
        <f>Lang!$A$144</f>
        <v>Prices analysis</v>
      </c>
      <c r="D92" s="1081"/>
      <c r="E92" s="1081"/>
      <c r="F92" s="1081"/>
      <c r="G92" s="1081"/>
      <c r="H92" s="1081"/>
      <c r="I92" s="1081"/>
      <c r="J92" s="1081"/>
      <c r="K92" s="1081"/>
      <c r="L92" s="102">
        <v>0.01</v>
      </c>
      <c r="M92" s="3"/>
      <c r="Q92" s="3"/>
      <c r="R92" s="3"/>
      <c r="S92" s="2"/>
      <c r="AH92" s="1086"/>
      <c r="AI92" s="1087"/>
      <c r="AJ92" s="9"/>
      <c r="AK92" s="10"/>
      <c r="AL92" s="10"/>
      <c r="AM92" s="11"/>
      <c r="AN92" s="9"/>
      <c r="AO92" s="10">
        <f>IF($H$2=0,0,$H$62/$H$2*B4*(1+B$5/SUM(B$2:B$4))*60/60/$H$10)</f>
        <v>0</v>
      </c>
      <c r="AP92" s="10">
        <f>IF($H$2=0,0,$H$62/$H$2*C4*(1+C$5/SUM(C$2:C$4))*75/60/$H$10)</f>
        <v>0</v>
      </c>
      <c r="AQ92" s="11">
        <f>IF($H$2=0,0,$H$62/$H$2*D4*(1+D$5/SUM(D$2:D$4))*120/60/$H$10)</f>
        <v>0</v>
      </c>
    </row>
    <row r="93" spans="1:43" ht="12.9" customHeight="1" x14ac:dyDescent="0.25">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2" t="str">
        <f>Lang!$A$149</f>
        <v>Machine running costs</v>
      </c>
      <c r="AI93" s="1083"/>
      <c r="AJ93" s="5">
        <f>3500*H7+H11*12500</f>
        <v>25000</v>
      </c>
      <c r="AK93" s="6"/>
      <c r="AL93" s="6"/>
      <c r="AM93" s="7"/>
      <c r="AN93" s="5"/>
      <c r="AO93" s="6"/>
      <c r="AP93" s="6"/>
      <c r="AQ93" s="7"/>
    </row>
    <row r="94" spans="1:43" ht="12.9" customHeight="1" x14ac:dyDescent="0.25">
      <c r="C94" s="5">
        <v>559167.44637649565</v>
      </c>
      <c r="D94" s="56"/>
      <c r="E94" s="56"/>
      <c r="F94" s="56"/>
      <c r="G94" s="82">
        <v>296</v>
      </c>
      <c r="H94" s="56">
        <v>480</v>
      </c>
      <c r="I94" s="56">
        <v>767</v>
      </c>
      <c r="J94" s="56"/>
      <c r="K94" s="56"/>
      <c r="L94" s="57"/>
      <c r="M94" s="3"/>
      <c r="P94" s="2"/>
      <c r="R94" s="3"/>
      <c r="S94" s="2"/>
      <c r="AH94" s="1084"/>
      <c r="AI94" s="1085"/>
      <c r="AJ94" s="5"/>
      <c r="AK94" s="6"/>
      <c r="AL94" s="6"/>
      <c r="AM94" s="7"/>
      <c r="AN94" s="5"/>
      <c r="AO94" s="6" t="e">
        <f ca="1">B2*(1+B$5/SUM(B$2:B$4))*60/60/$H$10*8+B2*(1+B$5/SUM(B$2:B$4))</f>
        <v>#VALUE!</v>
      </c>
      <c r="AP94" s="6" t="e">
        <f ca="1">C2*(1+C$5/SUM(C$2:C$4))*75/60/$H$10*8+C2*(1+C$5/SUM(C$2:C$4))</f>
        <v>#VALUE!</v>
      </c>
      <c r="AQ94" s="7" t="e">
        <f ca="1">D2*(1+D$5/SUM(D$2:D$4))*120/60/$H$10*8+D2*(1+D$5/SUM(D$2:D$4))</f>
        <v>#VALUE!</v>
      </c>
    </row>
    <row r="95" spans="1:43" ht="12.9" customHeight="1" x14ac:dyDescent="0.25">
      <c r="A95" s="25"/>
      <c r="C95" s="644">
        <v>561489.3810683022</v>
      </c>
      <c r="D95" s="82"/>
      <c r="E95" s="56"/>
      <c r="F95" s="56"/>
      <c r="G95" s="82">
        <v>299</v>
      </c>
      <c r="H95" s="56">
        <v>485</v>
      </c>
      <c r="I95" s="56">
        <v>775</v>
      </c>
      <c r="J95" s="56"/>
      <c r="K95" s="56"/>
      <c r="L95" s="57"/>
      <c r="M95" s="3"/>
      <c r="P95" s="2"/>
      <c r="R95" s="3"/>
      <c r="S95" s="2"/>
      <c r="AH95" s="1084"/>
      <c r="AI95" s="1085"/>
      <c r="AJ95" s="5"/>
      <c r="AK95" s="6"/>
      <c r="AL95" s="6"/>
      <c r="AM95" s="7"/>
      <c r="AN95" s="5"/>
      <c r="AO95" s="6" t="e">
        <f ca="1">B3*(1+B$5/SUM(B$2:B$4))*60/60/$H$10*8+B3*(1+B$5/SUM(B$2:B$4))</f>
        <v>#VALUE!</v>
      </c>
      <c r="AP95" s="6" t="e">
        <f ca="1">C3*(1+C$5/SUM(C$2:C$4))*75/60/$H$10*8+C3*(1+C$5/SUM(C$2:C$4))</f>
        <v>#VALUE!</v>
      </c>
      <c r="AQ95" s="7" t="e">
        <f ca="1">D3*(1+D$5/SUM(D$2:D$4))*120/60/$H$10*8+D3*(1+D$5/SUM(D$2:D$4))</f>
        <v>#VALUE!</v>
      </c>
    </row>
    <row r="96" spans="1:43" ht="12.9" customHeight="1" thickBot="1" x14ac:dyDescent="0.3">
      <c r="C96" s="644">
        <v>589970.68855175481</v>
      </c>
      <c r="D96" s="82"/>
      <c r="E96" s="56"/>
      <c r="F96" s="56"/>
      <c r="G96" s="82">
        <v>302</v>
      </c>
      <c r="H96" s="56">
        <v>491</v>
      </c>
      <c r="I96" s="56">
        <v>783</v>
      </c>
      <c r="J96" s="56"/>
      <c r="K96" s="56"/>
      <c r="L96" s="57"/>
      <c r="M96" s="3"/>
      <c r="P96" s="2"/>
      <c r="AH96" s="1086"/>
      <c r="AI96" s="1087"/>
      <c r="AJ96" s="9"/>
      <c r="AK96" s="10"/>
      <c r="AL96" s="10"/>
      <c r="AM96" s="11"/>
      <c r="AN96" s="9"/>
      <c r="AO96" s="10" t="e">
        <f ca="1">B4*(1+B$5/SUM(B$2:B$4))*60/60/$H$10*8+B4*(1+B$5/SUM(B$2:B$4))</f>
        <v>#VALUE!</v>
      </c>
      <c r="AP96" s="10" t="e">
        <f ca="1">C4*(1+C$5/SUM(C$2:C$4))*75/60/$H$10*8+C4*(1+C$5/SUM(C$2:C$4))</f>
        <v>#VALUE!</v>
      </c>
      <c r="AQ96" s="11" t="e">
        <f ca="1">D4*(1+D$5/SUM(D$2:D$4))*120/60/$H$10*8+D4*(1+D$5/SUM(D$2:D$4))</f>
        <v>#VALUE!</v>
      </c>
    </row>
    <row r="97" spans="1:43" ht="12.9" customHeight="1" x14ac:dyDescent="0.25">
      <c r="C97" s="644">
        <v>591904.83257784077</v>
      </c>
      <c r="D97" s="82"/>
      <c r="E97" s="56"/>
      <c r="F97" s="56"/>
      <c r="G97" s="82">
        <v>306</v>
      </c>
      <c r="H97" s="56">
        <v>496</v>
      </c>
      <c r="I97" s="56">
        <v>792</v>
      </c>
      <c r="J97" s="56"/>
      <c r="K97" s="56"/>
      <c r="L97" s="57"/>
      <c r="M97" s="3"/>
      <c r="P97" s="2"/>
      <c r="AH97" s="1082" t="str">
        <f>Lang!$A$150</f>
        <v>Quality control</v>
      </c>
      <c r="AI97" s="1083"/>
      <c r="AJ97" s="5" t="e">
        <f ca="1">H64</f>
        <v>#VALUE!</v>
      </c>
      <c r="AK97" s="6"/>
      <c r="AL97" s="6"/>
      <c r="AM97" s="7"/>
      <c r="AN97" s="5"/>
      <c r="AO97" s="6"/>
      <c r="AP97" s="6"/>
      <c r="AQ97" s="7"/>
    </row>
    <row r="98" spans="1:43" ht="12.9" customHeight="1" x14ac:dyDescent="0.25">
      <c r="C98" s="644">
        <v>593429.23402383539</v>
      </c>
      <c r="D98" s="82"/>
      <c r="E98" s="82"/>
      <c r="F98" s="82"/>
      <c r="G98" s="82">
        <v>309</v>
      </c>
      <c r="H98" s="56">
        <v>501</v>
      </c>
      <c r="I98" s="56">
        <v>800</v>
      </c>
      <c r="J98" s="56"/>
      <c r="K98" s="56"/>
      <c r="L98" s="57"/>
      <c r="M98" s="3"/>
      <c r="P98" s="2"/>
      <c r="AH98" s="1084"/>
      <c r="AI98" s="1085"/>
      <c r="AJ98" s="5"/>
      <c r="AK98" s="6"/>
      <c r="AL98" s="6"/>
      <c r="AM98" s="7"/>
      <c r="AN98" s="5"/>
      <c r="AO98" s="6"/>
      <c r="AP98" s="6"/>
      <c r="AQ98" s="7"/>
    </row>
    <row r="99" spans="1:43" ht="12.9" customHeight="1" x14ac:dyDescent="0.25">
      <c r="A99" s="25"/>
      <c r="C99" s="644">
        <v>594500.31820056692</v>
      </c>
      <c r="D99" s="82"/>
      <c r="E99" s="56"/>
      <c r="F99" s="56"/>
      <c r="G99" s="56">
        <v>312</v>
      </c>
      <c r="H99" s="82">
        <v>506</v>
      </c>
      <c r="I99" s="56">
        <v>808</v>
      </c>
      <c r="J99" s="56"/>
      <c r="K99" s="56"/>
      <c r="L99" s="57"/>
      <c r="M99" s="3"/>
      <c r="P99" s="2"/>
      <c r="AH99" s="1084"/>
      <c r="AI99" s="1085"/>
      <c r="AJ99" s="5"/>
      <c r="AK99" s="6"/>
      <c r="AL99" s="6"/>
      <c r="AM99" s="7"/>
      <c r="AN99" s="5"/>
      <c r="AO99" s="6"/>
      <c r="AP99" s="6"/>
      <c r="AQ99" s="7"/>
    </row>
    <row r="100" spans="1:43" ht="12.9" customHeight="1" thickBot="1" x14ac:dyDescent="0.3">
      <c r="C100" s="646">
        <v>619932.6591973101</v>
      </c>
      <c r="D100" s="83"/>
      <c r="E100" s="83"/>
      <c r="F100" s="83"/>
      <c r="G100" s="83">
        <v>315</v>
      </c>
      <c r="H100" s="83">
        <v>511</v>
      </c>
      <c r="I100" s="83">
        <v>816</v>
      </c>
      <c r="J100" s="83"/>
      <c r="K100" s="83"/>
      <c r="L100" s="84"/>
      <c r="M100" s="3"/>
      <c r="P100" s="2"/>
      <c r="R100" s="685"/>
      <c r="AH100" s="1086"/>
      <c r="AI100" s="1087"/>
      <c r="AJ100" s="9"/>
      <c r="AK100" s="10"/>
      <c r="AL100" s="10"/>
      <c r="AM100" s="11"/>
      <c r="AN100" s="9"/>
      <c r="AO100" s="10"/>
      <c r="AP100" s="10"/>
      <c r="AQ100" s="11"/>
    </row>
    <row r="101" spans="1:43" ht="12.9" customHeight="1" x14ac:dyDescent="0.25">
      <c r="C101" s="644">
        <v>620656.44767478958</v>
      </c>
      <c r="D101" s="82"/>
      <c r="E101" s="82"/>
      <c r="F101" s="82"/>
      <c r="G101" s="82">
        <v>318</v>
      </c>
      <c r="H101" s="82">
        <v>516</v>
      </c>
      <c r="I101" s="82">
        <v>824</v>
      </c>
      <c r="J101" s="82"/>
      <c r="K101" s="82"/>
      <c r="L101" s="85"/>
      <c r="M101" s="3"/>
      <c r="P101" s="2"/>
      <c r="AH101" s="1082" t="str">
        <f>Lang!$A$151</f>
        <v>Depreciation</v>
      </c>
      <c r="AI101" s="1083"/>
      <c r="AJ101" s="5">
        <f>H71</f>
        <v>0</v>
      </c>
      <c r="AK101" s="6"/>
      <c r="AL101" s="6"/>
      <c r="AM101" s="7"/>
      <c r="AN101" s="5"/>
      <c r="AO101" s="6"/>
      <c r="AP101" s="6"/>
      <c r="AQ101" s="7"/>
    </row>
    <row r="102" spans="1:43" ht="12.9" customHeight="1" x14ac:dyDescent="0.25">
      <c r="C102" s="644">
        <v>621160.57370713365</v>
      </c>
      <c r="D102" s="82"/>
      <c r="E102" s="56"/>
      <c r="F102" s="56"/>
      <c r="G102" s="56">
        <v>321</v>
      </c>
      <c r="H102" s="82">
        <v>521</v>
      </c>
      <c r="I102" s="56">
        <v>832</v>
      </c>
      <c r="J102" s="56"/>
      <c r="K102" s="56"/>
      <c r="L102" s="57"/>
      <c r="M102" s="3"/>
      <c r="AH102" s="1084"/>
      <c r="AI102" s="1085"/>
      <c r="AJ102" s="5"/>
      <c r="AK102" s="6"/>
      <c r="AL102" s="6"/>
      <c r="AM102" s="7"/>
      <c r="AN102" s="5"/>
      <c r="AO102" s="6"/>
      <c r="AP102" s="6"/>
      <c r="AQ102" s="7"/>
    </row>
    <row r="103" spans="1:43" ht="12.9" customHeight="1" x14ac:dyDescent="0.25">
      <c r="B103" s="8"/>
      <c r="C103" s="644">
        <v>621292.89530778781</v>
      </c>
      <c r="D103" s="82"/>
      <c r="E103" s="82"/>
      <c r="F103" s="82"/>
      <c r="G103" s="82">
        <v>324</v>
      </c>
      <c r="H103" s="82">
        <v>526</v>
      </c>
      <c r="I103" s="82">
        <v>840</v>
      </c>
      <c r="J103" s="82"/>
      <c r="K103" s="82"/>
      <c r="L103" s="85"/>
      <c r="M103" s="3"/>
      <c r="AH103" s="1084"/>
      <c r="AI103" s="1085"/>
      <c r="AJ103" s="5"/>
      <c r="AK103" s="6"/>
      <c r="AL103" s="6"/>
      <c r="AM103" s="7"/>
      <c r="AN103" s="5"/>
      <c r="AO103" s="6"/>
      <c r="AP103" s="6"/>
      <c r="AQ103" s="7"/>
    </row>
    <row r="104" spans="1:43" ht="12.9" customHeight="1" thickBot="1" x14ac:dyDescent="0.3">
      <c r="C104" s="644">
        <v>621204.41743463872</v>
      </c>
      <c r="D104" s="82"/>
      <c r="E104" s="82"/>
      <c r="F104" s="82"/>
      <c r="G104" s="82">
        <v>328</v>
      </c>
      <c r="H104" s="82">
        <v>531</v>
      </c>
      <c r="I104" s="82">
        <v>849</v>
      </c>
      <c r="J104" s="82"/>
      <c r="K104" s="82"/>
      <c r="L104" s="85"/>
      <c r="M104" s="3"/>
      <c r="AH104" s="1086"/>
      <c r="AI104" s="1087"/>
      <c r="AJ104" s="9"/>
      <c r="AK104" s="10"/>
      <c r="AL104" s="10"/>
      <c r="AM104" s="11"/>
      <c r="AN104" s="9"/>
      <c r="AO104" s="10"/>
      <c r="AP104" s="10"/>
      <c r="AQ104" s="11"/>
    </row>
    <row r="105" spans="1:43" ht="12.9" customHeight="1" x14ac:dyDescent="0.25">
      <c r="C105" s="644">
        <v>645285.11306552088</v>
      </c>
      <c r="D105" s="82"/>
      <c r="E105" s="56"/>
      <c r="F105" s="56"/>
      <c r="G105" s="56">
        <v>331</v>
      </c>
      <c r="H105" s="56">
        <v>537</v>
      </c>
      <c r="I105" s="56">
        <v>857</v>
      </c>
      <c r="J105" s="56"/>
      <c r="K105" s="56"/>
      <c r="L105" s="57"/>
      <c r="M105" s="3"/>
      <c r="Q105" s="25"/>
      <c r="R105" s="3"/>
      <c r="S105" s="2"/>
    </row>
    <row r="106" spans="1:43" ht="12.9" customHeight="1" thickBot="1" x14ac:dyDescent="0.3">
      <c r="A106" s="150"/>
      <c r="C106" s="648">
        <v>644816.3545066904</v>
      </c>
      <c r="D106" s="152"/>
      <c r="E106" s="59"/>
      <c r="F106" s="59"/>
      <c r="G106" s="59">
        <v>334</v>
      </c>
      <c r="H106" s="59">
        <v>542</v>
      </c>
      <c r="I106" s="59">
        <v>865</v>
      </c>
      <c r="J106" s="59"/>
      <c r="K106" s="59"/>
      <c r="L106" s="60"/>
      <c r="M106" s="3"/>
      <c r="Q106" s="23"/>
      <c r="R106" s="3"/>
      <c r="S106" s="2"/>
    </row>
    <row r="107" spans="1:43" ht="12.9" customHeight="1" thickBot="1" x14ac:dyDescent="0.3">
      <c r="C107" s="2"/>
      <c r="D107" s="8"/>
      <c r="E107" s="3"/>
      <c r="I107" s="3"/>
      <c r="M107" s="3"/>
      <c r="Q107" s="3"/>
      <c r="R107" s="3"/>
      <c r="S107" s="3"/>
    </row>
    <row r="108" spans="1:43" ht="12.9" customHeight="1" x14ac:dyDescent="0.25">
      <c r="C108" s="1080" t="str">
        <f>Lang!$A$152</f>
        <v>Advertising analysis</v>
      </c>
      <c r="D108" s="1081"/>
      <c r="E108" s="1081"/>
      <c r="F108" s="1081"/>
      <c r="G108" s="1081"/>
      <c r="H108" s="1081"/>
      <c r="I108" s="1081"/>
      <c r="J108" s="1081"/>
      <c r="K108" s="1081"/>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605834.91994476307</v>
      </c>
      <c r="D110" s="56"/>
      <c r="E110" s="56"/>
      <c r="F110" s="56"/>
      <c r="G110" s="82"/>
      <c r="H110" s="56"/>
      <c r="I110" s="56"/>
      <c r="J110" s="56">
        <v>12</v>
      </c>
      <c r="K110" s="56">
        <v>10</v>
      </c>
      <c r="L110" s="57">
        <v>5</v>
      </c>
      <c r="M110" s="3"/>
      <c r="Q110" s="3"/>
      <c r="R110" s="3"/>
      <c r="S110" s="3"/>
    </row>
    <row r="111" spans="1:43" ht="12.9" customHeight="1" x14ac:dyDescent="0.25">
      <c r="C111" s="644">
        <v>604524.69437774119</v>
      </c>
      <c r="D111" s="82"/>
      <c r="E111" s="56"/>
      <c r="F111" s="56"/>
      <c r="G111" s="82"/>
      <c r="H111" s="56"/>
      <c r="I111" s="56"/>
      <c r="J111" s="56">
        <v>14</v>
      </c>
      <c r="K111" s="56">
        <v>12</v>
      </c>
      <c r="L111" s="57">
        <v>6</v>
      </c>
      <c r="M111" s="3"/>
      <c r="Q111" s="3"/>
      <c r="R111" s="3"/>
      <c r="S111" s="3"/>
    </row>
    <row r="112" spans="1:43" ht="12.9" customHeight="1" x14ac:dyDescent="0.25">
      <c r="C112" s="644">
        <v>602360.49613742216</v>
      </c>
      <c r="D112" s="82"/>
      <c r="E112" s="56"/>
      <c r="F112" s="56"/>
      <c r="G112" s="82"/>
      <c r="H112" s="56"/>
      <c r="I112" s="56"/>
      <c r="J112" s="56">
        <v>17</v>
      </c>
      <c r="K112" s="56">
        <v>14</v>
      </c>
      <c r="L112" s="57">
        <v>8</v>
      </c>
      <c r="M112" s="3"/>
      <c r="Q112" s="3"/>
      <c r="R112" s="3"/>
      <c r="S112" s="3"/>
    </row>
    <row r="113" spans="1:19" ht="12.9" customHeight="1" x14ac:dyDescent="0.25">
      <c r="C113" s="644">
        <v>600720.83552479779</v>
      </c>
      <c r="D113" s="82"/>
      <c r="E113" s="56"/>
      <c r="F113" s="56"/>
      <c r="G113" s="82"/>
      <c r="H113" s="56"/>
      <c r="I113" s="56"/>
      <c r="J113" s="56">
        <v>20</v>
      </c>
      <c r="K113" s="56">
        <v>17</v>
      </c>
      <c r="L113" s="57">
        <v>9</v>
      </c>
      <c r="M113" s="3"/>
      <c r="Q113" s="3"/>
      <c r="R113" s="3"/>
      <c r="S113" s="3"/>
    </row>
    <row r="114" spans="1:19" ht="12.9" customHeight="1" x14ac:dyDescent="0.25">
      <c r="C114" s="644">
        <v>599198.99276029936</v>
      </c>
      <c r="D114" s="82"/>
      <c r="E114" s="82"/>
      <c r="F114" s="82"/>
      <c r="G114" s="82"/>
      <c r="H114" s="56"/>
      <c r="I114" s="56"/>
      <c r="J114" s="56">
        <v>23</v>
      </c>
      <c r="K114" s="56">
        <v>19</v>
      </c>
      <c r="L114" s="57">
        <v>10</v>
      </c>
      <c r="M114" s="3"/>
      <c r="Q114" s="3"/>
      <c r="R114" s="3"/>
      <c r="S114" s="3"/>
    </row>
    <row r="115" spans="1:19" ht="12.9" customHeight="1" x14ac:dyDescent="0.25">
      <c r="C115" s="644">
        <v>596913.97667185555</v>
      </c>
      <c r="D115" s="82"/>
      <c r="E115" s="56"/>
      <c r="F115" s="56"/>
      <c r="G115" s="56"/>
      <c r="H115" s="82"/>
      <c r="I115" s="56"/>
      <c r="J115" s="56">
        <v>26</v>
      </c>
      <c r="K115" s="56">
        <v>22</v>
      </c>
      <c r="L115" s="57">
        <v>12</v>
      </c>
      <c r="M115" s="3"/>
      <c r="Q115" s="3"/>
      <c r="R115" s="3"/>
      <c r="S115" s="3"/>
    </row>
    <row r="116" spans="1:19" ht="12.9" customHeight="1" x14ac:dyDescent="0.25">
      <c r="C116" s="646">
        <v>595392.13390735711</v>
      </c>
      <c r="D116" s="83"/>
      <c r="E116" s="83"/>
      <c r="F116" s="83"/>
      <c r="G116" s="83"/>
      <c r="H116" s="83"/>
      <c r="I116" s="83"/>
      <c r="J116" s="83">
        <v>29</v>
      </c>
      <c r="K116" s="83">
        <v>24</v>
      </c>
      <c r="L116" s="84">
        <v>13</v>
      </c>
      <c r="M116" s="3"/>
      <c r="Q116" s="3"/>
      <c r="R116" s="3"/>
      <c r="S116" s="3"/>
    </row>
    <row r="117" spans="1:19" ht="12.9" customHeight="1" x14ac:dyDescent="0.25">
      <c r="A117" s="2"/>
      <c r="B117" s="2"/>
      <c r="C117" s="644">
        <v>593870.29114285705</v>
      </c>
      <c r="D117" s="82"/>
      <c r="E117" s="82"/>
      <c r="F117" s="82"/>
      <c r="G117" s="82"/>
      <c r="H117" s="82"/>
      <c r="I117" s="82"/>
      <c r="J117" s="82">
        <v>32</v>
      </c>
      <c r="K117" s="82">
        <v>26</v>
      </c>
      <c r="L117" s="85">
        <v>14</v>
      </c>
      <c r="M117" s="3"/>
      <c r="Q117" s="3"/>
      <c r="R117" s="3"/>
      <c r="S117" s="3"/>
    </row>
    <row r="118" spans="1:19" ht="12.9" customHeight="1" x14ac:dyDescent="0.25">
      <c r="C118" s="644">
        <v>591585.27505441417</v>
      </c>
      <c r="D118" s="82"/>
      <c r="E118" s="56"/>
      <c r="F118" s="56"/>
      <c r="G118" s="56"/>
      <c r="H118" s="82"/>
      <c r="I118" s="56"/>
      <c r="J118" s="56">
        <v>35</v>
      </c>
      <c r="K118" s="56">
        <v>29</v>
      </c>
      <c r="L118" s="57">
        <v>16</v>
      </c>
      <c r="M118" s="3"/>
      <c r="Q118" s="3"/>
      <c r="R118" s="3"/>
      <c r="S118" s="3"/>
    </row>
    <row r="119" spans="1:19" ht="12.9" customHeight="1" x14ac:dyDescent="0.25">
      <c r="C119" s="644">
        <v>590063.43228991434</v>
      </c>
      <c r="D119" s="82"/>
      <c r="E119" s="82"/>
      <c r="F119" s="82"/>
      <c r="G119" s="82"/>
      <c r="H119" s="82"/>
      <c r="I119" s="82"/>
      <c r="J119" s="82">
        <v>38</v>
      </c>
      <c r="K119" s="82">
        <v>31</v>
      </c>
      <c r="L119" s="85">
        <v>17</v>
      </c>
      <c r="M119" s="3"/>
      <c r="Q119" s="3"/>
      <c r="R119" s="3"/>
      <c r="S119" s="3"/>
    </row>
    <row r="120" spans="1:19" ht="12.9" customHeight="1" x14ac:dyDescent="0.25">
      <c r="C120" s="644">
        <v>588426.77167729114</v>
      </c>
      <c r="D120" s="82"/>
      <c r="E120" s="82"/>
      <c r="F120" s="82"/>
      <c r="G120" s="82"/>
      <c r="H120" s="82"/>
      <c r="I120" s="82"/>
      <c r="J120" s="82">
        <v>41</v>
      </c>
      <c r="K120" s="82">
        <v>34</v>
      </c>
      <c r="L120" s="85">
        <v>18</v>
      </c>
      <c r="M120" s="3"/>
      <c r="Q120" s="3"/>
      <c r="R120" s="3"/>
      <c r="S120" s="3"/>
    </row>
    <row r="121" spans="1:19" ht="12.9" customHeight="1" x14ac:dyDescent="0.25">
      <c r="C121" s="644">
        <v>586259.57343697257</v>
      </c>
      <c r="D121" s="82"/>
      <c r="E121" s="56"/>
      <c r="F121" s="56"/>
      <c r="G121" s="56"/>
      <c r="H121" s="56"/>
      <c r="I121" s="56"/>
      <c r="J121" s="56">
        <v>44</v>
      </c>
      <c r="K121" s="56">
        <v>36</v>
      </c>
      <c r="L121" s="57">
        <v>20</v>
      </c>
      <c r="M121" s="3"/>
      <c r="Q121" s="3"/>
      <c r="R121" s="3"/>
      <c r="S121" s="3"/>
    </row>
    <row r="122" spans="1:19" ht="12.9" customHeight="1" thickBot="1" x14ac:dyDescent="0.3">
      <c r="C122" s="648">
        <v>584949.34786995023</v>
      </c>
      <c r="D122" s="152"/>
      <c r="E122" s="59"/>
      <c r="F122" s="59"/>
      <c r="G122" s="59"/>
      <c r="H122" s="59"/>
      <c r="I122" s="59"/>
      <c r="J122" s="59">
        <v>46</v>
      </c>
      <c r="K122" s="59">
        <v>38</v>
      </c>
      <c r="L122" s="60">
        <v>21</v>
      </c>
      <c r="M122" s="3"/>
      <c r="Q122" s="3"/>
      <c r="R122" s="3"/>
      <c r="S122" s="3"/>
    </row>
    <row r="123" spans="1:19" ht="12.9" customHeight="1" thickBot="1" x14ac:dyDescent="0.3">
      <c r="E123" s="3"/>
      <c r="I123" s="3"/>
      <c r="M123" s="3"/>
      <c r="Q123" s="3"/>
      <c r="R123" s="3"/>
      <c r="S123" s="3"/>
    </row>
    <row r="124" spans="1:19" ht="12.9" customHeight="1" x14ac:dyDescent="0.25">
      <c r="C124" s="1080" t="str">
        <f>Lang!$A$45</f>
        <v>Premium materials</v>
      </c>
      <c r="D124" s="1081"/>
      <c r="E124" s="1081"/>
      <c r="F124" s="102">
        <v>0.05</v>
      </c>
      <c r="I124" s="3"/>
      <c r="J124" s="2"/>
      <c r="M124" s="3"/>
      <c r="Q124" s="3"/>
      <c r="R124" s="3"/>
      <c r="S124" s="3"/>
    </row>
    <row r="125" spans="1:19" ht="12.9" customHeight="1" x14ac:dyDescent="0.25">
      <c r="C125" s="872" t="str">
        <f>Lang!$A$145</f>
        <v>Profit</v>
      </c>
      <c r="D125" s="873">
        <v>1</v>
      </c>
      <c r="E125" s="873">
        <v>2</v>
      </c>
      <c r="F125" s="874">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2:19" ht="12.9" customHeight="1" x14ac:dyDescent="0.25">
      <c r="C129" s="644"/>
      <c r="D129" s="129"/>
      <c r="E129" s="63"/>
      <c r="F129" s="64"/>
      <c r="I129" s="3"/>
      <c r="J129" s="2"/>
      <c r="M129" s="3"/>
      <c r="Q129" s="3"/>
      <c r="R129" s="3"/>
      <c r="S129" s="3"/>
    </row>
    <row r="130" spans="2:19" ht="12.9" customHeight="1" x14ac:dyDescent="0.25">
      <c r="C130" s="644"/>
      <c r="D130" s="129"/>
      <c r="E130" s="129"/>
      <c r="F130" s="131"/>
      <c r="I130" s="3"/>
      <c r="J130" s="2"/>
      <c r="M130" s="3"/>
      <c r="Q130" s="3"/>
      <c r="R130" s="3"/>
      <c r="S130" s="3"/>
    </row>
    <row r="131" spans="2:19" ht="12.9" customHeight="1" x14ac:dyDescent="0.25">
      <c r="C131" s="644"/>
      <c r="D131" s="129"/>
      <c r="E131" s="63"/>
      <c r="F131" s="64"/>
      <c r="I131" s="3"/>
      <c r="J131" s="2"/>
      <c r="M131" s="3"/>
      <c r="Q131" s="3"/>
      <c r="R131" s="3"/>
      <c r="S131" s="3"/>
    </row>
    <row r="132" spans="2:19" ht="12.9" customHeight="1" x14ac:dyDescent="0.25">
      <c r="C132" s="646"/>
      <c r="D132" s="130"/>
      <c r="E132" s="130"/>
      <c r="F132" s="132"/>
      <c r="I132" s="3"/>
      <c r="J132" s="2"/>
      <c r="M132" s="3"/>
      <c r="Q132" s="3"/>
      <c r="R132" s="3"/>
      <c r="S132" s="3"/>
    </row>
    <row r="133" spans="2:19" ht="12.9" customHeight="1" x14ac:dyDescent="0.25">
      <c r="C133" s="644"/>
      <c r="D133" s="129"/>
      <c r="E133" s="129"/>
      <c r="F133" s="131"/>
      <c r="I133" s="3"/>
      <c r="J133" s="2"/>
      <c r="M133" s="3"/>
      <c r="Q133" s="3"/>
      <c r="R133" s="3"/>
      <c r="S133" s="3"/>
    </row>
    <row r="134" spans="2:19" ht="12.9" customHeight="1" x14ac:dyDescent="0.25">
      <c r="C134" s="644"/>
      <c r="D134" s="129"/>
      <c r="E134" s="63"/>
      <c r="F134" s="64"/>
      <c r="I134" s="3"/>
      <c r="J134" s="2"/>
      <c r="M134" s="3"/>
      <c r="Q134" s="3"/>
      <c r="R134" s="3"/>
      <c r="S134" s="3"/>
    </row>
    <row r="135" spans="2:19" ht="12.9" customHeight="1" x14ac:dyDescent="0.25">
      <c r="C135" s="644"/>
      <c r="D135" s="129"/>
      <c r="E135" s="129"/>
      <c r="F135" s="131"/>
      <c r="I135" s="3"/>
      <c r="J135" s="2"/>
      <c r="M135" s="3"/>
      <c r="Q135" s="3"/>
      <c r="R135" s="3"/>
      <c r="S135" s="3"/>
    </row>
    <row r="136" spans="2:19" ht="12.9" customHeight="1" x14ac:dyDescent="0.25">
      <c r="C136" s="644"/>
      <c r="D136" s="129"/>
      <c r="E136" s="129"/>
      <c r="F136" s="131"/>
      <c r="I136" s="3"/>
      <c r="J136" s="2"/>
      <c r="M136" s="3"/>
      <c r="Q136" s="3"/>
      <c r="R136" s="3"/>
      <c r="S136" s="3"/>
    </row>
    <row r="137" spans="2:19" ht="12.9" customHeight="1" x14ac:dyDescent="0.25">
      <c r="C137" s="644"/>
      <c r="D137" s="129"/>
      <c r="E137" s="63"/>
      <c r="F137" s="64"/>
      <c r="I137" s="3"/>
      <c r="J137" s="2"/>
      <c r="M137" s="3"/>
      <c r="Q137" s="3"/>
      <c r="R137" s="3"/>
      <c r="S137" s="3"/>
    </row>
    <row r="138" spans="2:19" ht="12.9" customHeight="1" thickBot="1" x14ac:dyDescent="0.3">
      <c r="C138" s="648"/>
      <c r="D138" s="604"/>
      <c r="E138" s="65"/>
      <c r="F138" s="66"/>
      <c r="I138" s="3"/>
      <c r="J138" s="2"/>
      <c r="M138" s="3"/>
      <c r="Q138" s="3"/>
      <c r="R138" s="3"/>
      <c r="S138" s="3"/>
    </row>
    <row r="139" spans="2:19" x14ac:dyDescent="0.25">
      <c r="B139" s="2"/>
      <c r="E139" s="3"/>
      <c r="F139" s="2"/>
      <c r="I139" s="3"/>
      <c r="J139" s="2"/>
      <c r="K139" s="2"/>
      <c r="L139" s="8"/>
      <c r="M139" s="3"/>
      <c r="Q139" s="3"/>
      <c r="R139" s="3"/>
      <c r="S139" s="3"/>
    </row>
    <row r="140" spans="2:19" x14ac:dyDescent="0.25">
      <c r="B140" s="2"/>
      <c r="E140" s="3"/>
      <c r="F140" s="2"/>
      <c r="I140" s="3"/>
      <c r="J140" s="2"/>
      <c r="K140" s="2"/>
      <c r="L140" s="8"/>
      <c r="M140" s="3"/>
      <c r="Q140" s="3"/>
      <c r="R140" s="3"/>
      <c r="S140" s="3"/>
    </row>
    <row r="141" spans="2:19" x14ac:dyDescent="0.25">
      <c r="B141" s="2"/>
      <c r="E141" s="3"/>
      <c r="F141" s="2"/>
      <c r="I141" s="3"/>
      <c r="J141" s="2"/>
      <c r="K141" s="2"/>
      <c r="L141" s="8"/>
      <c r="M141" s="3"/>
      <c r="Q141" s="3"/>
      <c r="R141" s="3"/>
      <c r="S141" s="3"/>
    </row>
    <row r="142" spans="2:19" x14ac:dyDescent="0.25">
      <c r="B142" s="2"/>
      <c r="E142" s="3"/>
      <c r="F142" s="2"/>
      <c r="I142" s="3"/>
      <c r="J142" s="2"/>
      <c r="K142" s="2"/>
      <c r="L142" s="8"/>
      <c r="M142" s="3"/>
      <c r="Q142" s="3"/>
      <c r="R142" s="3"/>
      <c r="S142" s="3"/>
    </row>
    <row r="143" spans="2:19" x14ac:dyDescent="0.25">
      <c r="B143" s="2"/>
      <c r="E143" s="3"/>
      <c r="F143" s="2"/>
      <c r="I143" s="3"/>
      <c r="J143" s="2"/>
      <c r="K143" s="2"/>
      <c r="L143" s="8"/>
      <c r="M143" s="3"/>
      <c r="Q143" s="3"/>
      <c r="R143" s="3"/>
      <c r="S143" s="3"/>
    </row>
    <row r="144" spans="2:19" x14ac:dyDescent="0.25">
      <c r="B144" s="2"/>
      <c r="E144" s="3"/>
      <c r="F144" s="2"/>
      <c r="I144" s="3"/>
      <c r="J144" s="2"/>
      <c r="K144" s="2"/>
      <c r="L144" s="8"/>
      <c r="M144" s="3"/>
      <c r="Q144" s="3"/>
      <c r="R144" s="3"/>
      <c r="S144" s="3"/>
    </row>
    <row r="145" spans="2:19" x14ac:dyDescent="0.25">
      <c r="B145" s="2"/>
      <c r="E145" s="3"/>
      <c r="F145" s="2"/>
      <c r="I145" s="3"/>
      <c r="J145" s="2"/>
      <c r="K145" s="2"/>
      <c r="L145" s="8"/>
      <c r="M145" s="3"/>
      <c r="Q145" s="3"/>
      <c r="R145" s="3"/>
      <c r="S145" s="3"/>
    </row>
    <row r="146" spans="2:19" x14ac:dyDescent="0.25">
      <c r="B146" s="2"/>
      <c r="E146" s="3"/>
      <c r="F146" s="2"/>
      <c r="I146" s="3"/>
      <c r="J146" s="2"/>
      <c r="K146" s="2"/>
      <c r="L146" s="8"/>
      <c r="M146" s="3"/>
      <c r="Q146" s="3"/>
      <c r="R146" s="3"/>
      <c r="S146" s="3"/>
    </row>
    <row r="147" spans="2:19" x14ac:dyDescent="0.25">
      <c r="B147" s="2"/>
      <c r="E147" s="3"/>
      <c r="F147" s="2"/>
      <c r="I147" s="3"/>
      <c r="J147" s="2"/>
      <c r="K147" s="2"/>
      <c r="L147" s="8"/>
      <c r="M147" s="3"/>
      <c r="Q147" s="3"/>
      <c r="R147" s="3"/>
      <c r="S147" s="3"/>
    </row>
    <row r="148" spans="2:19" x14ac:dyDescent="0.25">
      <c r="B148" s="2"/>
      <c r="E148" s="3"/>
      <c r="F148" s="2"/>
      <c r="I148" s="3"/>
      <c r="J148" s="2"/>
      <c r="K148" s="2"/>
      <c r="L148" s="8"/>
      <c r="M148" s="3"/>
      <c r="Q148" s="3"/>
      <c r="R148" s="3"/>
      <c r="S148" s="3"/>
    </row>
    <row r="149" spans="2:19" x14ac:dyDescent="0.25">
      <c r="B149" s="2"/>
      <c r="E149" s="3"/>
      <c r="F149" s="2"/>
      <c r="I149" s="3"/>
      <c r="J149" s="2"/>
      <c r="K149" s="2"/>
      <c r="L149" s="8"/>
      <c r="M149" s="3"/>
      <c r="Q149" s="3"/>
      <c r="R149" s="3"/>
      <c r="S149" s="3"/>
    </row>
    <row r="150" spans="2:19" x14ac:dyDescent="0.25">
      <c r="B150" s="2"/>
      <c r="E150" s="3"/>
      <c r="F150" s="2"/>
      <c r="I150" s="3"/>
      <c r="J150" s="2"/>
      <c r="K150" s="2"/>
      <c r="L150" s="8"/>
      <c r="M150" s="3"/>
      <c r="Q150" s="3"/>
      <c r="R150" s="3"/>
      <c r="S150" s="3"/>
    </row>
    <row r="151" spans="2:19" x14ac:dyDescent="0.25">
      <c r="B151" s="2"/>
      <c r="E151" s="3"/>
      <c r="F151" s="2"/>
      <c r="I151" s="3"/>
      <c r="J151" s="2"/>
      <c r="K151" s="2"/>
      <c r="L151" s="8"/>
      <c r="M151" s="3"/>
      <c r="Q151" s="3"/>
      <c r="R151" s="3"/>
      <c r="S151" s="3"/>
    </row>
    <row r="152" spans="2:19" x14ac:dyDescent="0.25">
      <c r="B152" s="2"/>
      <c r="E152" s="3"/>
      <c r="F152" s="2"/>
      <c r="I152" s="3"/>
      <c r="J152" s="2"/>
      <c r="K152" s="2"/>
      <c r="L152" s="8"/>
      <c r="M152" s="3"/>
      <c r="Q152" s="3"/>
      <c r="R152" s="3"/>
      <c r="S152" s="3"/>
    </row>
    <row r="153" spans="2:19" x14ac:dyDescent="0.25">
      <c r="B153" s="2"/>
      <c r="E153" s="3"/>
      <c r="F153" s="2"/>
      <c r="I153" s="3"/>
      <c r="J153" s="2"/>
      <c r="K153" s="2"/>
      <c r="L153" s="8"/>
      <c r="M153" s="3"/>
      <c r="Q153" s="3"/>
      <c r="R153" s="3"/>
      <c r="S153" s="3"/>
    </row>
    <row r="154" spans="2:19" x14ac:dyDescent="0.25">
      <c r="B154" s="2"/>
      <c r="E154" s="3"/>
      <c r="F154" s="2"/>
      <c r="I154" s="3"/>
      <c r="J154" s="2"/>
      <c r="K154" s="2"/>
      <c r="L154" s="8"/>
      <c r="M154" s="3"/>
      <c r="Q154" s="3"/>
      <c r="R154" s="3"/>
      <c r="S154" s="3"/>
    </row>
  </sheetData>
  <mergeCells count="135">
    <mergeCell ref="A1:C1"/>
    <mergeCell ref="F1:H1"/>
    <mergeCell ref="J1:L1"/>
    <mergeCell ref="N1:P1"/>
    <mergeCell ref="N16:P16"/>
    <mergeCell ref="V1:W1"/>
    <mergeCell ref="R1:T1"/>
    <mergeCell ref="V6:W6"/>
    <mergeCell ref="Y6:Y9"/>
    <mergeCell ref="F8:G8"/>
    <mergeCell ref="F9:G9"/>
    <mergeCell ref="F10:G10"/>
    <mergeCell ref="Y1:Y4"/>
    <mergeCell ref="A15:D15"/>
    <mergeCell ref="J16:L16"/>
    <mergeCell ref="N11:P11"/>
    <mergeCell ref="F6:G6"/>
    <mergeCell ref="AH1:AI4"/>
    <mergeCell ref="F2:G2"/>
    <mergeCell ref="F3:G3"/>
    <mergeCell ref="F4:G4"/>
    <mergeCell ref="F5:G5"/>
    <mergeCell ref="AH5:AI8"/>
    <mergeCell ref="F7:G7"/>
    <mergeCell ref="J6:L6"/>
    <mergeCell ref="R16:T16"/>
    <mergeCell ref="N6:P6"/>
    <mergeCell ref="R6:T6"/>
    <mergeCell ref="V11:W11"/>
    <mergeCell ref="Y11:Y14"/>
    <mergeCell ref="F14:H14"/>
    <mergeCell ref="AH13:AI16"/>
    <mergeCell ref="R11:T11"/>
    <mergeCell ref="V16:W16"/>
    <mergeCell ref="Y16:Y19"/>
    <mergeCell ref="F18:G18"/>
    <mergeCell ref="AH17:AI20"/>
    <mergeCell ref="F19:G19"/>
    <mergeCell ref="F15:G15"/>
    <mergeCell ref="F16:G16"/>
    <mergeCell ref="F17:G17"/>
    <mergeCell ref="F25:G25"/>
    <mergeCell ref="AH25:AI28"/>
    <mergeCell ref="F26:G26"/>
    <mergeCell ref="J26:L26"/>
    <mergeCell ref="F21:G21"/>
    <mergeCell ref="J21:L21"/>
    <mergeCell ref="N21:P21"/>
    <mergeCell ref="R21:T21"/>
    <mergeCell ref="V21:W21"/>
    <mergeCell ref="Y21:Y24"/>
    <mergeCell ref="V26:W26"/>
    <mergeCell ref="Y26:Y29"/>
    <mergeCell ref="R26:T26"/>
    <mergeCell ref="N26:P26"/>
    <mergeCell ref="AH9:AI12"/>
    <mergeCell ref="F11:G11"/>
    <mergeCell ref="F12:G12"/>
    <mergeCell ref="J11:L11"/>
    <mergeCell ref="A18:A19"/>
    <mergeCell ref="AH21:AI24"/>
    <mergeCell ref="F22:G22"/>
    <mergeCell ref="F23:G23"/>
    <mergeCell ref="F24:G24"/>
    <mergeCell ref="F20:G20"/>
    <mergeCell ref="A27:D27"/>
    <mergeCell ref="F27:G27"/>
    <mergeCell ref="F28:H28"/>
    <mergeCell ref="A32:C32"/>
    <mergeCell ref="F32:G3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N36:P36"/>
    <mergeCell ref="R36:T36"/>
    <mergeCell ref="V41:W41"/>
    <mergeCell ref="A47:D47"/>
    <mergeCell ref="F47:G47"/>
    <mergeCell ref="F48:G48"/>
    <mergeCell ref="F49:G49"/>
    <mergeCell ref="AH49:AI52"/>
    <mergeCell ref="F50:G50"/>
    <mergeCell ref="AH45:AI48"/>
    <mergeCell ref="F46:G46"/>
    <mergeCell ref="J46:L46"/>
    <mergeCell ref="N46:P46"/>
    <mergeCell ref="R46:S46"/>
    <mergeCell ref="V46:W46"/>
    <mergeCell ref="Y46:Y49"/>
    <mergeCell ref="F45:G45"/>
    <mergeCell ref="F42:G42"/>
    <mergeCell ref="F43:G43"/>
    <mergeCell ref="F44:G44"/>
    <mergeCell ref="F38:G38"/>
    <mergeCell ref="F39:G39"/>
    <mergeCell ref="F40:G40"/>
    <mergeCell ref="F41:G41"/>
    <mergeCell ref="J41:L41"/>
    <mergeCell ref="C108:K108"/>
    <mergeCell ref="C124:E124"/>
    <mergeCell ref="A42:C42"/>
    <mergeCell ref="AH53:AI56"/>
    <mergeCell ref="AH57:AI60"/>
    <mergeCell ref="AH61:AI64"/>
    <mergeCell ref="AH65:AI68"/>
    <mergeCell ref="N66:N67"/>
    <mergeCell ref="AH69:AI72"/>
    <mergeCell ref="Y41:Y44"/>
    <mergeCell ref="AH41:AI44"/>
    <mergeCell ref="AH93:AI96"/>
    <mergeCell ref="AH97:AI100"/>
    <mergeCell ref="AH101:AI104"/>
    <mergeCell ref="AH73:AI76"/>
    <mergeCell ref="N75:N76"/>
    <mergeCell ref="AH77:AI80"/>
    <mergeCell ref="AH81:AI84"/>
    <mergeCell ref="AH85:AI88"/>
    <mergeCell ref="AH89:AI92"/>
    <mergeCell ref="C92:K92"/>
    <mergeCell ref="N41:P41"/>
  </mergeCells>
  <conditionalFormatting sqref="I26">
    <cfRule type="cellIs" dxfId="379" priority="183" operator="lessThan">
      <formula>$I$27</formula>
    </cfRule>
  </conditionalFormatting>
  <conditionalFormatting sqref="J7:L9">
    <cfRule type="cellIs" dxfId="378" priority="172" operator="greaterThan">
      <formula>0</formula>
    </cfRule>
  </conditionalFormatting>
  <conditionalFormatting sqref="D1">
    <cfRule type="cellIs" dxfId="377" priority="169" operator="greaterThan">
      <formula>0</formula>
    </cfRule>
  </conditionalFormatting>
  <conditionalFormatting sqref="Q50">
    <cfRule type="cellIs" dxfId="376" priority="167" operator="lessThan">
      <formula>0</formula>
    </cfRule>
    <cfRule type="cellIs" dxfId="375" priority="168" operator="greaterThan">
      <formula>0</formula>
    </cfRule>
  </conditionalFormatting>
  <conditionalFormatting sqref="B48:D50">
    <cfRule type="colorScale" priority="166">
      <colorScale>
        <cfvo type="min"/>
        <cfvo type="percentile" val="50"/>
        <cfvo type="max"/>
        <color rgb="FF63BE7B"/>
        <color rgb="FFFFEB84"/>
        <color rgb="FFF8696B"/>
      </colorScale>
    </cfRule>
  </conditionalFormatting>
  <conditionalFormatting sqref="AK2:AM4">
    <cfRule type="colorScale" priority="161">
      <colorScale>
        <cfvo type="min"/>
        <cfvo type="percentile" val="50"/>
        <cfvo type="max"/>
        <color rgb="FFF8696B"/>
        <color rgb="FFFFEB84"/>
        <color rgb="FF63BE7B"/>
      </colorScale>
    </cfRule>
  </conditionalFormatting>
  <conditionalFormatting sqref="AJ112">
    <cfRule type="colorScale" priority="185">
      <colorScale>
        <cfvo type="min"/>
        <cfvo type="percentile" val="50"/>
        <cfvo type="max"/>
        <color rgb="FFF8696B"/>
        <color rgb="FFFFEB84"/>
        <color rgb="FF63BE7B"/>
      </colorScale>
    </cfRule>
  </conditionalFormatting>
  <conditionalFormatting sqref="T46">
    <cfRule type="cellIs" dxfId="374" priority="146" operator="greaterThan">
      <formula>0</formula>
    </cfRule>
  </conditionalFormatting>
  <conditionalFormatting sqref="D35">
    <cfRule type="cellIs" dxfId="373" priority="187" operator="between">
      <formula>$D$40-$D$40*0.05</formula>
      <formula>$D$40+$D$40*0.05</formula>
    </cfRule>
  </conditionalFormatting>
  <conditionalFormatting sqref="B33:B34">
    <cfRule type="cellIs" dxfId="372" priority="188" operator="between">
      <formula>$B$38-$B$38*0.05</formula>
      <formula>$B$38+$B$38*0.05</formula>
    </cfRule>
  </conditionalFormatting>
  <conditionalFormatting sqref="B35">
    <cfRule type="cellIs" dxfId="371" priority="189" operator="between">
      <formula>$B$40-$B$40*0.05</formula>
      <formula>$B$40+$B$40*0.05</formula>
    </cfRule>
  </conditionalFormatting>
  <conditionalFormatting sqref="C33:C34">
    <cfRule type="cellIs" dxfId="370" priority="190" operator="between">
      <formula>$C$38-$C$38*0.05</formula>
      <formula>$C$38+$C$38*0.05</formula>
    </cfRule>
  </conditionalFormatting>
  <conditionalFormatting sqref="C35">
    <cfRule type="cellIs" dxfId="369" priority="191" operator="between">
      <formula>$C$40-$C$40*0.05</formula>
      <formula>$C$40+$C$40*0.05</formula>
    </cfRule>
  </conditionalFormatting>
  <conditionalFormatting sqref="D33:D34">
    <cfRule type="cellIs" dxfId="368" priority="192" operator="between">
      <formula>$D$38-$D$38*0.05</formula>
      <formula>$D$38+$D$38*0.05</formula>
    </cfRule>
  </conditionalFormatting>
  <conditionalFormatting sqref="M67">
    <cfRule type="cellIs" dxfId="367" priority="141" operator="lessThan">
      <formula>0</formula>
    </cfRule>
  </conditionalFormatting>
  <conditionalFormatting sqref="O67">
    <cfRule type="cellIs" dxfId="366" priority="140" operator="greaterThan">
      <formula>$P$72</formula>
    </cfRule>
  </conditionalFormatting>
  <conditionalFormatting sqref="I10">
    <cfRule type="cellIs" dxfId="365" priority="135" operator="equal">
      <formula>0</formula>
    </cfRule>
  </conditionalFormatting>
  <conditionalFormatting sqref="J37:L39">
    <cfRule type="cellIs" dxfId="364" priority="125" operator="lessThan">
      <formula>0</formula>
    </cfRule>
  </conditionalFormatting>
  <conditionalFormatting sqref="H19">
    <cfRule type="cellIs" dxfId="363" priority="124" operator="greaterThan">
      <formula>0</formula>
    </cfRule>
  </conditionalFormatting>
  <conditionalFormatting sqref="B8:D8">
    <cfRule type="cellIs" dxfId="362" priority="117" operator="lessThan">
      <formula>#REF!</formula>
    </cfRule>
  </conditionalFormatting>
  <conditionalFormatting sqref="A13">
    <cfRule type="cellIs" dxfId="361" priority="115" operator="lessThan">
      <formula>0</formula>
    </cfRule>
  </conditionalFormatting>
  <conditionalFormatting sqref="M66">
    <cfRule type="cellIs" dxfId="360" priority="114" operator="lessThan">
      <formula>0</formula>
    </cfRule>
  </conditionalFormatting>
  <conditionalFormatting sqref="D55:D71 D74:D76 D80:D81">
    <cfRule type="cellIs" dxfId="359" priority="113" operator="between">
      <formula>C55-C55*0.01</formula>
      <formula>C55+C55*0.01</formula>
    </cfRule>
  </conditionalFormatting>
  <conditionalFormatting sqref="I56 I58:I78 I80:I83">
    <cfRule type="cellIs" dxfId="358" priority="112" operator="between">
      <formula>H56-H56*0.01</formula>
      <formula>H56+H56*0.01</formula>
    </cfRule>
  </conditionalFormatting>
  <conditionalFormatting sqref="N56:N59 N80 N83:N86 N70 N62:N66 N68 N73:N75 N77:N78">
    <cfRule type="cellIs" dxfId="357" priority="111" operator="between">
      <formula>M56-M56*0.01</formula>
      <formula>M56+M56*0.01</formula>
    </cfRule>
  </conditionalFormatting>
  <conditionalFormatting sqref="S56:S60 S76:S79 S69:S74 S63:S66">
    <cfRule type="cellIs" dxfId="356" priority="110" operator="between">
      <formula>R56-R56*0.01</formula>
      <formula>R56+R56*0.01</formula>
    </cfRule>
  </conditionalFormatting>
  <conditionalFormatting sqref="H31">
    <cfRule type="cellIs" dxfId="355" priority="106" operator="lessThan">
      <formula>0</formula>
    </cfRule>
  </conditionalFormatting>
  <conditionalFormatting sqref="I15">
    <cfRule type="cellIs" dxfId="354" priority="6" operator="lessThan">
      <formula>1</formula>
    </cfRule>
    <cfRule type="cellIs" dxfId="353" priority="103" operator="greaterThan">
      <formula>$I$16</formula>
    </cfRule>
  </conditionalFormatting>
  <conditionalFormatting sqref="I2">
    <cfRule type="cellIs" dxfId="352" priority="97" operator="lessThan">
      <formula>$I$6</formula>
    </cfRule>
    <cfRule type="cellIs" dxfId="351" priority="98" operator="greaterThan">
      <formula>$I$3</formula>
    </cfRule>
  </conditionalFormatting>
  <conditionalFormatting sqref="A38:A40">
    <cfRule type="cellIs" dxfId="350" priority="96" operator="greaterThan">
      <formula>0</formula>
    </cfRule>
  </conditionalFormatting>
  <conditionalFormatting sqref="I49">
    <cfRule type="cellIs" dxfId="349" priority="94" operator="lessThan">
      <formula>$I$50</formula>
    </cfRule>
  </conditionalFormatting>
  <conditionalFormatting sqref="B10:D10">
    <cfRule type="cellIs" dxfId="348" priority="93" operator="lessThan">
      <formula>B$11</formula>
    </cfRule>
  </conditionalFormatting>
  <conditionalFormatting sqref="H32">
    <cfRule type="cellIs" dxfId="347" priority="89" operator="lessThan">
      <formula>0</formula>
    </cfRule>
  </conditionalFormatting>
  <conditionalFormatting sqref="B16:D17">
    <cfRule type="cellIs" dxfId="346" priority="88" operator="equal">
      <formula>"Major"</formula>
    </cfRule>
  </conditionalFormatting>
  <conditionalFormatting sqref="AA53:AE53 AC54:AE54">
    <cfRule type="cellIs" dxfId="345" priority="39" operator="lessThan">
      <formula>0</formula>
    </cfRule>
    <cfRule type="cellIs" dxfId="344" priority="40" operator="greaterThan">
      <formula>0</formula>
    </cfRule>
  </conditionalFormatting>
  <conditionalFormatting sqref="AC55:AE55">
    <cfRule type="cellIs" dxfId="343" priority="37" operator="lessThan">
      <formula>0</formula>
    </cfRule>
    <cfRule type="cellIs" dxfId="342" priority="38" operator="greaterThan">
      <formula>0</formula>
    </cfRule>
  </conditionalFormatting>
  <conditionalFormatting sqref="AA68:AE69">
    <cfRule type="cellIs" dxfId="341" priority="35" operator="lessThan">
      <formula>0</formula>
    </cfRule>
    <cfRule type="cellIs" dxfId="340" priority="36" operator="greaterThan">
      <formula>0</formula>
    </cfRule>
  </conditionalFormatting>
  <conditionalFormatting sqref="AA70:AE70">
    <cfRule type="cellIs" dxfId="339" priority="33" operator="lessThan">
      <formula>0</formula>
    </cfRule>
    <cfRule type="cellIs" dxfId="338" priority="34" operator="greaterThan">
      <formula>0</formula>
    </cfRule>
  </conditionalFormatting>
  <conditionalFormatting sqref="B13">
    <cfRule type="cellIs" dxfId="337" priority="28" operator="lessThan">
      <formula>0</formula>
    </cfRule>
  </conditionalFormatting>
  <conditionalFormatting sqref="E9">
    <cfRule type="cellIs" dxfId="336" priority="26" operator="greaterThan">
      <formula>0</formula>
    </cfRule>
    <cfRule type="cellIs" dxfId="335" priority="27" operator="lessThan">
      <formula>0</formula>
    </cfRule>
  </conditionalFormatting>
  <conditionalFormatting sqref="E7">
    <cfRule type="cellIs" dxfId="334" priority="24" operator="greaterThan">
      <formula>0</formula>
    </cfRule>
    <cfRule type="cellIs" dxfId="333" priority="25" operator="lessThan">
      <formula>0</formula>
    </cfRule>
  </conditionalFormatting>
  <conditionalFormatting sqref="H45">
    <cfRule type="cellIs" dxfId="332" priority="23" operator="lessThan">
      <formula>$I$45</formula>
    </cfRule>
  </conditionalFormatting>
  <conditionalFormatting sqref="O66">
    <cfRule type="cellIs" dxfId="331" priority="22" operator="greaterThan">
      <formula>$P$72</formula>
    </cfRule>
  </conditionalFormatting>
  <conditionalFormatting sqref="C28:C30">
    <cfRule type="cellIs" dxfId="330" priority="20" operator="lessThan">
      <formula>5</formula>
    </cfRule>
  </conditionalFormatting>
  <conditionalFormatting sqref="H42">
    <cfRule type="expression" dxfId="329" priority="19">
      <formula>AND(H42&gt;0,H82&lt;H80)</formula>
    </cfRule>
  </conditionalFormatting>
  <conditionalFormatting sqref="C110:C122">
    <cfRule type="colorScale" priority="18">
      <colorScale>
        <cfvo type="min"/>
        <cfvo type="percentile" val="50"/>
        <cfvo type="max"/>
        <color rgb="FFF8696B"/>
        <color rgb="FFFFEB84"/>
        <color rgb="FF63BE7B"/>
      </colorScale>
    </cfRule>
  </conditionalFormatting>
  <conditionalFormatting sqref="C94:C106">
    <cfRule type="colorScale" priority="17">
      <colorScale>
        <cfvo type="min"/>
        <cfvo type="percentile" val="50"/>
        <cfvo type="max"/>
        <color rgb="FFF8696B"/>
        <color rgb="FFFFEB84"/>
        <color rgb="FF63BE7B"/>
      </colorScale>
    </cfRule>
  </conditionalFormatting>
  <conditionalFormatting sqref="C126:C138">
    <cfRule type="colorScale" priority="15">
      <colorScale>
        <cfvo type="min"/>
        <cfvo type="percentile" val="50"/>
        <cfvo type="max"/>
        <color rgb="FFF8696B"/>
        <color rgb="FFFFEB84"/>
        <color rgb="FF63BE7B"/>
      </colorScale>
    </cfRule>
  </conditionalFormatting>
  <conditionalFormatting sqref="E13">
    <cfRule type="cellIs" dxfId="328" priority="9" operator="greaterThan">
      <formula>0</formula>
    </cfRule>
    <cfRule type="cellIs" dxfId="327" priority="10" operator="lessThan">
      <formula>0</formula>
    </cfRule>
  </conditionalFormatting>
  <conditionalFormatting sqref="B43:D45">
    <cfRule type="cellIs" dxfId="326" priority="8" operator="lessThan">
      <formula>1</formula>
    </cfRule>
  </conditionalFormatting>
  <conditionalFormatting sqref="I12">
    <cfRule type="cellIs" dxfId="325" priority="7" operator="lessThan">
      <formula>10</formula>
    </cfRule>
  </conditionalFormatting>
  <conditionalFormatting sqref="B18">
    <cfRule type="cellIs" dxfId="324" priority="4" operator="lessThan">
      <formula>E20</formula>
    </cfRule>
  </conditionalFormatting>
  <conditionalFormatting sqref="C18">
    <cfRule type="cellIs" dxfId="323" priority="3" operator="lessThan">
      <formula>E21</formula>
    </cfRule>
  </conditionalFormatting>
  <conditionalFormatting sqref="D18">
    <cfRule type="cellIs" dxfId="322" priority="2" operator="lessThan">
      <formula>E22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1133" r:id="rId4" name="Button 157">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11135" r:id="rId5" name="Button 159">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11136" r:id="rId6" name="Button 160">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11137" r:id="rId7" name="Button 161">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11138" r:id="rId8" name="Button 162">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11139" r:id="rId9" name="Button 163">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11140" r:id="rId10" name="Button 164">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11141" r:id="rId11" name="Button 165">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11142" r:id="rId12" name="Button 166">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11143" r:id="rId13" name="Button 167">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11154" r:id="rId14" name="Button 178">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11155" r:id="rId15" name="Button 179">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11156" r:id="rId16" name="Button 180">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11157" r:id="rId17" name="Button 181">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11161" r:id="rId18" name="Button 185">
              <controlPr defaultSize="0" print="0" autoFill="0" autoPict="0" macro="[0]!Decision_strategy_copy">
                <anchor moveWithCells="1" sizeWithCells="1">
                  <from>
                    <xdr:col>4</xdr:col>
                    <xdr:colOff>678180</xdr:colOff>
                    <xdr:row>88</xdr:row>
                    <xdr:rowOff>0</xdr:rowOff>
                  </from>
                  <to>
                    <xdr:col>6</xdr:col>
                    <xdr:colOff>685800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D024E53B-9224-47F3-A7CA-EA0CDED6EC94}">
            <xm:f>'91'!$P$25*1.15</xm:f>
            <x14:dxf>
              <font>
                <color rgb="FF9C0006"/>
              </font>
              <fill>
                <patternFill>
                  <bgColor rgb="FFFFC7CE"/>
                </patternFill>
              </fill>
            </x14:dxf>
          </x14:cfRule>
          <xm:sqref>H26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R157"/>
  <sheetViews>
    <sheetView topLeftCell="D43" zoomScale="50" zoomScaleNormal="50" workbookViewId="0">
      <selection activeCell="AK82" sqref="AK82"/>
    </sheetView>
  </sheetViews>
  <sheetFormatPr baseColWidth="10" defaultColWidth="9.109375" defaultRowHeight="13.2" x14ac:dyDescent="0.25"/>
  <cols>
    <col min="1" max="1" width="24.33203125" style="3" customWidth="1"/>
    <col min="2" max="9" width="11.44140625" style="3" customWidth="1"/>
    <col min="10" max="10" width="2.88671875" style="3" customWidth="1"/>
    <col min="11" max="11" width="10.6640625" style="3" customWidth="1"/>
    <col min="12" max="19" width="9.109375" style="3" customWidth="1"/>
    <col min="20" max="20" width="11.44140625" style="3" customWidth="1"/>
    <col min="21" max="21" width="2.88671875" style="3" customWidth="1"/>
    <col min="22" max="22" width="10.6640625" style="3" customWidth="1"/>
    <col min="23" max="30" width="6.44140625" style="3" customWidth="1"/>
    <col min="31" max="31" width="8.5546875" style="3" customWidth="1"/>
    <col min="32" max="32" width="2.88671875" style="3" customWidth="1"/>
    <col min="33" max="33" width="10.6640625" style="3" customWidth="1"/>
    <col min="34" max="42" width="7.109375" style="3" customWidth="1"/>
    <col min="43" max="43" width="8.5546875" style="3" customWidth="1"/>
    <col min="44" max="16384" width="9.109375" style="3"/>
  </cols>
  <sheetData>
    <row r="1" spans="1:31" s="345" customFormat="1" ht="13.8" thickBot="1" x14ac:dyDescent="0.3">
      <c r="A1" s="362"/>
      <c r="B1" s="362">
        <f>'11'!$S$9</f>
        <v>2</v>
      </c>
      <c r="C1" s="362">
        <f>'21'!$S$9</f>
        <v>3</v>
      </c>
      <c r="D1" s="362">
        <f>'31'!$S$9</f>
        <v>4</v>
      </c>
      <c r="E1" s="362">
        <f>'41'!$S$9</f>
        <v>1</v>
      </c>
      <c r="F1" s="362">
        <f>'51'!$S$9</f>
        <v>2</v>
      </c>
      <c r="G1" s="345" t="str">
        <f>IF('71'!$L6=6,1,"")</f>
        <v/>
      </c>
      <c r="H1" s="345" t="str">
        <f>IF('71'!$L6=6,1,"")</f>
        <v/>
      </c>
      <c r="I1" s="345" t="str">
        <f>IF('71'!$L6=6,1,"")</f>
        <v/>
      </c>
      <c r="J1" s="3"/>
      <c r="K1" s="3"/>
      <c r="L1" s="3"/>
      <c r="M1" s="3"/>
      <c r="N1" s="3"/>
      <c r="O1" s="3"/>
      <c r="P1" s="3"/>
      <c r="Q1" s="3"/>
      <c r="R1" s="3"/>
      <c r="S1" s="3"/>
      <c r="T1" s="97"/>
      <c r="U1" s="3"/>
      <c r="V1" s="3"/>
      <c r="W1" s="3"/>
      <c r="X1" s="3"/>
      <c r="Y1" s="3"/>
      <c r="Z1" s="3"/>
      <c r="AA1" s="3"/>
      <c r="AB1" s="3"/>
      <c r="AC1" s="3"/>
      <c r="AD1" s="3"/>
      <c r="AE1" s="3"/>
    </row>
    <row r="2" spans="1:31" ht="12.75" customHeight="1" x14ac:dyDescent="0.25">
      <c r="A2" s="342" t="str">
        <f>Lang!$A$134</f>
        <v>Net assets</v>
      </c>
      <c r="B2" s="26">
        <f>'14'!F$83</f>
        <v>3748753</v>
      </c>
      <c r="C2" s="26">
        <f>'24'!F$83</f>
        <v>3631834</v>
      </c>
      <c r="D2" s="26">
        <f>'34'!F$83</f>
        <v>3704260</v>
      </c>
      <c r="E2" s="26">
        <f>'44'!F$83</f>
        <v>3692496</v>
      </c>
      <c r="F2" s="27">
        <f>'54'!F$83</f>
        <v>3813915</v>
      </c>
    </row>
    <row r="3" spans="1:31" ht="12.75" customHeight="1" x14ac:dyDescent="0.25">
      <c r="A3" s="31" t="str">
        <f>Lang!$A$153</f>
        <v>Non-current assets</v>
      </c>
      <c r="B3" s="6">
        <f>'14'!F$67</f>
        <v>885000</v>
      </c>
      <c r="C3" s="6">
        <f>'24'!F$67</f>
        <v>1455376</v>
      </c>
      <c r="D3" s="6">
        <f>'34'!F$67</f>
        <v>1426492</v>
      </c>
      <c r="E3" s="6">
        <f>'44'!F$67</f>
        <v>1398328</v>
      </c>
      <c r="F3" s="7">
        <f>'54'!F$67</f>
        <v>1370870</v>
      </c>
    </row>
    <row r="4" spans="1:31" ht="12.75" customHeight="1" x14ac:dyDescent="0.25">
      <c r="A4" s="13" t="str">
        <f>Lang!$A$154</f>
        <v>Inventories</v>
      </c>
      <c r="B4" s="6">
        <f>'14'!F$68</f>
        <v>160480</v>
      </c>
      <c r="C4" s="6">
        <f>'24'!F$68</f>
        <v>186034</v>
      </c>
      <c r="D4" s="6">
        <f>'34'!F$68</f>
        <v>150328</v>
      </c>
      <c r="E4" s="6">
        <f>'44'!F$68</f>
        <v>143405</v>
      </c>
      <c r="F4" s="7">
        <f>'54'!F$68</f>
        <v>129336</v>
      </c>
    </row>
    <row r="5" spans="1:31" ht="12.75" customHeight="1" x14ac:dyDescent="0.25">
      <c r="A5" s="13" t="str">
        <f>Lang!$A$155</f>
        <v>Trade receivables</v>
      </c>
      <c r="B5" s="6">
        <f>'14'!F$69</f>
        <v>0</v>
      </c>
      <c r="C5" s="6">
        <f>'24'!F$69</f>
        <v>301565</v>
      </c>
      <c r="D5" s="6">
        <f>'34'!F$69</f>
        <v>677585</v>
      </c>
      <c r="E5" s="6">
        <f>'44'!F$69</f>
        <v>784178</v>
      </c>
      <c r="F5" s="7">
        <f>'54'!F$69</f>
        <v>806305</v>
      </c>
    </row>
    <row r="6" spans="1:31" ht="12.75" customHeight="1" x14ac:dyDescent="0.25">
      <c r="A6" s="13" t="str">
        <f>Lang!$A$156</f>
        <v>Cash and cash equivalents</v>
      </c>
      <c r="B6" s="6">
        <f>'14'!F$70</f>
        <v>2817541</v>
      </c>
      <c r="C6" s="6">
        <f>'24'!F$70</f>
        <v>1900000</v>
      </c>
      <c r="D6" s="6">
        <f>'34'!F$70</f>
        <v>1651545</v>
      </c>
      <c r="E6" s="6">
        <f>'44'!F$70</f>
        <v>1634465</v>
      </c>
      <c r="F6" s="7">
        <f>'54'!F$70</f>
        <v>1829005</v>
      </c>
      <c r="O6" s="871"/>
    </row>
    <row r="7" spans="1:31" ht="12.75" customHeight="1" x14ac:dyDescent="0.25">
      <c r="A7" s="31" t="str">
        <f>Lang!$A$85</f>
        <v>Dividends</v>
      </c>
      <c r="B7" s="148">
        <f>'14'!F$38*B12/100</f>
        <v>0</v>
      </c>
      <c r="C7" s="148">
        <f>'24'!F$38*C12/100</f>
        <v>0</v>
      </c>
      <c r="D7" s="148">
        <f>'34'!F$38*D12/100</f>
        <v>0</v>
      </c>
      <c r="E7" s="148">
        <f>'44'!F$38*E12/100</f>
        <v>0</v>
      </c>
      <c r="F7" s="24">
        <f>'54'!F$38*F12/100</f>
        <v>0</v>
      </c>
      <c r="O7" s="871"/>
    </row>
    <row r="8" spans="1:31" x14ac:dyDescent="0.25">
      <c r="A8" s="31" t="str">
        <f>Lang!$A$157</f>
        <v>Tax assessed and due</v>
      </c>
      <c r="B8" s="6">
        <f>IF(B1=4,'14'!F$73,0)</f>
        <v>0</v>
      </c>
      <c r="C8" s="6">
        <f>IF(C1=4,'24'!G$73,0)</f>
        <v>0</v>
      </c>
      <c r="D8" s="6">
        <f>IF(D1=4,'34'!H$73,0)</f>
        <v>0</v>
      </c>
      <c r="E8" s="6">
        <f>IF(E1=4,'44'!I$73,0)</f>
        <v>0</v>
      </c>
      <c r="F8" s="7">
        <f>IF(F1=4,'54'!J$73,0)</f>
        <v>0</v>
      </c>
      <c r="L8" s="871"/>
      <c r="O8" s="871"/>
      <c r="Q8" s="871"/>
    </row>
    <row r="9" spans="1:31" x14ac:dyDescent="0.25">
      <c r="A9" s="31" t="str">
        <f>Lang!$A$126</f>
        <v>Current liabilities</v>
      </c>
      <c r="B9" s="6">
        <f>'14'!F$74</f>
        <v>114268</v>
      </c>
      <c r="C9" s="6">
        <f>'24'!F$74</f>
        <v>118538</v>
      </c>
      <c r="D9" s="6">
        <f>'34'!F$74</f>
        <v>201690</v>
      </c>
      <c r="E9" s="6">
        <f>'44'!F$74</f>
        <v>267880</v>
      </c>
      <c r="F9" s="7">
        <f>'54'!F$74</f>
        <v>321601</v>
      </c>
      <c r="L9" s="871"/>
      <c r="O9" s="97"/>
      <c r="Q9" s="871"/>
    </row>
    <row r="10" spans="1:31" x14ac:dyDescent="0.25">
      <c r="A10" s="31" t="str">
        <f>Lang!$A$158</f>
        <v>Bank overdraft</v>
      </c>
      <c r="B10" s="6">
        <f>'14'!F$75</f>
        <v>0</v>
      </c>
      <c r="C10" s="6">
        <f>'24'!F$75</f>
        <v>92603</v>
      </c>
      <c r="D10" s="6">
        <f>'34'!F$75</f>
        <v>0</v>
      </c>
      <c r="E10" s="6">
        <f>'44'!F$75</f>
        <v>0</v>
      </c>
      <c r="F10" s="7">
        <f>'54'!F$75</f>
        <v>0</v>
      </c>
      <c r="L10" s="871"/>
      <c r="O10" s="871"/>
      <c r="Q10" s="871"/>
    </row>
    <row r="11" spans="1:31" x14ac:dyDescent="0.25">
      <c r="A11" s="31" t="str">
        <f>Lang!$A$159</f>
        <v>Long term loans</v>
      </c>
      <c r="B11" s="6">
        <f>'14'!F$79</f>
        <v>0</v>
      </c>
      <c r="C11" s="6">
        <f>'24'!F$79</f>
        <v>0</v>
      </c>
      <c r="D11" s="6">
        <f>'34'!F$79</f>
        <v>0</v>
      </c>
      <c r="E11" s="6">
        <f>'44'!F$79</f>
        <v>0</v>
      </c>
      <c r="F11" s="7">
        <f>'54'!F$79</f>
        <v>0</v>
      </c>
      <c r="O11" s="871"/>
    </row>
    <row r="12" spans="1:31" ht="12.75" customHeight="1" x14ac:dyDescent="0.25">
      <c r="A12" s="31" t="str">
        <f>Lang!$A$160</f>
        <v>Share capital</v>
      </c>
      <c r="B12" s="6">
        <f>'14'!F$80</f>
        <v>4000000</v>
      </c>
      <c r="C12" s="6">
        <f>'24'!F$80</f>
        <v>4000000</v>
      </c>
      <c r="D12" s="6">
        <f>'34'!F$80</f>
        <v>4000000</v>
      </c>
      <c r="E12" s="6">
        <f>'44'!F$80</f>
        <v>4000000</v>
      </c>
      <c r="F12" s="7">
        <f>'54'!F$80</f>
        <v>4000000</v>
      </c>
      <c r="O12" s="871"/>
    </row>
    <row r="13" spans="1:31" ht="12.75" customHeight="1" x14ac:dyDescent="0.25">
      <c r="A13" s="518" t="str">
        <f>Lang!$A$161</f>
        <v>Share premium account</v>
      </c>
      <c r="B13" s="6">
        <f>'14'!F$81</f>
        <v>0</v>
      </c>
      <c r="C13" s="6">
        <f>'24'!F$81</f>
        <v>0</v>
      </c>
      <c r="D13" s="6">
        <f>'34'!F$81</f>
        <v>0</v>
      </c>
      <c r="E13" s="6">
        <f>'44'!F$81</f>
        <v>0</v>
      </c>
      <c r="F13" s="7">
        <f>'54'!F$81</f>
        <v>0</v>
      </c>
      <c r="O13" s="871"/>
    </row>
    <row r="14" spans="1:31" ht="12.75" customHeight="1" x14ac:dyDescent="0.25">
      <c r="A14" s="518" t="str">
        <f>Lang!$A$141</f>
        <v xml:space="preserve">Retained earnings </v>
      </c>
      <c r="B14" s="6">
        <f>'14'!F$82</f>
        <v>-251247</v>
      </c>
      <c r="C14" s="6">
        <f>'24'!F$82</f>
        <v>-368166</v>
      </c>
      <c r="D14" s="6">
        <f>'34'!F$82</f>
        <v>-295740</v>
      </c>
      <c r="E14" s="6">
        <f>'44'!F$82</f>
        <v>-307504</v>
      </c>
      <c r="F14" s="7">
        <f>'54'!F$82</f>
        <v>-186085</v>
      </c>
      <c r="O14" s="871"/>
    </row>
    <row r="15" spans="1:31" x14ac:dyDescent="0.25">
      <c r="A15" s="343" t="str">
        <f>Lang!$A$102</f>
        <v>Sales revenue</v>
      </c>
      <c r="B15" s="346">
        <f>'13'!$L$8</f>
        <v>0</v>
      </c>
      <c r="C15" s="346">
        <f>'23'!$L$8</f>
        <v>484270</v>
      </c>
      <c r="D15" s="346">
        <f>'33'!$L$8</f>
        <v>1035710</v>
      </c>
      <c r="E15" s="346">
        <f>'43'!$L$8</f>
        <v>1061210</v>
      </c>
      <c r="F15" s="519">
        <f>'53'!$L$8</f>
        <v>1329434</v>
      </c>
      <c r="O15" s="871"/>
    </row>
    <row r="16" spans="1:31" x14ac:dyDescent="0.25">
      <c r="A16" s="31" t="str">
        <f>Lang!$A$162</f>
        <v>Expenses</v>
      </c>
      <c r="B16" s="148">
        <f>B15-B17</f>
        <v>251247</v>
      </c>
      <c r="C16" s="148">
        <f>C15-C17</f>
        <v>601189</v>
      </c>
      <c r="D16" s="148">
        <f>D15-D17</f>
        <v>963284</v>
      </c>
      <c r="E16" s="148">
        <f>E15-E17</f>
        <v>1072974</v>
      </c>
      <c r="F16" s="24">
        <f>F15-F17</f>
        <v>1208015</v>
      </c>
      <c r="O16" s="871"/>
    </row>
    <row r="17" spans="1:44" x14ac:dyDescent="0.25">
      <c r="A17" s="31" t="str">
        <f>Lang!$A$145</f>
        <v>Profit</v>
      </c>
      <c r="B17" s="148">
        <f>'13'!$L$33</f>
        <v>-251247</v>
      </c>
      <c r="C17" s="148">
        <f>'23'!$L$33</f>
        <v>-116919</v>
      </c>
      <c r="D17" s="148">
        <f>'33'!$L$33</f>
        <v>72426</v>
      </c>
      <c r="E17" s="148">
        <f>'43'!$L$33</f>
        <v>-11764</v>
      </c>
      <c r="F17" s="24">
        <f>'53'!$L$33</f>
        <v>121419</v>
      </c>
      <c r="O17" s="97"/>
    </row>
    <row r="18" spans="1:44" x14ac:dyDescent="0.25">
      <c r="A18" s="568" t="str">
        <f>Lang!$A$163</f>
        <v>Investment performance</v>
      </c>
      <c r="B18" s="148">
        <f>'14'!$F$39</f>
        <v>3636400</v>
      </c>
      <c r="C18" s="148">
        <f>'24'!$F$39</f>
        <v>3838800</v>
      </c>
      <c r="D18" s="148">
        <f>'34'!$F$39</f>
        <v>4064000</v>
      </c>
      <c r="E18" s="148">
        <f>'44'!$F$39</f>
        <v>3978400</v>
      </c>
      <c r="F18" s="24">
        <f>'54'!$F$39</f>
        <v>4174800</v>
      </c>
      <c r="O18" s="97"/>
    </row>
    <row r="19" spans="1:44" x14ac:dyDescent="0.25">
      <c r="A19" s="568" t="str">
        <f>Lang!$A$78</f>
        <v>Share price</v>
      </c>
      <c r="B19" s="574">
        <f>'14'!$F$35</f>
        <v>90.91</v>
      </c>
      <c r="C19" s="574">
        <f>'24'!$F$35</f>
        <v>95.97</v>
      </c>
      <c r="D19" s="574">
        <f>'34'!$F$35</f>
        <v>101.6</v>
      </c>
      <c r="E19" s="574">
        <f>'44'!$F$35</f>
        <v>99.46</v>
      </c>
      <c r="F19" s="575">
        <f>'54'!$F$35</f>
        <v>104.37</v>
      </c>
      <c r="O19" s="97"/>
    </row>
    <row r="20" spans="1:44" x14ac:dyDescent="0.25">
      <c r="A20" s="568" t="str">
        <f>Lang!$A$164</f>
        <v>Goodwill</v>
      </c>
      <c r="B20" s="574">
        <f>B19/(B2/B12)</f>
        <v>97.002923372118673</v>
      </c>
      <c r="C20" s="574">
        <f>C19/(C2/C12)</f>
        <v>105.6986635402389</v>
      </c>
      <c r="D20" s="574">
        <f>D19/(D2/D12)</f>
        <v>109.71152132949631</v>
      </c>
      <c r="E20" s="574">
        <f>E19/(E2/E12)</f>
        <v>107.74283844857246</v>
      </c>
      <c r="F20" s="575">
        <f>F19/(F2/F12)</f>
        <v>109.46232414723454</v>
      </c>
      <c r="H20" s="23"/>
    </row>
    <row r="21" spans="1:44" x14ac:dyDescent="0.25">
      <c r="A21" s="31" t="str">
        <f>Lang!$A$21</f>
        <v>Machines</v>
      </c>
      <c r="B21" s="148">
        <f>'12'!$G$19</f>
        <v>0</v>
      </c>
      <c r="C21" s="148">
        <f>'22'!$G$19</f>
        <v>2</v>
      </c>
      <c r="D21" s="148">
        <f>'32'!$G$19</f>
        <v>4</v>
      </c>
      <c r="E21" s="148">
        <f>'42'!$G$19</f>
        <v>4</v>
      </c>
      <c r="F21" s="24">
        <f>'52'!$G$19</f>
        <v>4</v>
      </c>
    </row>
    <row r="22" spans="1:44" x14ac:dyDescent="0.25">
      <c r="A22" s="518" t="str">
        <f>Lang!$A$295</f>
        <v>Machines to buy</v>
      </c>
      <c r="B22" s="6">
        <f>'11'!$P$31</f>
        <v>2</v>
      </c>
      <c r="C22" s="6">
        <f>'21'!$P$31</f>
        <v>2</v>
      </c>
      <c r="D22" s="6">
        <f>'31'!$P$31</f>
        <v>0</v>
      </c>
      <c r="E22" s="6">
        <f>'41'!$P$31</f>
        <v>0</v>
      </c>
      <c r="F22" s="7">
        <f>'51'!$P$31</f>
        <v>0</v>
      </c>
      <c r="I22" s="137"/>
    </row>
    <row r="23" spans="1:44" ht="13.8" thickBot="1" x14ac:dyDescent="0.3">
      <c r="A23" s="67" t="str">
        <f>Lang!$A$29</f>
        <v>Shift level</v>
      </c>
      <c r="B23" s="10">
        <f>'11'!$W$20</f>
        <v>1</v>
      </c>
      <c r="C23" s="10">
        <f>'21'!$W$20</f>
        <v>2</v>
      </c>
      <c r="D23" s="10">
        <f>'31'!$W$20</f>
        <v>2</v>
      </c>
      <c r="E23" s="10">
        <f>'41'!$W$20</f>
        <v>2</v>
      </c>
      <c r="F23" s="11">
        <f>'51'!$W$20</f>
        <v>2</v>
      </c>
      <c r="I23" s="137"/>
    </row>
    <row r="24" spans="1:44" ht="13.8" thickBot="1" x14ac:dyDescent="0.3">
      <c r="A24" s="98">
        <f>IF(F1=4,1,F1+1)</f>
        <v>3</v>
      </c>
      <c r="B24" s="99"/>
      <c r="C24" s="99"/>
      <c r="D24" s="99"/>
      <c r="E24" s="99"/>
      <c r="F24" s="99"/>
      <c r="G24" s="99"/>
      <c r="H24" s="99"/>
      <c r="I24" s="99"/>
    </row>
    <row r="25" spans="1:44" ht="12.75" customHeight="1" x14ac:dyDescent="0.25">
      <c r="A25" s="342" t="str">
        <f>Lang!$A$134</f>
        <v>Net assets</v>
      </c>
      <c r="B25" s="26">
        <f>'64'!F83</f>
        <v>3854904</v>
      </c>
      <c r="C25" s="26">
        <f>'64'!G83</f>
        <v>3845439</v>
      </c>
      <c r="D25" s="26">
        <f>'64'!H83</f>
        <v>3867836</v>
      </c>
      <c r="E25" s="26">
        <f>'64'!I83</f>
        <v>3840782</v>
      </c>
      <c r="F25" s="26">
        <f>'64'!J83</f>
        <v>3844728</v>
      </c>
      <c r="G25" s="26">
        <f>'64'!K83</f>
        <v>3486291</v>
      </c>
      <c r="H25" s="26">
        <f>'64'!L83</f>
        <v>3880162</v>
      </c>
      <c r="I25" s="27">
        <f>'64'!M83</f>
        <v>0</v>
      </c>
      <c r="J25" s="23"/>
      <c r="K25" s="1146" t="str">
        <f>Lang!$A$102</f>
        <v>Sales revenue</v>
      </c>
      <c r="L25" s="1147"/>
      <c r="M25" s="1147"/>
      <c r="N25" s="1147"/>
      <c r="O25" s="1147"/>
      <c r="P25" s="1147"/>
      <c r="Q25" s="1147"/>
      <c r="R25" s="1147"/>
      <c r="S25" s="1147"/>
      <c r="T25" s="522">
        <f ca="1">SUM(T26:T34)</f>
        <v>9205689.6882075053</v>
      </c>
      <c r="V25" s="1146" t="str">
        <f>Lang!$A$84</f>
        <v>Market shares</v>
      </c>
      <c r="W25" s="1147"/>
      <c r="X25" s="1147"/>
      <c r="Y25" s="1147"/>
      <c r="Z25" s="1147"/>
      <c r="AA25" s="1147"/>
      <c r="AB25" s="1147"/>
      <c r="AC25" s="1147"/>
      <c r="AD25" s="1148"/>
      <c r="AE25" s="344" t="str">
        <f>Lang!$A$165</f>
        <v>Market</v>
      </c>
      <c r="AG25" s="1146" t="str">
        <f>Lang!$A$166</f>
        <v>Sales</v>
      </c>
      <c r="AH25" s="1147"/>
      <c r="AI25" s="1147"/>
      <c r="AJ25" s="1147"/>
      <c r="AK25" s="1147"/>
      <c r="AL25" s="1147"/>
      <c r="AM25" s="1147"/>
      <c r="AN25" s="1147"/>
      <c r="AO25" s="1147"/>
      <c r="AP25" s="1148"/>
      <c r="AQ25" s="344" t="str">
        <f>Lang!$A$165</f>
        <v>Market</v>
      </c>
    </row>
    <row r="26" spans="1:44" ht="12.75" customHeight="1" x14ac:dyDescent="0.25">
      <c r="A26" s="31" t="str">
        <f>Lang!$A$153</f>
        <v>Non-current assets</v>
      </c>
      <c r="B26" s="6">
        <f>'64'!F67</f>
        <v>1979100</v>
      </c>
      <c r="C26" s="6">
        <f>'64'!G67</f>
        <v>1661600</v>
      </c>
      <c r="D26" s="6">
        <f>'64'!H67</f>
        <v>1636600</v>
      </c>
      <c r="E26" s="6">
        <f>'64'!I67</f>
        <v>1344100</v>
      </c>
      <c r="F26" s="6">
        <f>'64'!J67</f>
        <v>1344100</v>
      </c>
      <c r="G26" s="6">
        <f>'64'!K67</f>
        <v>2029100</v>
      </c>
      <c r="H26" s="6">
        <f>'64'!L67</f>
        <v>1636600</v>
      </c>
      <c r="I26" s="7" t="str">
        <f>'64'!M67</f>
        <v xml:space="preserve"> </v>
      </c>
      <c r="J26" s="23"/>
      <c r="K26" s="347" t="str">
        <f>Lang!$A$167</f>
        <v>Europe 1</v>
      </c>
      <c r="L26" s="348">
        <f ca="1">AI26*'64'!F43</f>
        <v>301238.88888888888</v>
      </c>
      <c r="M26" s="348">
        <f ca="1">AJ26*'64'!G43</f>
        <v>318160</v>
      </c>
      <c r="N26" s="348">
        <f ca="1">AK26*'64'!H43</f>
        <v>329261.11111111112</v>
      </c>
      <c r="O26" s="348">
        <f ca="1">AL26*'64'!I43</f>
        <v>325919.99999999994</v>
      </c>
      <c r="P26" s="348">
        <f ca="1">AM26*'64'!J43</f>
        <v>308244.44444444444</v>
      </c>
      <c r="Q26" s="348">
        <f ca="1">AN26*'64'!K43</f>
        <v>259205.55555555556</v>
      </c>
      <c r="R26" s="348">
        <f ca="1">AO26*'64'!L43</f>
        <v>339392.22222222219</v>
      </c>
      <c r="S26" s="348">
        <f ca="1">AP26*'64'!M43</f>
        <v>0</v>
      </c>
      <c r="T26" s="520">
        <f ca="1">SUM(L26:S26)</f>
        <v>2181422.222222222</v>
      </c>
      <c r="V26" s="347" t="str">
        <f>Lang!$A$167</f>
        <v>Europe 1</v>
      </c>
      <c r="W26" s="349">
        <f>IF('65'!$A$331=1,SUBSTITUTE('64'!F91,".",",")*1,0)</f>
        <v>4.3</v>
      </c>
      <c r="X26" s="350">
        <f>IF('65'!$A$331=1,SUBSTITUTE('64'!G91,".",",")*1,0)</f>
        <v>4.5</v>
      </c>
      <c r="Y26" s="350">
        <f>IF('65'!$A$331=1,SUBSTITUTE('64'!H91,".",",")*1,0)</f>
        <v>4.7</v>
      </c>
      <c r="Z26" s="350">
        <f>IF('65'!$A$331=1,SUBSTITUTE('64'!I91,".",",")*1,0)</f>
        <v>4.8</v>
      </c>
      <c r="AA26" s="350">
        <f>IF('65'!$A$331=1,SUBSTITUTE('64'!J91,".",",")*1,0)</f>
        <v>4.4000000000000004</v>
      </c>
      <c r="AB26" s="350">
        <f>IF('65'!$A$331=1,SUBSTITUTE('64'!K91,".",",")*1,0)</f>
        <v>3.7</v>
      </c>
      <c r="AC26" s="350">
        <f>IF('65'!$A$331=1,SUBSTITUTE('64'!L91,".",",")*1,0)</f>
        <v>4.7</v>
      </c>
      <c r="AD26" s="351">
        <f>IF('65'!$A$331=1,SUBSTITUTE('64'!M91,".",",")*1,0)</f>
        <v>0</v>
      </c>
      <c r="AE26" s="334">
        <f>SUM(W26:AD26)</f>
        <v>31.1</v>
      </c>
      <c r="AG26" s="347" t="str">
        <f>Lang!$A$167</f>
        <v>Europe 1</v>
      </c>
      <c r="AH26" s="337">
        <f ca="1">IF(SUBSTITUTE(OFFSET('64'!E91,,'61'!$O$5),".",",")&gt;0,'62'!U22/SUBSTITUTE(OFFSET('64'!E91,,'61'!$O$5),".",","),0)</f>
        <v>215.55555555555554</v>
      </c>
      <c r="AI26" s="352">
        <f ca="1">$AH26*W26</f>
        <v>926.8888888888888</v>
      </c>
      <c r="AJ26" s="348">
        <f t="shared" ref="AJ26:AJ34" ca="1" si="0">$AH26*X26</f>
        <v>970</v>
      </c>
      <c r="AK26" s="348">
        <f t="shared" ref="AK26:AK34" ca="1" si="1">$AH26*Y26</f>
        <v>1013.1111111111111</v>
      </c>
      <c r="AL26" s="348">
        <f t="shared" ref="AL26:AL34" ca="1" si="2">$AH26*Z26</f>
        <v>1034.6666666666665</v>
      </c>
      <c r="AM26" s="348">
        <f t="shared" ref="AM26:AM34" ca="1" si="3">$AH26*AA26</f>
        <v>948.44444444444446</v>
      </c>
      <c r="AN26" s="348">
        <f t="shared" ref="AN26:AN34" ca="1" si="4">$AH26*AB26</f>
        <v>797.55555555555554</v>
      </c>
      <c r="AO26" s="348">
        <f t="shared" ref="AO26:AO34" ca="1" si="5">$AH26*AC26</f>
        <v>1013.1111111111111</v>
      </c>
      <c r="AP26" s="353">
        <f t="shared" ref="AP26:AP34" ca="1" si="6">$AH26*AD26</f>
        <v>0</v>
      </c>
      <c r="AQ26" s="141">
        <f ca="1">SUM(AI26:AP26)/AE26*100</f>
        <v>21555.555555555558</v>
      </c>
      <c r="AR26" s="95"/>
    </row>
    <row r="27" spans="1:44" ht="12.75" customHeight="1" x14ac:dyDescent="0.25">
      <c r="A27" s="13" t="str">
        <f>Lang!$A$154</f>
        <v>Inventories</v>
      </c>
      <c r="B27" s="6">
        <f>'64'!F68</f>
        <v>195962</v>
      </c>
      <c r="C27" s="6">
        <f>'64'!G68</f>
        <v>307487</v>
      </c>
      <c r="D27" s="6">
        <f>'64'!H68</f>
        <v>274762</v>
      </c>
      <c r="E27" s="6">
        <f>'64'!I68</f>
        <v>508252</v>
      </c>
      <c r="F27" s="6">
        <f>'64'!J68</f>
        <v>393717</v>
      </c>
      <c r="G27" s="6">
        <f>'64'!K68</f>
        <v>755327</v>
      </c>
      <c r="H27" s="6">
        <f>'64'!L68</f>
        <v>101668</v>
      </c>
      <c r="I27" s="7" t="str">
        <f>'64'!M68</f>
        <v xml:space="preserve"> </v>
      </c>
      <c r="K27" s="13" t="str">
        <f>Lang!$A$146</f>
        <v>Nafta 1</v>
      </c>
      <c r="L27" s="348">
        <f ca="1">AI27*'64'!F44</f>
        <v>51925.000000000007</v>
      </c>
      <c r="M27" s="348">
        <f ca="1">AJ27*'64'!G44</f>
        <v>52700.000000000007</v>
      </c>
      <c r="N27" s="348">
        <f ca="1">AK27*'64'!H44</f>
        <v>56252.083333333343</v>
      </c>
      <c r="O27" s="348">
        <f ca="1">AL27*'64'!I44</f>
        <v>54572.916666666672</v>
      </c>
      <c r="P27" s="348">
        <f ca="1">AM27*'64'!J44</f>
        <v>56252.083333333343</v>
      </c>
      <c r="Q27" s="348">
        <f ca="1">AN27*'64'!K44</f>
        <v>46177.083333333343</v>
      </c>
      <c r="R27" s="348">
        <f ca="1">AO27*'64'!L44</f>
        <v>49018.750000000015</v>
      </c>
      <c r="S27" s="348">
        <f ca="1">AP27*'64'!M44</f>
        <v>0</v>
      </c>
      <c r="T27" s="520">
        <f t="shared" ref="T27:T34" ca="1" si="7">SUM(L27:S27)</f>
        <v>366897.91666666674</v>
      </c>
      <c r="V27" s="13" t="str">
        <f>Lang!$A$146</f>
        <v>Nafta 1</v>
      </c>
      <c r="W27" s="349">
        <f>IF('65'!$A$331=1,SUBSTITUTE('64'!F92,".",",")*1,0)</f>
        <v>1.2</v>
      </c>
      <c r="X27" s="350">
        <f>IF('65'!$A$331=1,SUBSTITUTE('64'!G92,".",",")*1,0)</f>
        <v>1.2</v>
      </c>
      <c r="Y27" s="350">
        <f>IF('65'!$A$331=1,SUBSTITUTE('64'!H92,".",",")*1,0)</f>
        <v>1.3</v>
      </c>
      <c r="Z27" s="350">
        <f>IF('65'!$A$331=1,SUBSTITUTE('64'!I92,".",",")*1,0)</f>
        <v>1.3</v>
      </c>
      <c r="AA27" s="350">
        <f>IF('65'!$A$331=1,SUBSTITUTE('64'!J92,".",",")*1,0)</f>
        <v>1.3</v>
      </c>
      <c r="AB27" s="350">
        <f>IF('65'!$A$331=1,SUBSTITUTE('64'!K92,".",",")*1,0)</f>
        <v>1.1000000000000001</v>
      </c>
      <c r="AC27" s="350">
        <f>IF('65'!$A$331=1,SUBSTITUTE('64'!L92,".",",")*1,0)</f>
        <v>1.1000000000000001</v>
      </c>
      <c r="AD27" s="351">
        <f>IF('65'!$A$331=1,SUBSTITUTE('64'!M92,".",",")*1,0)</f>
        <v>0</v>
      </c>
      <c r="AE27" s="335">
        <f t="shared" ref="AE27:AE36" si="8">SUM(W27:AD27)</f>
        <v>8.5</v>
      </c>
      <c r="AG27" s="13" t="str">
        <f>Lang!$A$146</f>
        <v>Nafta 1</v>
      </c>
      <c r="AH27" s="337">
        <f ca="1">IF(SUBSTITUTE(OFFSET('64'!E92,,'61'!$O$5),".",",")&gt;0,'62'!U23/SUBSTITUTE(OFFSET('64'!E92,,'61'!$O$5),".",","),0)</f>
        <v>129.16666666666669</v>
      </c>
      <c r="AI27" s="352">
        <f t="shared" ref="AI27:AI34" ca="1" si="9">$AH27*W27</f>
        <v>155.00000000000003</v>
      </c>
      <c r="AJ27" s="348">
        <f t="shared" ca="1" si="0"/>
        <v>155.00000000000003</v>
      </c>
      <c r="AK27" s="348">
        <f t="shared" ca="1" si="1"/>
        <v>167.91666666666669</v>
      </c>
      <c r="AL27" s="348">
        <f t="shared" ca="1" si="2"/>
        <v>167.91666666666669</v>
      </c>
      <c r="AM27" s="348">
        <f t="shared" ca="1" si="3"/>
        <v>167.91666666666669</v>
      </c>
      <c r="AN27" s="348">
        <f t="shared" ca="1" si="4"/>
        <v>142.08333333333337</v>
      </c>
      <c r="AO27" s="348">
        <f t="shared" ca="1" si="5"/>
        <v>142.08333333333337</v>
      </c>
      <c r="AP27" s="353">
        <f t="shared" ca="1" si="6"/>
        <v>0</v>
      </c>
      <c r="AQ27" s="139">
        <f t="shared" ref="AQ27:AQ34" ca="1" si="10">SUM(AI27:AP27)/AE27*100</f>
        <v>12916.666666666672</v>
      </c>
      <c r="AR27" s="95"/>
    </row>
    <row r="28" spans="1:44" ht="12.75" customHeight="1" x14ac:dyDescent="0.25">
      <c r="A28" s="13" t="str">
        <f>Lang!$A$155</f>
        <v>Trade receivables</v>
      </c>
      <c r="B28" s="6">
        <f>'64'!F69</f>
        <v>796102</v>
      </c>
      <c r="C28" s="6">
        <f>'64'!G69</f>
        <v>795131</v>
      </c>
      <c r="D28" s="6">
        <f>'64'!H69</f>
        <v>852808</v>
      </c>
      <c r="E28" s="6">
        <f>'64'!I69</f>
        <v>794571</v>
      </c>
      <c r="F28" s="6">
        <f>'64'!J69</f>
        <v>801570</v>
      </c>
      <c r="G28" s="6">
        <f>'64'!K69</f>
        <v>655811</v>
      </c>
      <c r="H28" s="6">
        <f>'64'!L69</f>
        <v>861172</v>
      </c>
      <c r="I28" s="7" t="str">
        <f>'64'!M69</f>
        <v xml:space="preserve"> </v>
      </c>
      <c r="K28" s="31" t="str">
        <f>Lang!$A$168</f>
        <v>Internet 1</v>
      </c>
      <c r="L28" s="348">
        <f ca="1">AI28*'64'!F45</f>
        <v>96375</v>
      </c>
      <c r="M28" s="348">
        <f ca="1">AJ28*'64'!G45</f>
        <v>97660</v>
      </c>
      <c r="N28" s="348">
        <f ca="1">AK28*'64'!H45</f>
        <v>88383.90625</v>
      </c>
      <c r="O28" s="348">
        <f ca="1">AL28*'64'!I45</f>
        <v>111393.4375</v>
      </c>
      <c r="P28" s="348">
        <f ca="1">AM28*'64'!J45</f>
        <v>125448.12500000001</v>
      </c>
      <c r="Q28" s="348">
        <f ca="1">AN28*'64'!K45</f>
        <v>71317.5</v>
      </c>
      <c r="R28" s="348">
        <f ca="1">AO28*'64'!L45</f>
        <v>102398.4375</v>
      </c>
      <c r="S28" s="348">
        <f ca="1">AP28*'64'!M45</f>
        <v>0</v>
      </c>
      <c r="T28" s="520">
        <f t="shared" ca="1" si="7"/>
        <v>692976.40625</v>
      </c>
      <c r="V28" s="31" t="str">
        <f>Lang!$A$168</f>
        <v>Internet 1</v>
      </c>
      <c r="W28" s="349">
        <f>IF('65'!$A$331=1,SUBSTITUTE('64'!F93,".",",")*1,0)</f>
        <v>3.2</v>
      </c>
      <c r="X28" s="350">
        <f>IF('65'!$A$331=1,SUBSTITUTE('64'!G93,".",",")*1,0)</f>
        <v>3.2</v>
      </c>
      <c r="Y28" s="350">
        <f>IF('65'!$A$331=1,SUBSTITUTE('64'!H93,".",",")*1,0)</f>
        <v>3.1</v>
      </c>
      <c r="Z28" s="350">
        <f>IF('65'!$A$331=1,SUBSTITUTE('64'!I93,".",",")*1,0)</f>
        <v>3.8</v>
      </c>
      <c r="AA28" s="350">
        <f>IF('65'!$A$331=1,SUBSTITUTE('64'!J93,".",",")*1,0)</f>
        <v>4.4000000000000004</v>
      </c>
      <c r="AB28" s="350">
        <f>IF('65'!$A$331=1,SUBSTITUTE('64'!K93,".",",")*1,0)</f>
        <v>2.4</v>
      </c>
      <c r="AC28" s="350">
        <f>IF('65'!$A$331=1,SUBSTITUTE('64'!L93,".",",")*1,0)</f>
        <v>3.4</v>
      </c>
      <c r="AD28" s="351">
        <f>IF('65'!$A$331=1,SUBSTITUTE('64'!M93,".",",")*1,0)</f>
        <v>0</v>
      </c>
      <c r="AE28" s="335">
        <f t="shared" si="8"/>
        <v>23.5</v>
      </c>
      <c r="AG28" s="31" t="str">
        <f>Lang!$A$168</f>
        <v>Internet 1</v>
      </c>
      <c r="AH28" s="337">
        <f ca="1">IF(SUBSTITUTE(OFFSET('64'!E93,,'61'!$O$5),".",",")&gt;0,'62'!U24/SUBSTITUTE(OFFSET('64'!E93,,'61'!$O$5),".",","),0)</f>
        <v>80.3125</v>
      </c>
      <c r="AI28" s="352">
        <f t="shared" ca="1" si="9"/>
        <v>257</v>
      </c>
      <c r="AJ28" s="348">
        <f t="shared" ca="1" si="0"/>
        <v>257</v>
      </c>
      <c r="AK28" s="348">
        <f t="shared" ca="1" si="1"/>
        <v>248.96875</v>
      </c>
      <c r="AL28" s="348">
        <f t="shared" ca="1" si="2"/>
        <v>305.1875</v>
      </c>
      <c r="AM28" s="348">
        <f t="shared" ca="1" si="3"/>
        <v>353.37500000000006</v>
      </c>
      <c r="AN28" s="348">
        <f t="shared" ca="1" si="4"/>
        <v>192.75</v>
      </c>
      <c r="AO28" s="348">
        <f t="shared" ca="1" si="5"/>
        <v>273.0625</v>
      </c>
      <c r="AP28" s="353">
        <f t="shared" ca="1" si="6"/>
        <v>0</v>
      </c>
      <c r="AQ28" s="139">
        <f t="shared" ca="1" si="10"/>
        <v>8031.25</v>
      </c>
      <c r="AR28" s="95"/>
    </row>
    <row r="29" spans="1:44" ht="12.75" customHeight="1" x14ac:dyDescent="0.25">
      <c r="A29" s="13" t="str">
        <f>Lang!$A$156</f>
        <v>Cash and cash equivalents</v>
      </c>
      <c r="B29" s="6">
        <f>'64'!F70</f>
        <v>1243934</v>
      </c>
      <c r="C29" s="6">
        <f>'64'!G70</f>
        <v>1513443</v>
      </c>
      <c r="D29" s="6">
        <f>'64'!H70</f>
        <v>1534565</v>
      </c>
      <c r="E29" s="6">
        <f>'64'!I70</f>
        <v>1760458</v>
      </c>
      <c r="F29" s="6">
        <f>'64'!J70</f>
        <v>1828871</v>
      </c>
      <c r="G29" s="6">
        <f>'64'!K70</f>
        <v>1150000</v>
      </c>
      <c r="H29" s="6">
        <f>'64'!L70</f>
        <v>1611098</v>
      </c>
      <c r="I29" s="7" t="str">
        <f>'64'!M70</f>
        <v xml:space="preserve"> </v>
      </c>
      <c r="K29" s="347" t="str">
        <f>Lang!$A$169</f>
        <v>Europe 2</v>
      </c>
      <c r="L29" s="348">
        <f ca="1">AI29*'64'!F46</f>
        <v>312500</v>
      </c>
      <c r="M29" s="348">
        <f ca="1">AJ29*'64'!G46</f>
        <v>306250</v>
      </c>
      <c r="N29" s="348">
        <f ca="1">AK29*'64'!H46</f>
        <v>322090.5172413793</v>
      </c>
      <c r="O29" s="348">
        <f ca="1">AL29*'64'!I46</f>
        <v>300969.8275862069</v>
      </c>
      <c r="P29" s="348">
        <f ca="1">AM29*'64'!J46</f>
        <v>290409.4827586207</v>
      </c>
      <c r="Q29" s="348">
        <f ca="1">AN29*'64'!K46</f>
        <v>221767.24137931035</v>
      </c>
      <c r="R29" s="348">
        <f ca="1">AO29*'64'!L46</f>
        <v>316810.3448275862</v>
      </c>
      <c r="S29" s="348">
        <f ca="1">AP29*'64'!M46</f>
        <v>0</v>
      </c>
      <c r="T29" s="520">
        <f t="shared" ca="1" si="7"/>
        <v>2070797.4137931033</v>
      </c>
      <c r="V29" s="347" t="str">
        <f>Lang!$A$169</f>
        <v>Europe 2</v>
      </c>
      <c r="W29" s="349">
        <f>IF('65'!$A$331=1,SUBSTITUTE('64'!F94,".",",")*1,0)</f>
        <v>5.8</v>
      </c>
      <c r="X29" s="350">
        <f>IF('65'!$A$331=1,SUBSTITUTE('64'!G94,".",",")*1,0)</f>
        <v>5.8</v>
      </c>
      <c r="Y29" s="350">
        <f>IF('65'!$A$331=1,SUBSTITUTE('64'!H94,".",",")*1,0)</f>
        <v>6.1</v>
      </c>
      <c r="Z29" s="350">
        <f>IF('65'!$A$331=1,SUBSTITUTE('64'!I94,".",",")*1,0)</f>
        <v>5.7</v>
      </c>
      <c r="AA29" s="350">
        <f>IF('65'!$A$331=1,SUBSTITUTE('64'!J94,".",",")*1,0)</f>
        <v>5.5</v>
      </c>
      <c r="AB29" s="350">
        <f>IF('65'!$A$331=1,SUBSTITUTE('64'!K94,".",",")*1,0)</f>
        <v>4.2</v>
      </c>
      <c r="AC29" s="350">
        <f>IF('65'!$A$331=1,SUBSTITUTE('64'!L94,".",",")*1,0)</f>
        <v>6</v>
      </c>
      <c r="AD29" s="351">
        <f>IF('65'!$A$331=1,SUBSTITUTE('64'!M94,".",",")*1,0)</f>
        <v>0</v>
      </c>
      <c r="AE29" s="335">
        <f t="shared" si="8"/>
        <v>39.1</v>
      </c>
      <c r="AG29" s="347" t="str">
        <f>Lang!$A$169</f>
        <v>Europe 2</v>
      </c>
      <c r="AH29" s="337">
        <f ca="1">IF(SUBSTITUTE(OFFSET('64'!E94,,'61'!$O$5),".",",")&gt;0,'62'!W22/SUBSTITUTE(OFFSET('64'!E94,,'61'!$O$5),".",","),0)</f>
        <v>107.75862068965517</v>
      </c>
      <c r="AI29" s="352">
        <f t="shared" ca="1" si="9"/>
        <v>625</v>
      </c>
      <c r="AJ29" s="348">
        <f t="shared" ca="1" si="0"/>
        <v>625</v>
      </c>
      <c r="AK29" s="348">
        <f t="shared" ca="1" si="1"/>
        <v>657.32758620689651</v>
      </c>
      <c r="AL29" s="348">
        <f t="shared" ca="1" si="2"/>
        <v>614.22413793103453</v>
      </c>
      <c r="AM29" s="348">
        <f t="shared" ca="1" si="3"/>
        <v>592.67241379310349</v>
      </c>
      <c r="AN29" s="348">
        <f t="shared" ca="1" si="4"/>
        <v>452.58620689655174</v>
      </c>
      <c r="AO29" s="348">
        <f t="shared" ca="1" si="5"/>
        <v>646.55172413793105</v>
      </c>
      <c r="AP29" s="353">
        <f t="shared" ca="1" si="6"/>
        <v>0</v>
      </c>
      <c r="AQ29" s="139">
        <f t="shared" ca="1" si="10"/>
        <v>10775.862068965518</v>
      </c>
      <c r="AR29" s="95"/>
    </row>
    <row r="30" spans="1:44" x14ac:dyDescent="0.25">
      <c r="A30" s="31" t="str">
        <f>Lang!$A$85</f>
        <v>Dividends</v>
      </c>
      <c r="B30" s="6">
        <f>'64'!F38*$F$12/100</f>
        <v>0</v>
      </c>
      <c r="C30" s="6">
        <f>'64'!G38*$F$12/100</f>
        <v>0</v>
      </c>
      <c r="D30" s="6">
        <f>'64'!H38*$F$12/100</f>
        <v>0</v>
      </c>
      <c r="E30" s="6">
        <f>'64'!I38*$F$12/100</f>
        <v>0</v>
      </c>
      <c r="F30" s="6">
        <f>'64'!J38*$F$12/100</f>
        <v>0</v>
      </c>
      <c r="G30" s="6">
        <f>'64'!K38*$F$12/100</f>
        <v>0</v>
      </c>
      <c r="H30" s="6">
        <f>'64'!L38*$F$12/100</f>
        <v>0</v>
      </c>
      <c r="I30" s="7">
        <f>'64'!M38*$F$12/100</f>
        <v>0</v>
      </c>
      <c r="K30" s="13" t="str">
        <f>Lang!$A$147</f>
        <v>Nafta 2</v>
      </c>
      <c r="L30" s="348">
        <f ca="1">AI30*'64'!F47</f>
        <v>65636.363636363632</v>
      </c>
      <c r="M30" s="348">
        <f ca="1">AJ30*'64'!G47</f>
        <v>74480</v>
      </c>
      <c r="N30" s="348">
        <f ca="1">AK30*'64'!H47</f>
        <v>74480</v>
      </c>
      <c r="O30" s="348">
        <f ca="1">AL30*'64'!I47</f>
        <v>67709.090909090897</v>
      </c>
      <c r="P30" s="348">
        <f ca="1">AM30*'64'!J47</f>
        <v>74480</v>
      </c>
      <c r="Q30" s="348">
        <f ca="1">AN30*'64'!K47</f>
        <v>67709.090909090897</v>
      </c>
      <c r="R30" s="348">
        <f ca="1">AO30*'64'!L47</f>
        <v>67709.090909090897</v>
      </c>
      <c r="S30" s="348">
        <f ca="1">AP30*'64'!M47</f>
        <v>0</v>
      </c>
      <c r="T30" s="520">
        <f t="shared" ca="1" si="7"/>
        <v>492203.63636363629</v>
      </c>
      <c r="V30" s="13" t="str">
        <f>Lang!$A$147</f>
        <v>Nafta 2</v>
      </c>
      <c r="W30" s="349">
        <f>IF('65'!$A$331=1,SUBSTITUTE('64'!F95,".",",")*1,0)</f>
        <v>1.9</v>
      </c>
      <c r="X30" s="350">
        <f>IF('65'!$A$331=1,SUBSTITUTE('64'!G95,".",",")*1,0)</f>
        <v>2.2000000000000002</v>
      </c>
      <c r="Y30" s="350">
        <f>IF('65'!$A$331=1,SUBSTITUTE('64'!H95,".",",")*1,0)</f>
        <v>2.2000000000000002</v>
      </c>
      <c r="Z30" s="350">
        <f>IF('65'!$A$331=1,SUBSTITUTE('64'!I95,".",",")*1,0)</f>
        <v>2</v>
      </c>
      <c r="AA30" s="350">
        <f>IF('65'!$A$331=1,SUBSTITUTE('64'!J95,".",",")*1,0)</f>
        <v>2.2000000000000002</v>
      </c>
      <c r="AB30" s="350">
        <f>IF('65'!$A$331=1,SUBSTITUTE('64'!K95,".",",")*1,0)</f>
        <v>2</v>
      </c>
      <c r="AC30" s="350">
        <f>IF('65'!$A$331=1,SUBSTITUTE('64'!L95,".",",")*1,0)</f>
        <v>2</v>
      </c>
      <c r="AD30" s="351">
        <f>IF('65'!$A$331=1,SUBSTITUTE('64'!M95,".",",")*1,0)</f>
        <v>0</v>
      </c>
      <c r="AE30" s="335">
        <f t="shared" si="8"/>
        <v>14.5</v>
      </c>
      <c r="AG30" s="13" t="str">
        <f>Lang!$A$147</f>
        <v>Nafta 2</v>
      </c>
      <c r="AH30" s="337">
        <f ca="1">IF(SUBSTITUTE(OFFSET('64'!E95,,'61'!$O$5),".",",")&gt;0,'62'!W23/SUBSTITUTE(OFFSET('64'!E95,,'61'!$O$5),".",","),0)</f>
        <v>69.090909090909079</v>
      </c>
      <c r="AI30" s="352">
        <f t="shared" ca="1" si="9"/>
        <v>131.27272727272725</v>
      </c>
      <c r="AJ30" s="348">
        <f t="shared" ca="1" si="0"/>
        <v>152</v>
      </c>
      <c r="AK30" s="348">
        <f t="shared" ca="1" si="1"/>
        <v>152</v>
      </c>
      <c r="AL30" s="348">
        <f t="shared" ca="1" si="2"/>
        <v>138.18181818181816</v>
      </c>
      <c r="AM30" s="348">
        <f t="shared" ca="1" si="3"/>
        <v>152</v>
      </c>
      <c r="AN30" s="348">
        <f t="shared" ca="1" si="4"/>
        <v>138.18181818181816</v>
      </c>
      <c r="AO30" s="348">
        <f t="shared" ca="1" si="5"/>
        <v>138.18181818181816</v>
      </c>
      <c r="AP30" s="353">
        <f t="shared" ca="1" si="6"/>
        <v>0</v>
      </c>
      <c r="AQ30" s="139">
        <f t="shared" ca="1" si="10"/>
        <v>6909.0909090909081</v>
      </c>
      <c r="AR30" s="95"/>
    </row>
    <row r="31" spans="1:44" x14ac:dyDescent="0.25">
      <c r="A31" s="31" t="str">
        <f>Lang!$A$157</f>
        <v>Tax assessed and due</v>
      </c>
      <c r="B31" s="6">
        <f>IF($A24=4,'64'!F$73,0)</f>
        <v>0</v>
      </c>
      <c r="C31" s="6">
        <f>IF($A24=4,'64'!G$73,0)</f>
        <v>0</v>
      </c>
      <c r="D31" s="6">
        <f>IF($A24=4,'64'!H$73,0)</f>
        <v>0</v>
      </c>
      <c r="E31" s="6">
        <f>IF($A24=4,'64'!I$73,0)</f>
        <v>0</v>
      </c>
      <c r="F31" s="6">
        <f>IF($A24=4,'64'!J$73,0)</f>
        <v>0</v>
      </c>
      <c r="G31" s="6">
        <f>IF($A24=4,'64'!K$73,0)</f>
        <v>0</v>
      </c>
      <c r="H31" s="6">
        <f>IF($A24=4,'64'!L$73,0)</f>
        <v>0</v>
      </c>
      <c r="I31" s="7">
        <f>IF($A24=4,'64'!M$73,0)</f>
        <v>0</v>
      </c>
      <c r="K31" s="31" t="str">
        <f>Lang!$A$170</f>
        <v>Internet 2</v>
      </c>
      <c r="L31" s="348">
        <f ca="1">AI31*'64'!F48</f>
        <v>90000</v>
      </c>
      <c r="M31" s="348">
        <f ca="1">AJ31*'64'!G48</f>
        <v>88500</v>
      </c>
      <c r="N31" s="348">
        <f ca="1">AK31*'64'!H48</f>
        <v>90249.999999999985</v>
      </c>
      <c r="O31" s="348">
        <f ca="1">AL31*'64'!I48</f>
        <v>113083.33333333331</v>
      </c>
      <c r="P31" s="348">
        <f ca="1">AM31*'64'!J48</f>
        <v>142083.33333333331</v>
      </c>
      <c r="Q31" s="348">
        <f ca="1">AN31*'64'!K48</f>
        <v>71291.666666666657</v>
      </c>
      <c r="R31" s="348">
        <f ca="1">AO31*'64'!L48</f>
        <v>90958.333333333328</v>
      </c>
      <c r="S31" s="348">
        <f ca="1">AP31*'64'!M48</f>
        <v>0</v>
      </c>
      <c r="T31" s="520">
        <f t="shared" ca="1" si="7"/>
        <v>686166.66666666663</v>
      </c>
      <c r="V31" s="31" t="str">
        <f>Lang!$A$170</f>
        <v>Internet 2</v>
      </c>
      <c r="W31" s="349">
        <f>IF('65'!$A$331=1,SUBSTITUTE('64'!F96,".",",")*1,0)</f>
        <v>3.6</v>
      </c>
      <c r="X31" s="350">
        <f>IF('65'!$A$331=1,SUBSTITUTE('64'!G96,".",",")*1,0)</f>
        <v>3.6</v>
      </c>
      <c r="Y31" s="350">
        <f>IF('65'!$A$331=1,SUBSTITUTE('64'!H96,".",",")*1,0)</f>
        <v>3.8</v>
      </c>
      <c r="Z31" s="350">
        <f>IF('65'!$A$331=1,SUBSTITUTE('64'!I96,".",",")*1,0)</f>
        <v>4.5999999999999996</v>
      </c>
      <c r="AA31" s="350">
        <f>IF('65'!$A$331=1,SUBSTITUTE('64'!J96,".",",")*1,0)</f>
        <v>6.2</v>
      </c>
      <c r="AB31" s="350">
        <f>IF('65'!$A$331=1,SUBSTITUTE('64'!K96,".",",")*1,0)</f>
        <v>2.9</v>
      </c>
      <c r="AC31" s="350">
        <f>IF('65'!$A$331=1,SUBSTITUTE('64'!L96,".",",")*1,0)</f>
        <v>3.7</v>
      </c>
      <c r="AD31" s="351">
        <f>IF('65'!$A$331=1,SUBSTITUTE('64'!M96,".",",")*1,0)</f>
        <v>0</v>
      </c>
      <c r="AE31" s="335">
        <f t="shared" si="8"/>
        <v>28.4</v>
      </c>
      <c r="AG31" s="31" t="str">
        <f>Lang!$A$170</f>
        <v>Internet 2</v>
      </c>
      <c r="AH31" s="337">
        <f ca="1">IF(SUBSTITUTE(OFFSET('64'!E96,,'61'!$O$5),".",",")&gt;0,'62'!W24/SUBSTITUTE(OFFSET('64'!E96,,'61'!$O$5),".",","),0)</f>
        <v>41.666666666666664</v>
      </c>
      <c r="AI31" s="352">
        <f t="shared" ca="1" si="9"/>
        <v>150</v>
      </c>
      <c r="AJ31" s="348">
        <f t="shared" ca="1" si="0"/>
        <v>150</v>
      </c>
      <c r="AK31" s="348">
        <f t="shared" ca="1" si="1"/>
        <v>158.33333333333331</v>
      </c>
      <c r="AL31" s="348">
        <f t="shared" ca="1" si="2"/>
        <v>191.66666666666663</v>
      </c>
      <c r="AM31" s="348">
        <f t="shared" ca="1" si="3"/>
        <v>258.33333333333331</v>
      </c>
      <c r="AN31" s="348">
        <f t="shared" ca="1" si="4"/>
        <v>120.83333333333333</v>
      </c>
      <c r="AO31" s="348">
        <f t="shared" ca="1" si="5"/>
        <v>154.16666666666666</v>
      </c>
      <c r="AP31" s="353">
        <f t="shared" ca="1" si="6"/>
        <v>0</v>
      </c>
      <c r="AQ31" s="139">
        <f t="shared" ca="1" si="10"/>
        <v>4166.6666666666661</v>
      </c>
      <c r="AR31" s="95"/>
    </row>
    <row r="32" spans="1:44" x14ac:dyDescent="0.25">
      <c r="A32" s="31" t="str">
        <f>Lang!$A$126</f>
        <v>Current liabilities</v>
      </c>
      <c r="B32" s="148">
        <f>'64'!F74</f>
        <v>360194</v>
      </c>
      <c r="C32" s="148">
        <f>'64'!G74</f>
        <v>432222</v>
      </c>
      <c r="D32" s="148">
        <f>'64'!H74</f>
        <v>430899</v>
      </c>
      <c r="E32" s="148">
        <f>'64'!I74</f>
        <v>566599</v>
      </c>
      <c r="F32" s="148">
        <f>'64'!J74</f>
        <v>523530</v>
      </c>
      <c r="G32" s="148">
        <f>'64'!K74</f>
        <v>683816</v>
      </c>
      <c r="H32" s="148">
        <f>'64'!L74</f>
        <v>330376</v>
      </c>
      <c r="I32" s="24" t="str">
        <f>'64'!M74</f>
        <v xml:space="preserve"> </v>
      </c>
      <c r="K32" s="347" t="str">
        <f>Lang!$A$171</f>
        <v>Europe 3</v>
      </c>
      <c r="L32" s="348">
        <f ca="1">AI32*'64'!F49</f>
        <v>224250</v>
      </c>
      <c r="M32" s="348">
        <f ca="1">AJ32*'64'!G49</f>
        <v>227500</v>
      </c>
      <c r="N32" s="348">
        <f ca="1">AK32*'64'!H49</f>
        <v>274895.83333333326</v>
      </c>
      <c r="O32" s="348">
        <f ca="1">AL32*'64'!I49</f>
        <v>224340.27777777775</v>
      </c>
      <c r="P32" s="348">
        <f ca="1">AM32*'64'!J49</f>
        <v>240138.88888888888</v>
      </c>
      <c r="Q32" s="348">
        <f ca="1">AN32*'64'!K49</f>
        <v>170625</v>
      </c>
      <c r="R32" s="348">
        <f ca="1">AO32*'64'!L49</f>
        <v>278055.55555555556</v>
      </c>
      <c r="S32" s="348">
        <f ca="1">AP32*'64'!M49</f>
        <v>0</v>
      </c>
      <c r="T32" s="520">
        <f t="shared" ca="1" si="7"/>
        <v>1639805.5555555555</v>
      </c>
      <c r="V32" s="347" t="str">
        <f>Lang!$A$171</f>
        <v>Europe 3</v>
      </c>
      <c r="W32" s="349">
        <f>IF('65'!$A$331=1,SUBSTITUTE('64'!F97,".",",")*1,0)</f>
        <v>7.2</v>
      </c>
      <c r="X32" s="350">
        <f>IF('65'!$A$331=1,SUBSTITUTE('64'!G97,".",",")*1,0)</f>
        <v>7.2</v>
      </c>
      <c r="Y32" s="350">
        <f>IF('65'!$A$331=1,SUBSTITUTE('64'!H97,".",",")*1,0)</f>
        <v>8.6999999999999993</v>
      </c>
      <c r="Z32" s="350">
        <f>IF('65'!$A$331=1,SUBSTITUTE('64'!I97,".",",")*1,0)</f>
        <v>7</v>
      </c>
      <c r="AA32" s="350">
        <f>IF('65'!$A$331=1,SUBSTITUTE('64'!J97,".",",")*1,0)</f>
        <v>7.6</v>
      </c>
      <c r="AB32" s="350">
        <f>IF('65'!$A$331=1,SUBSTITUTE('64'!K97,".",",")*1,0)</f>
        <v>5.4</v>
      </c>
      <c r="AC32" s="350">
        <f>IF('65'!$A$331=1,SUBSTITUTE('64'!L97,".",",")*1,0)</f>
        <v>8.8000000000000007</v>
      </c>
      <c r="AD32" s="351">
        <f>IF('65'!$A$331=1,SUBSTITUTE('64'!M97,".",",")*1,0)</f>
        <v>0</v>
      </c>
      <c r="AE32" s="335">
        <f t="shared" si="8"/>
        <v>51.900000000000006</v>
      </c>
      <c r="AG32" s="347" t="str">
        <f>Lang!$A$171</f>
        <v>Europe 3</v>
      </c>
      <c r="AH32" s="337">
        <f ca="1">IF(SUBSTITUTE(OFFSET('64'!E97,,'61'!$O$5),".",",")&gt;0,'62'!Y22/SUBSTITUTE(OFFSET('64'!E97,,'61'!$O$5),".",","),0)</f>
        <v>45.138888888888886</v>
      </c>
      <c r="AI32" s="352">
        <f t="shared" ca="1" si="9"/>
        <v>325</v>
      </c>
      <c r="AJ32" s="348">
        <f t="shared" ca="1" si="0"/>
        <v>325</v>
      </c>
      <c r="AK32" s="348">
        <f t="shared" ca="1" si="1"/>
        <v>392.70833333333326</v>
      </c>
      <c r="AL32" s="348">
        <f t="shared" ca="1" si="2"/>
        <v>315.97222222222217</v>
      </c>
      <c r="AM32" s="348">
        <f t="shared" ca="1" si="3"/>
        <v>343.05555555555554</v>
      </c>
      <c r="AN32" s="348">
        <f t="shared" ca="1" si="4"/>
        <v>243.75</v>
      </c>
      <c r="AO32" s="348">
        <f t="shared" ca="1" si="5"/>
        <v>397.22222222222223</v>
      </c>
      <c r="AP32" s="353">
        <f t="shared" ca="1" si="6"/>
        <v>0</v>
      </c>
      <c r="AQ32" s="139">
        <f t="shared" ca="1" si="10"/>
        <v>4513.8888888888878</v>
      </c>
      <c r="AR32" s="95"/>
    </row>
    <row r="33" spans="1:44" x14ac:dyDescent="0.25">
      <c r="A33" s="31" t="str">
        <f>Lang!$A$158</f>
        <v>Bank overdraft</v>
      </c>
      <c r="B33" s="148">
        <f>'64'!F75</f>
        <v>0</v>
      </c>
      <c r="C33" s="148">
        <f>'64'!G75</f>
        <v>0</v>
      </c>
      <c r="D33" s="148">
        <f>'64'!H75</f>
        <v>0</v>
      </c>
      <c r="E33" s="148">
        <f>'64'!I75</f>
        <v>0</v>
      </c>
      <c r="F33" s="148">
        <f>'64'!J75</f>
        <v>0</v>
      </c>
      <c r="G33" s="148">
        <f>'64'!K75</f>
        <v>420131</v>
      </c>
      <c r="H33" s="148">
        <f>'64'!L75</f>
        <v>0</v>
      </c>
      <c r="I33" s="24" t="str">
        <f>'64'!M75</f>
        <v xml:space="preserve"> </v>
      </c>
      <c r="K33" s="13" t="str">
        <f>Lang!$A$148</f>
        <v>Nafta 3</v>
      </c>
      <c r="L33" s="348">
        <f ca="1">AI33*'64'!F50</f>
        <v>57617.241379310348</v>
      </c>
      <c r="M33" s="348">
        <f ca="1">AJ33*'64'!G50</f>
        <v>56210</v>
      </c>
      <c r="N33" s="348">
        <f ca="1">AK33*'64'!H50</f>
        <v>57750.000000000007</v>
      </c>
      <c r="O33" s="348">
        <f ca="1">AL33*'64'!I50</f>
        <v>56595</v>
      </c>
      <c r="P33" s="348">
        <f ca="1">AM33*'64'!J50</f>
        <v>59675</v>
      </c>
      <c r="Q33" s="348">
        <f ca="1">AN33*'64'!K50</f>
        <v>52041.379310344826</v>
      </c>
      <c r="R33" s="348">
        <f ca="1">AO33*'64'!L50</f>
        <v>55825</v>
      </c>
      <c r="S33" s="348">
        <f ca="1">AP33*'64'!M50</f>
        <v>0</v>
      </c>
      <c r="T33" s="520">
        <f t="shared" ca="1" si="7"/>
        <v>395713.62068965519</v>
      </c>
      <c r="V33" s="13" t="str">
        <f>Lang!$A$148</f>
        <v>Nafta 3</v>
      </c>
      <c r="W33" s="349">
        <f>IF('65'!$A$331=1,SUBSTITUTE('64'!F98,".",",")*1,0)</f>
        <v>3.1</v>
      </c>
      <c r="X33" s="350">
        <f>IF('65'!$A$331=1,SUBSTITUTE('64'!G98,".",",")*1,0)</f>
        <v>2.9</v>
      </c>
      <c r="Y33" s="350">
        <f>IF('65'!$A$331=1,SUBSTITUTE('64'!H98,".",",")*1,0)</f>
        <v>3</v>
      </c>
      <c r="Z33" s="350">
        <f>IF('65'!$A$331=1,SUBSTITUTE('64'!I98,".",",")*1,0)</f>
        <v>2.9</v>
      </c>
      <c r="AA33" s="350">
        <f>IF('65'!$A$331=1,SUBSTITUTE('64'!J98,".",",")*1,0)</f>
        <v>3.1</v>
      </c>
      <c r="AB33" s="350">
        <f>IF('65'!$A$331=1,SUBSTITUTE('64'!K98,".",",")*1,0)</f>
        <v>2.8</v>
      </c>
      <c r="AC33" s="350">
        <f>IF('65'!$A$331=1,SUBSTITUTE('64'!L98,".",",")*1,0)</f>
        <v>2.9</v>
      </c>
      <c r="AD33" s="351">
        <f>IF('65'!$A$331=1,SUBSTITUTE('64'!M98,".",",")*1,0)</f>
        <v>0</v>
      </c>
      <c r="AE33" s="335">
        <f t="shared" si="8"/>
        <v>20.7</v>
      </c>
      <c r="AG33" s="13" t="str">
        <f>Lang!$A$148</f>
        <v>Nafta 3</v>
      </c>
      <c r="AH33" s="337">
        <f ca="1">IF(SUBSTITUTE(OFFSET('64'!E98,,'61'!$O$5),".",",")&gt;0,'62'!Y23/SUBSTITUTE(OFFSET('64'!E98,,'61'!$O$5),".",","),0)</f>
        <v>26.551724137931036</v>
      </c>
      <c r="AI33" s="352">
        <f t="shared" ca="1" si="9"/>
        <v>82.310344827586206</v>
      </c>
      <c r="AJ33" s="348">
        <f t="shared" ca="1" si="0"/>
        <v>77</v>
      </c>
      <c r="AK33" s="348">
        <f t="shared" ca="1" si="1"/>
        <v>79.65517241379311</v>
      </c>
      <c r="AL33" s="348">
        <f t="shared" ca="1" si="2"/>
        <v>77</v>
      </c>
      <c r="AM33" s="348">
        <f t="shared" ca="1" si="3"/>
        <v>82.310344827586206</v>
      </c>
      <c r="AN33" s="348">
        <f t="shared" ca="1" si="4"/>
        <v>74.34482758620689</v>
      </c>
      <c r="AO33" s="348">
        <f t="shared" ca="1" si="5"/>
        <v>77</v>
      </c>
      <c r="AP33" s="353">
        <f t="shared" ca="1" si="6"/>
        <v>0</v>
      </c>
      <c r="AQ33" s="139">
        <f t="shared" ca="1" si="10"/>
        <v>2655.1724137931037</v>
      </c>
      <c r="AR33" s="95"/>
    </row>
    <row r="34" spans="1:44" ht="13.8" thickBot="1" x14ac:dyDescent="0.3">
      <c r="A34" s="31" t="str">
        <f>Lang!$A$159</f>
        <v>Long term loans</v>
      </c>
      <c r="B34" s="6">
        <f>'64'!F77</f>
        <v>0</v>
      </c>
      <c r="C34" s="6">
        <f>'64'!G77</f>
        <v>0</v>
      </c>
      <c r="D34" s="6">
        <f>'64'!H77</f>
        <v>0</v>
      </c>
      <c r="E34" s="6">
        <f>'64'!I77</f>
        <v>0</v>
      </c>
      <c r="F34" s="6">
        <f>'64'!J77</f>
        <v>0</v>
      </c>
      <c r="G34" s="6">
        <f>'64'!K77</f>
        <v>0</v>
      </c>
      <c r="H34" s="6">
        <f>'64'!L77</f>
        <v>0</v>
      </c>
      <c r="I34" s="7" t="str">
        <f>'64'!M77</f>
        <v xml:space="preserve"> </v>
      </c>
      <c r="K34" s="889" t="str">
        <f>Lang!$A$172</f>
        <v>Internet 3</v>
      </c>
      <c r="L34" s="354">
        <f ca="1">AI34*'64'!F51</f>
        <v>63000</v>
      </c>
      <c r="M34" s="354">
        <f ca="1">AJ34*'64'!G51</f>
        <v>89250</v>
      </c>
      <c r="N34" s="354">
        <f ca="1">AK34*'64'!H51</f>
        <v>110493.75</v>
      </c>
      <c r="O34" s="354">
        <f ca="1">AL34*'64'!I51</f>
        <v>118125</v>
      </c>
      <c r="P34" s="354">
        <f ca="1">AM34*'64'!J51</f>
        <v>133087.5</v>
      </c>
      <c r="Q34" s="354">
        <f ca="1">AN34*'64'!K51</f>
        <v>78093.75</v>
      </c>
      <c r="R34" s="354">
        <f ca="1">AO34*'64'!L51</f>
        <v>87656.25</v>
      </c>
      <c r="S34" s="354">
        <f ca="1">AP34*'64'!M51</f>
        <v>0</v>
      </c>
      <c r="T34" s="521">
        <f t="shared" ca="1" si="7"/>
        <v>679706.25</v>
      </c>
      <c r="V34" s="889" t="str">
        <f>Lang!$A$172</f>
        <v>Internet 3</v>
      </c>
      <c r="W34" s="355">
        <f>IF('65'!$A$331=1,SUBSTITUTE('64'!F99,".",",")*1,0)</f>
        <v>4.2</v>
      </c>
      <c r="X34" s="356">
        <f>IF('65'!$A$331=1,SUBSTITUTE('64'!G99,".",",")*1,0)</f>
        <v>5.6</v>
      </c>
      <c r="Y34" s="356">
        <f>IF('65'!$A$331=1,SUBSTITUTE('64'!H99,".",",")*1,0)</f>
        <v>7.1</v>
      </c>
      <c r="Z34" s="356">
        <f>IF('65'!$A$331=1,SUBSTITUTE('64'!I99,".",",")*1,0)</f>
        <v>7.2</v>
      </c>
      <c r="AA34" s="356">
        <f>IF('65'!$A$331=1,SUBSTITUTE('64'!J99,".",",")*1,0)</f>
        <v>9.1</v>
      </c>
      <c r="AB34" s="356">
        <f>IF('65'!$A$331=1,SUBSTITUTE('64'!K99,".",",")*1,0)</f>
        <v>4.9000000000000004</v>
      </c>
      <c r="AC34" s="356">
        <f>IF('65'!$A$331=1,SUBSTITUTE('64'!L99,".",",")*1,0)</f>
        <v>5.5</v>
      </c>
      <c r="AD34" s="357">
        <f>IF('65'!$A$331=1,SUBSTITUTE('64'!M99,".",",")*1,0)</f>
        <v>0</v>
      </c>
      <c r="AE34" s="336">
        <f t="shared" si="8"/>
        <v>43.599999999999994</v>
      </c>
      <c r="AG34" s="889" t="str">
        <f>Lang!$A$172</f>
        <v>Internet 3</v>
      </c>
      <c r="AH34" s="338">
        <f ca="1">IF(SUBSTITUTE(OFFSET('64'!E99,,'61'!$O$5),".",",")&gt;0,'62'!Y24/SUBSTITUTE(OFFSET('64'!E99,,'61'!$O$5),".",","),0)</f>
        <v>18.75</v>
      </c>
      <c r="AI34" s="358">
        <f t="shared" ca="1" si="9"/>
        <v>78.75</v>
      </c>
      <c r="AJ34" s="354">
        <f t="shared" ca="1" si="0"/>
        <v>105</v>
      </c>
      <c r="AK34" s="354">
        <f t="shared" ca="1" si="1"/>
        <v>133.125</v>
      </c>
      <c r="AL34" s="354">
        <f t="shared" ca="1" si="2"/>
        <v>135</v>
      </c>
      <c r="AM34" s="354">
        <f t="shared" ca="1" si="3"/>
        <v>170.625</v>
      </c>
      <c r="AN34" s="354">
        <f t="shared" ca="1" si="4"/>
        <v>91.875</v>
      </c>
      <c r="AO34" s="354">
        <f t="shared" ca="1" si="5"/>
        <v>103.125</v>
      </c>
      <c r="AP34" s="359">
        <f t="shared" ca="1" si="6"/>
        <v>0</v>
      </c>
      <c r="AQ34" s="140">
        <f t="shared" ca="1" si="10"/>
        <v>1875.0000000000005</v>
      </c>
      <c r="AR34" s="95"/>
    </row>
    <row r="35" spans="1:44" ht="13.8" thickBot="1" x14ac:dyDescent="0.3">
      <c r="A35" s="31" t="str">
        <f>Lang!$A$160</f>
        <v>Share capital</v>
      </c>
      <c r="B35" s="6">
        <f>'64'!F80</f>
        <v>4000000</v>
      </c>
      <c r="C35" s="6">
        <f>'64'!G80</f>
        <v>4000000</v>
      </c>
      <c r="D35" s="6">
        <f>'64'!H80</f>
        <v>4000000</v>
      </c>
      <c r="E35" s="6">
        <f>'64'!I80</f>
        <v>4000000</v>
      </c>
      <c r="F35" s="6">
        <f>'64'!J80</f>
        <v>4000000</v>
      </c>
      <c r="G35" s="6">
        <f>'64'!K80</f>
        <v>4000000</v>
      </c>
      <c r="H35" s="6">
        <f>'64'!L80</f>
        <v>4000000</v>
      </c>
      <c r="I35" s="7" t="str">
        <f>'64'!M80</f>
        <v xml:space="preserve"> </v>
      </c>
      <c r="T35" s="97"/>
    </row>
    <row r="36" spans="1:44" ht="13.8" thickBot="1" x14ac:dyDescent="0.3">
      <c r="A36" s="879" t="str">
        <f>Lang!$A$161</f>
        <v>Share premium account</v>
      </c>
      <c r="B36" s="6">
        <f>'64'!F81</f>
        <v>0</v>
      </c>
      <c r="C36" s="6">
        <f>'64'!G81</f>
        <v>0</v>
      </c>
      <c r="D36" s="6">
        <f>'64'!H81</f>
        <v>0</v>
      </c>
      <c r="E36" s="6">
        <f>'64'!I81</f>
        <v>0</v>
      </c>
      <c r="F36" s="6">
        <f>'64'!J81</f>
        <v>0</v>
      </c>
      <c r="G36" s="6">
        <f>'64'!K81</f>
        <v>0</v>
      </c>
      <c r="H36" s="6">
        <f>'64'!L81</f>
        <v>0</v>
      </c>
      <c r="I36" s="7" t="str">
        <f>'64'!M81</f>
        <v xml:space="preserve"> </v>
      </c>
      <c r="K36" s="92" t="str">
        <f>Lang!$A$173</f>
        <v>Revenue</v>
      </c>
      <c r="L36" s="93">
        <f t="shared" ref="L36:S36" ca="1" si="11">B38/AI36</f>
        <v>273.89324062760625</v>
      </c>
      <c r="M36" s="93">
        <f t="shared" ca="1" si="11"/>
        <v>275.53289888585243</v>
      </c>
      <c r="N36" s="93">
        <f t="shared" ca="1" si="11"/>
        <v>270.92160396285811</v>
      </c>
      <c r="O36" s="93">
        <f t="shared" ca="1" si="11"/>
        <v>275.65361206101602</v>
      </c>
      <c r="P36" s="93">
        <f t="shared" ca="1" si="11"/>
        <v>271.63655637047066</v>
      </c>
      <c r="Q36" s="93">
        <f t="shared" ca="1" si="11"/>
        <v>274.26442177399429</v>
      </c>
      <c r="R36" s="93">
        <f t="shared" ca="1" si="11"/>
        <v>275.46580095709839</v>
      </c>
      <c r="S36" s="94" t="e">
        <f t="shared" ca="1" si="11"/>
        <v>#DIV/0!</v>
      </c>
      <c r="V36" s="147" t="str">
        <f>Lang!$A$174</f>
        <v>Shares</v>
      </c>
      <c r="W36" s="142">
        <f t="shared" ref="W36:AD36" ca="1" si="12">AVERAGE(SUM(AI26:AI28)/SUM($AQ26:$AQ28),SUM(AI29:AI31)/SUM($AQ29:$AQ31),SUM(AI32:AI34)/SUM($AQ32:$AQ34))*100</f>
        <v>4.2239408418502471</v>
      </c>
      <c r="X36" s="142">
        <f t="shared" ca="1" si="12"/>
        <v>4.3665453710799103</v>
      </c>
      <c r="Y36" s="142">
        <f t="shared" ca="1" si="12"/>
        <v>4.8292075500909881</v>
      </c>
      <c r="Z36" s="142">
        <f t="shared" ca="1" si="12"/>
        <v>4.5685208408376665</v>
      </c>
      <c r="AA36" s="142">
        <f t="shared" ca="1" si="12"/>
        <v>4.8792847736968072</v>
      </c>
      <c r="AB36" s="142">
        <f t="shared" ca="1" si="12"/>
        <v>3.484590045631184</v>
      </c>
      <c r="AC36" s="142">
        <f t="shared" ca="1" si="12"/>
        <v>4.680251348008948</v>
      </c>
      <c r="AD36" s="142">
        <f t="shared" ca="1" si="12"/>
        <v>0</v>
      </c>
      <c r="AE36" s="339">
        <f t="shared" ca="1" si="8"/>
        <v>31.032340771195749</v>
      </c>
      <c r="AG36" s="1144" t="str">
        <f>Lang!$A$175</f>
        <v>Amount</v>
      </c>
      <c r="AH36" s="1145"/>
      <c r="AI36" s="360">
        <f t="shared" ref="AI36:AP36" ca="1" si="13">AI26+AI27+AI28+AI29*2+AI30*2+AI31*2+AI32*3+AI33*3+AI34*3</f>
        <v>4609.6153779171018</v>
      </c>
      <c r="AJ36" s="360">
        <f t="shared" ca="1" si="13"/>
        <v>4757</v>
      </c>
      <c r="AK36" s="360">
        <f t="shared" ca="1" si="13"/>
        <v>5181.7838840996164</v>
      </c>
      <c r="AL36" s="360">
        <f t="shared" ca="1" si="13"/>
        <v>4979.8327455590388</v>
      </c>
      <c r="AM36" s="360">
        <f t="shared" ca="1" si="13"/>
        <v>5263.720306513409</v>
      </c>
      <c r="AN36" s="360">
        <f t="shared" ca="1" si="13"/>
        <v>3785.5010884709159</v>
      </c>
      <c r="AO36" s="360">
        <f t="shared" ca="1" si="13"/>
        <v>5038.0990290839436</v>
      </c>
      <c r="AP36" s="361">
        <f t="shared" ca="1" si="13"/>
        <v>0</v>
      </c>
      <c r="AQ36" s="340">
        <f ca="1">SUM(AI36:AP36)/AE36*100</f>
        <v>108324.2565538144</v>
      </c>
    </row>
    <row r="37" spans="1:44" x14ac:dyDescent="0.25">
      <c r="A37" s="879" t="str">
        <f>Lang!$A$141</f>
        <v xml:space="preserve">Retained earnings </v>
      </c>
      <c r="B37" s="6">
        <f>'64'!F82</f>
        <v>-145096</v>
      </c>
      <c r="C37" s="6">
        <f>'64'!G82</f>
        <v>-154561</v>
      </c>
      <c r="D37" s="6">
        <f>'64'!H82</f>
        <v>-132164</v>
      </c>
      <c r="E37" s="6">
        <f>'64'!I82</f>
        <v>-159218</v>
      </c>
      <c r="F37" s="6">
        <f>'64'!J82</f>
        <v>-155272</v>
      </c>
      <c r="G37" s="6">
        <f>'64'!K82</f>
        <v>-513709</v>
      </c>
      <c r="H37" s="6">
        <f>'64'!L82</f>
        <v>-119838</v>
      </c>
      <c r="I37" s="7" t="str">
        <f>'64'!M82</f>
        <v xml:space="preserve"> </v>
      </c>
      <c r="K37" s="13" t="str">
        <f>Lang!$A$162</f>
        <v>Expenses</v>
      </c>
      <c r="L37" s="56">
        <f t="shared" ref="L37:S37" ca="1" si="14">B39/AI36</f>
        <v>265.00117553333342</v>
      </c>
      <c r="M37" s="56">
        <f t="shared" ca="1" si="14"/>
        <v>268.90603321421065</v>
      </c>
      <c r="N37" s="56">
        <f t="shared" ca="1" si="14"/>
        <v>260.5157280702997</v>
      </c>
      <c r="O37" s="56">
        <f t="shared" ca="1" si="14"/>
        <v>270.25845094361512</v>
      </c>
      <c r="P37" s="56">
        <f t="shared" ca="1" si="14"/>
        <v>265.78271190197347</v>
      </c>
      <c r="Q37" s="56">
        <f t="shared" ca="1" si="14"/>
        <v>360.81148445951516</v>
      </c>
      <c r="R37" s="56">
        <f t="shared" ca="1" si="14"/>
        <v>262.31659535046595</v>
      </c>
      <c r="S37" s="57" t="e">
        <f t="shared" ca="1" si="14"/>
        <v>#VALUE!</v>
      </c>
    </row>
    <row r="38" spans="1:44" ht="13.8" thickBot="1" x14ac:dyDescent="0.3">
      <c r="A38" s="343" t="str">
        <f>Lang!$A$102</f>
        <v>Sales revenue</v>
      </c>
      <c r="B38" s="148">
        <f t="shared" ref="B38:I38" ca="1" si="15">SUMIF(L26:L34,"&gt;0")</f>
        <v>1262542.4939045629</v>
      </c>
      <c r="C38" s="148">
        <f t="shared" ca="1" si="15"/>
        <v>1310710</v>
      </c>
      <c r="D38" s="148">
        <f t="shared" ca="1" si="15"/>
        <v>1403857.201269157</v>
      </c>
      <c r="E38" s="148">
        <f t="shared" ca="1" si="15"/>
        <v>1372708.8837730756</v>
      </c>
      <c r="F38" s="148">
        <f t="shared" ca="1" si="15"/>
        <v>1429818.8577586208</v>
      </c>
      <c r="G38" s="148">
        <f t="shared" ca="1" si="15"/>
        <v>1038228.2671543016</v>
      </c>
      <c r="H38" s="148">
        <f t="shared" ca="1" si="15"/>
        <v>1387823.9843477882</v>
      </c>
      <c r="I38" s="24">
        <f t="shared" ca="1" si="15"/>
        <v>0</v>
      </c>
      <c r="K38" s="15" t="str">
        <f>Lang!$A$145</f>
        <v>Profit</v>
      </c>
      <c r="L38" s="59">
        <f ca="1">L36-L37</f>
        <v>8.892065094272823</v>
      </c>
      <c r="M38" s="59">
        <f t="shared" ref="M38:S38" ca="1" si="16">M36-M37</f>
        <v>6.6268656716417809</v>
      </c>
      <c r="N38" s="59">
        <f t="shared" ca="1" si="16"/>
        <v>10.405875892558413</v>
      </c>
      <c r="O38" s="59">
        <f t="shared" ca="1" si="16"/>
        <v>5.3951611174009031</v>
      </c>
      <c r="P38" s="59">
        <f t="shared" ca="1" si="16"/>
        <v>5.8538444684971864</v>
      </c>
      <c r="Q38" s="59">
        <f t="shared" ca="1" si="16"/>
        <v>-86.547062685520871</v>
      </c>
      <c r="R38" s="59">
        <f t="shared" ca="1" si="16"/>
        <v>13.149205606632449</v>
      </c>
      <c r="S38" s="60" t="e">
        <f t="shared" ca="1" si="16"/>
        <v>#DIV/0!</v>
      </c>
      <c r="T38" s="155"/>
    </row>
    <row r="39" spans="1:44" x14ac:dyDescent="0.25">
      <c r="A39" s="31" t="str">
        <f>Lang!$A$162</f>
        <v>Expenses</v>
      </c>
      <c r="B39" s="148">
        <f ca="1">B38-B40</f>
        <v>1221553.4939045629</v>
      </c>
      <c r="C39" s="148">
        <f t="shared" ref="C39:I39" ca="1" si="17">C38-C40</f>
        <v>1279186</v>
      </c>
      <c r="D39" s="148">
        <f t="shared" ca="1" si="17"/>
        <v>1349936.201269157</v>
      </c>
      <c r="E39" s="148">
        <f t="shared" ca="1" si="17"/>
        <v>1345841.8837730756</v>
      </c>
      <c r="F39" s="148">
        <f t="shared" ca="1" si="17"/>
        <v>1399005.8577586208</v>
      </c>
      <c r="G39" s="148">
        <f t="shared" ca="1" si="17"/>
        <v>1365852.2671543015</v>
      </c>
      <c r="H39" s="148">
        <f t="shared" ca="1" si="17"/>
        <v>1321576.9843477882</v>
      </c>
      <c r="I39" s="24" t="e">
        <f t="shared" ca="1" si="17"/>
        <v>#VALUE!</v>
      </c>
      <c r="W39" s="616"/>
    </row>
    <row r="40" spans="1:44" x14ac:dyDescent="0.25">
      <c r="A40" s="31" t="str">
        <f>Lang!$A$145</f>
        <v>Profit</v>
      </c>
      <c r="B40" s="6">
        <f>B37-$F$14+B30+B31-IF(B36=0,IF(B35&lt;$F$12,(B35-$F$12)*($F$19-100)/100,0),0)</f>
        <v>40989</v>
      </c>
      <c r="C40" s="6">
        <f t="shared" ref="C40:I40" si="18">C37-$F$14+C30+C31-IF(C36=0,IF(C35&lt;$F$12,(C35-$F$12)*($F$19-100)/100,0),0)</f>
        <v>31524</v>
      </c>
      <c r="D40" s="6">
        <f t="shared" si="18"/>
        <v>53921</v>
      </c>
      <c r="E40" s="6">
        <f t="shared" si="18"/>
        <v>26867</v>
      </c>
      <c r="F40" s="6">
        <f t="shared" si="18"/>
        <v>30813</v>
      </c>
      <c r="G40" s="6">
        <f t="shared" si="18"/>
        <v>-327624</v>
      </c>
      <c r="H40" s="6">
        <f t="shared" si="18"/>
        <v>66247</v>
      </c>
      <c r="I40" s="7" t="e">
        <f t="shared" si="18"/>
        <v>#VALUE!</v>
      </c>
      <c r="W40" s="616"/>
    </row>
    <row r="41" spans="1:44" x14ac:dyDescent="0.25">
      <c r="A41" s="879" t="str">
        <f>Lang!$A$163</f>
        <v>Investment performance</v>
      </c>
      <c r="B41" s="6">
        <f>AVERAGEIF('64'!F$39,"&gt;0")</f>
        <v>3816000</v>
      </c>
      <c r="C41" s="6">
        <f>AVERAGEIF('64'!G$39,"&gt;0")</f>
        <v>3941600</v>
      </c>
      <c r="D41" s="6">
        <f>AVERAGEIF('64'!H$39,"&gt;0")</f>
        <v>3914400</v>
      </c>
      <c r="E41" s="6">
        <f>AVERAGEIF('64'!I$39,"&gt;0")</f>
        <v>3879200</v>
      </c>
      <c r="F41" s="6">
        <f>AVERAGEIF('64'!J$39,"&gt;0")</f>
        <v>4012000</v>
      </c>
      <c r="G41" s="6">
        <f>AVERAGEIF('64'!K$39,"&gt;0")</f>
        <v>3371600</v>
      </c>
      <c r="H41" s="6">
        <f>AVERAGEIF('64'!L$39,"&gt;0")</f>
        <v>3941200</v>
      </c>
      <c r="I41" s="7" t="e">
        <f>AVERAGEIF('64'!M$39,"&gt;0")</f>
        <v>#DIV/0!</v>
      </c>
      <c r="W41" s="616"/>
    </row>
    <row r="42" spans="1:44" x14ac:dyDescent="0.25">
      <c r="A42" s="879" t="str">
        <f>Lang!$A$78</f>
        <v>Share price</v>
      </c>
      <c r="B42" s="28">
        <f>AVERAGEIF('64'!F$35,"&gt;0")</f>
        <v>95.4</v>
      </c>
      <c r="C42" s="28">
        <f>AVERAGEIF('64'!G$35,"&gt;0")</f>
        <v>98.54</v>
      </c>
      <c r="D42" s="28">
        <f>AVERAGEIF('64'!H$35,"&gt;0")</f>
        <v>97.86</v>
      </c>
      <c r="E42" s="28">
        <f>AVERAGEIF('64'!I$35,"&gt;0")</f>
        <v>96.98</v>
      </c>
      <c r="F42" s="28">
        <f>AVERAGEIF('64'!J$35,"&gt;0")</f>
        <v>100.3</v>
      </c>
      <c r="G42" s="28">
        <f>AVERAGEIF('64'!K$35,"&gt;0")</f>
        <v>84.29</v>
      </c>
      <c r="H42" s="28">
        <f>AVERAGEIF('64'!L$35,"&gt;0")</f>
        <v>98.53</v>
      </c>
      <c r="I42" s="341" t="e">
        <f>AVERAGEIF('64'!M$35,"&gt;0")</f>
        <v>#DIV/0!</v>
      </c>
      <c r="K42" s="23"/>
      <c r="N42" s="155"/>
      <c r="Q42" s="155"/>
      <c r="R42" s="155"/>
      <c r="W42" s="616"/>
    </row>
    <row r="43" spans="1:44" x14ac:dyDescent="0.25">
      <c r="A43" s="879" t="str">
        <f>Lang!$A$164</f>
        <v>Goodwill</v>
      </c>
      <c r="B43" s="28">
        <f t="shared" ref="B43:I43" si="19">B42/(B25/B35)</f>
        <v>98.990791988594282</v>
      </c>
      <c r="C43" s="28">
        <f t="shared" si="19"/>
        <v>102.5006507709523</v>
      </c>
      <c r="D43" s="28">
        <f t="shared" si="19"/>
        <v>101.20387731020654</v>
      </c>
      <c r="E43" s="28">
        <f t="shared" si="19"/>
        <v>101.00026505019031</v>
      </c>
      <c r="F43" s="28">
        <f t="shared" si="19"/>
        <v>104.3506848859009</v>
      </c>
      <c r="G43" s="28">
        <f t="shared" si="19"/>
        <v>96.710228721584059</v>
      </c>
      <c r="H43" s="28">
        <f t="shared" si="19"/>
        <v>101.57307864980895</v>
      </c>
      <c r="I43" s="341" t="e">
        <f t="shared" si="19"/>
        <v>#DIV/0!</v>
      </c>
      <c r="L43" s="155"/>
      <c r="M43" s="155"/>
      <c r="N43" s="155"/>
      <c r="Q43" s="155"/>
      <c r="R43" s="155"/>
      <c r="S43" s="155"/>
      <c r="T43" s="155"/>
      <c r="W43" s="616"/>
    </row>
    <row r="44" spans="1:44" x14ac:dyDescent="0.25">
      <c r="A44" s="869" t="str">
        <f>Lang!$A$84</f>
        <v>Market shares</v>
      </c>
      <c r="B44" s="143">
        <f t="shared" ref="B44:I44" ca="1" si="20">AVERAGEIF(W36,"&gt;0")</f>
        <v>4.2239408418502471</v>
      </c>
      <c r="C44" s="143">
        <f t="shared" ca="1" si="20"/>
        <v>4.3665453710799103</v>
      </c>
      <c r="D44" s="143">
        <f t="shared" ca="1" si="20"/>
        <v>4.8292075500909881</v>
      </c>
      <c r="E44" s="143">
        <f t="shared" ca="1" si="20"/>
        <v>4.5685208408376665</v>
      </c>
      <c r="F44" s="143">
        <f t="shared" ca="1" si="20"/>
        <v>4.8792847736968072</v>
      </c>
      <c r="G44" s="143">
        <f t="shared" ca="1" si="20"/>
        <v>3.484590045631184</v>
      </c>
      <c r="H44" s="143">
        <f t="shared" ca="1" si="20"/>
        <v>4.680251348008948</v>
      </c>
      <c r="I44" s="144" t="e">
        <f t="shared" ca="1" si="20"/>
        <v>#DIV/0!</v>
      </c>
      <c r="L44" s="155"/>
      <c r="M44" s="155"/>
      <c r="N44" s="155"/>
      <c r="Q44" s="155"/>
      <c r="R44" s="155"/>
      <c r="S44" s="155"/>
      <c r="T44" s="155"/>
      <c r="W44" s="616"/>
    </row>
    <row r="45" spans="1:44" x14ac:dyDescent="0.25">
      <c r="A45" s="869" t="str">
        <f>Lang!$A$74</f>
        <v>Prices</v>
      </c>
      <c r="B45" s="63">
        <f>AVERAGEIF('64'!F$43:F$51,"&gt;0")/AVERAGEIF('64'!$F$43:$M$51,"&gt;0")-1</f>
        <v>-4.5095496345202157E-3</v>
      </c>
      <c r="C45" s="63">
        <f>AVERAGEIF('64'!G$43:G$51,"&gt;0")/AVERAGEIF('64'!$F$43:$M$51,"&gt;0")-1</f>
        <v>1.0551756661164813E-2</v>
      </c>
      <c r="D45" s="63">
        <f>AVERAGEIF('64'!H$43:H$51,"&gt;0")/AVERAGEIF('64'!$F$43:$M$51,"&gt;0")-1</f>
        <v>-5.5411459561424126E-3</v>
      </c>
      <c r="E45" s="63">
        <f>AVERAGEIF('64'!I$43:I$51,"&gt;0")/AVERAGEIF('64'!$F$43:$M$51,"&gt;0")-1</f>
        <v>9.9327988681914281E-3</v>
      </c>
      <c r="F45" s="63">
        <f>AVERAGEIF('64'!J$43:J$51,"&gt;0")/AVERAGEIF('64'!$F$43:$M$51,"&gt;0")-1</f>
        <v>-1.9983494458853945E-2</v>
      </c>
      <c r="G45" s="63">
        <f>AVERAGEIF('64'!K$43:K$51,"&gt;0")/AVERAGEIF('64'!$F$43:$M$51,"&gt;0")-1</f>
        <v>-1.4147606696532922E-3</v>
      </c>
      <c r="H45" s="63">
        <f>AVERAGEIF('64'!L$43:L$51,"&gt;0")/AVERAGEIF('64'!$F$43:$M$51,"&gt;0")-1</f>
        <v>1.0964395189813736E-2</v>
      </c>
      <c r="I45" s="64" t="e">
        <f>AVERAGEIF('64'!M$43:M$51,"&gt;0")/AVERAGEIF('64'!$F$43:$M$51,"&gt;0")-1</f>
        <v>#DIV/0!</v>
      </c>
      <c r="L45" s="155"/>
      <c r="M45" s="155"/>
      <c r="N45" s="155"/>
      <c r="O45" s="155"/>
      <c r="P45" s="155"/>
      <c r="Q45" s="155"/>
      <c r="R45" s="155"/>
      <c r="S45" s="155"/>
      <c r="T45" s="155"/>
      <c r="W45" s="616"/>
    </row>
    <row r="46" spans="1:44" x14ac:dyDescent="0.25">
      <c r="A46" s="869" t="str">
        <f>Lang!$A$38</f>
        <v>Advertising</v>
      </c>
      <c r="B46" s="63">
        <f>AVERAGEIF('64'!F$104,"&gt;0")/AVERAGEIF('64'!$F$104:$M$104,"&gt;0")-1</f>
        <v>-0.13509060955518937</v>
      </c>
      <c r="C46" s="63">
        <f>AVERAGEIF('64'!G$104,"&gt;0")/AVERAGEIF('64'!$F$104:$M$104,"&gt;0")-1</f>
        <v>7.2487644151565167E-2</v>
      </c>
      <c r="D46" s="63">
        <f>AVERAGEIF('64'!H$104,"&gt;0")/AVERAGEIF('64'!$F$104:$M$104,"&gt;0")-1</f>
        <v>-4.2833607907742932E-2</v>
      </c>
      <c r="E46" s="63">
        <f>AVERAGEIF('64'!I$104,"&gt;0")/AVERAGEIF('64'!$F$104:$M$104,"&gt;0")-1</f>
        <v>-1.9769357495881379E-2</v>
      </c>
      <c r="F46" s="63">
        <f>AVERAGEIF('64'!J$104,"&gt;0")/AVERAGEIF('64'!$F$104:$M$104,"&gt;0")-1</f>
        <v>9.5551894563426831E-2</v>
      </c>
      <c r="G46" s="63">
        <f>AVERAGEIF('64'!K$104,"&gt;0")/AVERAGEIF('64'!$F$104:$M$104,"&gt;0")-1</f>
        <v>3.7891268533772671E-2</v>
      </c>
      <c r="H46" s="63">
        <f>AVERAGEIF('64'!L$104,"&gt;0")/AVERAGEIF('64'!$F$104:$M$104,"&gt;0")-1</f>
        <v>-8.2372322899505468E-3</v>
      </c>
      <c r="I46" s="64" t="e">
        <f>AVERAGEIF('64'!M$104,"&gt;0")/AVERAGEIF('64'!$F$104:$M$104,"&gt;0")-1</f>
        <v>#DIV/0!</v>
      </c>
      <c r="K46" s="25"/>
      <c r="L46" s="25"/>
      <c r="M46" s="25"/>
      <c r="N46" s="25"/>
      <c r="O46" s="25"/>
      <c r="P46" s="25"/>
      <c r="Q46" s="25"/>
      <c r="R46" s="25"/>
      <c r="W46" s="616"/>
    </row>
    <row r="47" spans="1:44" x14ac:dyDescent="0.25">
      <c r="A47" s="869" t="str">
        <f>Lang!$A$176</f>
        <v>Workers</v>
      </c>
      <c r="B47" s="118">
        <f>'64'!F$53-'62'!$O$7-'62'!$O$8+'62'!$O$10</f>
        <v>21</v>
      </c>
      <c r="C47" s="118">
        <f>'64'!G$53-'62'!$O$7-'62'!$O$8+'62'!$O$10</f>
        <v>21</v>
      </c>
      <c r="D47" s="118">
        <f>'64'!H$53-'62'!$O$7-'62'!$O$8+'62'!$O$10</f>
        <v>21</v>
      </c>
      <c r="E47" s="118">
        <f>'64'!I$53-'62'!$O$7-'62'!$O$8+'62'!$O$10</f>
        <v>21</v>
      </c>
      <c r="F47" s="118">
        <f>'64'!J$53-'62'!$O$7-'62'!$O$8+'62'!$O$10</f>
        <v>21</v>
      </c>
      <c r="G47" s="118">
        <f>'64'!K$53-'62'!$O$7-'62'!$O$8+'62'!$O$10</f>
        <v>21</v>
      </c>
      <c r="H47" s="118">
        <f>'64'!L$53-'62'!$O$7-'62'!$O$8+'62'!$O$10</f>
        <v>21</v>
      </c>
      <c r="I47" s="118">
        <f>'64'!M$53-'62'!$O$7-'62'!$O$8+'62'!$O$10</f>
        <v>-32</v>
      </c>
      <c r="K47" s="122"/>
      <c r="L47" s="122"/>
      <c r="M47" s="122"/>
      <c r="N47" s="122"/>
      <c r="O47" s="122"/>
      <c r="P47" s="122"/>
      <c r="Q47" s="122"/>
      <c r="R47" s="122"/>
      <c r="W47" s="616"/>
    </row>
    <row r="48" spans="1:44" ht="13.8" thickBot="1" x14ac:dyDescent="0.3">
      <c r="A48" s="67" t="str">
        <f>Lang!$A$59</f>
        <v>Workers wage rate</v>
      </c>
      <c r="B48" s="863">
        <f>'64'!F54</f>
        <v>1200</v>
      </c>
      <c r="C48" s="863">
        <f>'64'!G54</f>
        <v>1220</v>
      </c>
      <c r="D48" s="863">
        <f>'64'!H54</f>
        <v>1200</v>
      </c>
      <c r="E48" s="863">
        <f>'64'!I54</f>
        <v>1200</v>
      </c>
      <c r="F48" s="863">
        <f>'64'!J54</f>
        <v>1250</v>
      </c>
      <c r="G48" s="863">
        <f>'64'!K54</f>
        <v>1210</v>
      </c>
      <c r="H48" s="863">
        <f>'64'!L54</f>
        <v>1250</v>
      </c>
      <c r="I48" s="864">
        <f>'64'!M54</f>
        <v>0</v>
      </c>
    </row>
    <row r="49" spans="1:44" ht="12.75" customHeight="1" thickBot="1" x14ac:dyDescent="0.3">
      <c r="A49" s="98">
        <f>IF(A24=4,1,A24+1)</f>
        <v>4</v>
      </c>
      <c r="B49" s="99">
        <f t="shared" ref="B49:I49" si="21">B24</f>
        <v>0</v>
      </c>
      <c r="C49" s="99">
        <f t="shared" si="21"/>
        <v>0</v>
      </c>
      <c r="D49" s="99">
        <f t="shared" si="21"/>
        <v>0</v>
      </c>
      <c r="E49" s="99">
        <f t="shared" si="21"/>
        <v>0</v>
      </c>
      <c r="F49" s="99">
        <f t="shared" si="21"/>
        <v>0</v>
      </c>
      <c r="G49" s="99">
        <f t="shared" si="21"/>
        <v>0</v>
      </c>
      <c r="H49" s="99">
        <f t="shared" si="21"/>
        <v>0</v>
      </c>
      <c r="I49" s="99">
        <f t="shared" si="21"/>
        <v>0</v>
      </c>
    </row>
    <row r="50" spans="1:44" ht="12.75" customHeight="1" x14ac:dyDescent="0.25">
      <c r="A50" s="342" t="str">
        <f>Lang!$A$134</f>
        <v>Net assets</v>
      </c>
      <c r="B50" s="26">
        <f>'74'!F83</f>
        <v>3735006</v>
      </c>
      <c r="C50" s="26">
        <f>'74'!G83</f>
        <v>3763922</v>
      </c>
      <c r="D50" s="26">
        <f>'74'!H83</f>
        <v>3908208</v>
      </c>
      <c r="E50" s="26">
        <f>'74'!I83</f>
        <v>3880590</v>
      </c>
      <c r="F50" s="26">
        <f>'74'!J83</f>
        <v>3876779</v>
      </c>
      <c r="G50" s="26">
        <f>'74'!K83</f>
        <v>3682266</v>
      </c>
      <c r="H50" s="26">
        <f>'74'!L83</f>
        <v>3962904</v>
      </c>
      <c r="I50" s="27">
        <f>'74'!M83</f>
        <v>0</v>
      </c>
      <c r="J50" s="23"/>
      <c r="K50" s="1146" t="str">
        <f>Lang!$A$102</f>
        <v>Sales revenue</v>
      </c>
      <c r="L50" s="1147"/>
      <c r="M50" s="1147"/>
      <c r="N50" s="1147"/>
      <c r="O50" s="1147"/>
      <c r="P50" s="1147"/>
      <c r="Q50" s="1147"/>
      <c r="R50" s="1147"/>
      <c r="S50" s="1147"/>
      <c r="T50" s="522">
        <f ca="1">SUM(T51:T59)</f>
        <v>11109704.085363455</v>
      </c>
      <c r="V50" s="1146" t="str">
        <f>Lang!$A$84</f>
        <v>Market shares</v>
      </c>
      <c r="W50" s="1147"/>
      <c r="X50" s="1147"/>
      <c r="Y50" s="1147"/>
      <c r="Z50" s="1147"/>
      <c r="AA50" s="1147"/>
      <c r="AB50" s="1147"/>
      <c r="AC50" s="1147"/>
      <c r="AD50" s="1148"/>
      <c r="AE50" s="880" t="str">
        <f>Lang!$A$165</f>
        <v>Market</v>
      </c>
      <c r="AG50" s="1146" t="str">
        <f>Lang!$A$166</f>
        <v>Sales</v>
      </c>
      <c r="AH50" s="1147"/>
      <c r="AI50" s="1147"/>
      <c r="AJ50" s="1147"/>
      <c r="AK50" s="1147"/>
      <c r="AL50" s="1147"/>
      <c r="AM50" s="1147"/>
      <c r="AN50" s="1147"/>
      <c r="AO50" s="1147"/>
      <c r="AP50" s="1148"/>
      <c r="AQ50" s="880" t="str">
        <f>Lang!$A$165</f>
        <v>Market</v>
      </c>
    </row>
    <row r="51" spans="1:44" ht="12.75" customHeight="1" x14ac:dyDescent="0.25">
      <c r="A51" s="31" t="str">
        <f>Lang!$A$153</f>
        <v>Non-current assets</v>
      </c>
      <c r="B51" s="6">
        <f>'74'!F67</f>
        <v>2038374</v>
      </c>
      <c r="C51" s="6">
        <f>'74'!G67</f>
        <v>1728186</v>
      </c>
      <c r="D51" s="6">
        <f>'74'!H67</f>
        <v>2225686</v>
      </c>
      <c r="E51" s="6">
        <f>'74'!I67</f>
        <v>1610498</v>
      </c>
      <c r="F51" s="6">
        <f>'74'!J67</f>
        <v>1650498</v>
      </c>
      <c r="G51" s="6">
        <f>'74'!K67</f>
        <v>2330874</v>
      </c>
      <c r="H51" s="6">
        <f>'74'!L67</f>
        <v>1678186</v>
      </c>
      <c r="I51" s="7">
        <f>'74'!M67</f>
        <v>0</v>
      </c>
      <c r="J51" s="23"/>
      <c r="K51" s="347" t="str">
        <f>Lang!$A$167</f>
        <v>Europe 1</v>
      </c>
      <c r="L51" s="348">
        <f ca="1">AI51*'74'!F43</f>
        <v>307686.36363636359</v>
      </c>
      <c r="M51" s="348">
        <f ca="1">AJ51*'74'!G43</f>
        <v>325120</v>
      </c>
      <c r="N51" s="348">
        <f ca="1">AK51*'74'!H43</f>
        <v>332624.54545454541</v>
      </c>
      <c r="O51" s="348">
        <f ca="1">AL51*'74'!I43</f>
        <v>325120</v>
      </c>
      <c r="P51" s="348">
        <f ca="1">AM51*'74'!J43</f>
        <v>315190.90909090906</v>
      </c>
      <c r="Q51" s="348">
        <f ca="1">AN51*'74'!K43</f>
        <v>533399.99999999988</v>
      </c>
      <c r="R51" s="348">
        <f ca="1">AO51*'74'!L43</f>
        <v>348095.45454545453</v>
      </c>
      <c r="S51" s="348">
        <f ca="1">AP51*'74'!M43</f>
        <v>0</v>
      </c>
      <c r="T51" s="520">
        <f ca="1">SUM(L51:S51)</f>
        <v>2487237.2727272725</v>
      </c>
      <c r="V51" s="347" t="str">
        <f>Lang!$A$167</f>
        <v>Europe 1</v>
      </c>
      <c r="W51" s="349">
        <f>IF('75'!$A$331=1,SUBSTITUTE('74'!F91,".",",")*1,0)</f>
        <v>4.0999999999999996</v>
      </c>
      <c r="X51" s="350">
        <f>IF('75'!$A$331=1,SUBSTITUTE('74'!G91,".",",")*1,0)</f>
        <v>4.4000000000000004</v>
      </c>
      <c r="Y51" s="350">
        <f>IF('75'!$A$331=1,SUBSTITUTE('74'!H91,".",",")*1,0)</f>
        <v>4.3</v>
      </c>
      <c r="Z51" s="350">
        <f>IF('75'!$A$331=1,SUBSTITUTE('74'!I91,".",",")*1,0)</f>
        <v>4.4000000000000004</v>
      </c>
      <c r="AA51" s="350">
        <f>IF('75'!$A$331=1,SUBSTITUTE('74'!J91,".",",")*1,0)</f>
        <v>4.2</v>
      </c>
      <c r="AB51" s="350">
        <f>IF('75'!$A$331=1,SUBSTITUTE('74'!K91,".",",")*1,0)</f>
        <v>7.7</v>
      </c>
      <c r="AC51" s="350">
        <f>IF('75'!$A$331=1,SUBSTITUTE('74'!L91,".",",")*1,0)</f>
        <v>4.5</v>
      </c>
      <c r="AD51" s="351">
        <f>IF('75'!$A$331=1,SUBSTITUTE('74'!M91,".",",")*1,0)</f>
        <v>0</v>
      </c>
      <c r="AE51" s="334">
        <f t="shared" ref="AE51:AE59" si="22">SUM(W51:AD51)</f>
        <v>33.6</v>
      </c>
      <c r="AG51" s="347" t="str">
        <f>Lang!$A$167</f>
        <v>Europe 1</v>
      </c>
      <c r="AH51" s="337">
        <f ca="1">IF(SUBSTITUTE(OFFSET('74'!E91,,'71'!$O$5),".",",")&gt;0,'72'!U22/SUBSTITUTE(OFFSET('74'!E91,,'71'!$O$5),".",","),0)</f>
        <v>230.90909090909088</v>
      </c>
      <c r="AI51" s="352">
        <f ca="1">$AH51*W51</f>
        <v>946.72727272727252</v>
      </c>
      <c r="AJ51" s="348">
        <f t="shared" ref="AJ51:AJ59" ca="1" si="23">$AH51*X51</f>
        <v>1016</v>
      </c>
      <c r="AK51" s="348">
        <f t="shared" ref="AK51:AK59" ca="1" si="24">$AH51*Y51</f>
        <v>992.90909090909076</v>
      </c>
      <c r="AL51" s="348">
        <f t="shared" ref="AL51:AL59" ca="1" si="25">$AH51*Z51</f>
        <v>1016</v>
      </c>
      <c r="AM51" s="348">
        <f t="shared" ref="AM51:AM59" ca="1" si="26">$AH51*AA51</f>
        <v>969.81818181818176</v>
      </c>
      <c r="AN51" s="348">
        <f t="shared" ref="AN51:AN59" ca="1" si="27">$AH51*AB51</f>
        <v>1777.9999999999998</v>
      </c>
      <c r="AO51" s="348">
        <f t="shared" ref="AO51:AO59" ca="1" si="28">$AH51*AC51</f>
        <v>1039.090909090909</v>
      </c>
      <c r="AP51" s="353">
        <f t="shared" ref="AP51:AP59" ca="1" si="29">$AH51*AD51</f>
        <v>0</v>
      </c>
      <c r="AQ51" s="141">
        <f t="shared" ref="AQ51:AQ59" ca="1" si="30">SUM(AI51:AP51)/AE51*100</f>
        <v>23090.909090909088</v>
      </c>
      <c r="AR51" s="95"/>
    </row>
    <row r="52" spans="1:44" ht="12.75" customHeight="1" x14ac:dyDescent="0.25">
      <c r="A52" s="13" t="str">
        <f>Lang!$A$154</f>
        <v>Inventories</v>
      </c>
      <c r="B52" s="6">
        <f>'74'!F68</f>
        <v>441727</v>
      </c>
      <c r="C52" s="6">
        <f>'74'!G68</f>
        <v>796747</v>
      </c>
      <c r="D52" s="6">
        <f>'74'!H68</f>
        <v>231912</v>
      </c>
      <c r="E52" s="6">
        <f>'74'!I68</f>
        <v>637723</v>
      </c>
      <c r="F52" s="6">
        <f>'74'!J68</f>
        <v>667420</v>
      </c>
      <c r="G52" s="6">
        <f>'74'!K68</f>
        <v>582137</v>
      </c>
      <c r="H52" s="6">
        <f>'74'!L68</f>
        <v>207495</v>
      </c>
      <c r="I52" s="7">
        <f>'74'!M68</f>
        <v>0</v>
      </c>
      <c r="K52" s="13" t="str">
        <f>Lang!$A$146</f>
        <v>Nafta 1</v>
      </c>
      <c r="L52" s="348">
        <f ca="1">AI52*'74'!F44</f>
        <v>46267.222222222226</v>
      </c>
      <c r="M52" s="348">
        <f ca="1">AJ52*'74'!G44</f>
        <v>38985</v>
      </c>
      <c r="N52" s="348">
        <f ca="1">AK52*'74'!H44</f>
        <v>60643.333333333328</v>
      </c>
      <c r="O52" s="348">
        <f ca="1">AL52*'74'!I44</f>
        <v>40805.555555555555</v>
      </c>
      <c r="P52" s="348">
        <f ca="1">AM52*'74'!J44</f>
        <v>42061.111111111109</v>
      </c>
      <c r="Q52" s="348">
        <f ca="1">AN52*'74'!K44</f>
        <v>124551.11111111111</v>
      </c>
      <c r="R52" s="348">
        <f ca="1">AO52*'74'!L44</f>
        <v>51980</v>
      </c>
      <c r="S52" s="348">
        <f ca="1">AP52*'74'!M44</f>
        <v>0</v>
      </c>
      <c r="T52" s="520">
        <f t="shared" ref="T52:T59" ca="1" si="31">SUM(L52:S52)</f>
        <v>405293.33333333337</v>
      </c>
      <c r="V52" s="13" t="str">
        <f>Lang!$A$146</f>
        <v>Nafta 1</v>
      </c>
      <c r="W52" s="349">
        <f>IF('75'!$A$331=1,SUBSTITUTE('74'!F92,".",",")*1,0)</f>
        <v>1.1000000000000001</v>
      </c>
      <c r="X52" s="350">
        <f>IF('75'!$A$331=1,SUBSTITUTE('74'!G92,".",",")*1,0)</f>
        <v>0.9</v>
      </c>
      <c r="Y52" s="350">
        <f>IF('75'!$A$331=1,SUBSTITUTE('74'!H92,".",",")*1,0)</f>
        <v>1.4</v>
      </c>
      <c r="Z52" s="350">
        <f>IF('75'!$A$331=1,SUBSTITUTE('74'!I92,".",",")*1,0)</f>
        <v>1</v>
      </c>
      <c r="AA52" s="350">
        <f>IF('75'!$A$331=1,SUBSTITUTE('74'!J92,".",",")*1,0)</f>
        <v>1</v>
      </c>
      <c r="AB52" s="350">
        <f>IF('75'!$A$331=1,SUBSTITUTE('74'!K92,".",",")*1,0)</f>
        <v>3.1</v>
      </c>
      <c r="AC52" s="350">
        <f>IF('75'!$A$331=1,SUBSTITUTE('74'!L92,".",",")*1,0)</f>
        <v>1.2</v>
      </c>
      <c r="AD52" s="351">
        <f>IF('75'!$A$331=1,SUBSTITUTE('74'!M92,".",",")*1,0)</f>
        <v>0</v>
      </c>
      <c r="AE52" s="335">
        <f t="shared" si="22"/>
        <v>9.6999999999999993</v>
      </c>
      <c r="AG52" s="13" t="str">
        <f>Lang!$A$146</f>
        <v>Nafta 1</v>
      </c>
      <c r="AH52" s="337">
        <f ca="1">IF(SUBSTITUTE(OFFSET('74'!E92,,'71'!$O$5),".",",")&gt;0,'72'!U23/SUBSTITUTE(OFFSET('74'!E92,,'71'!$O$5),".",","),0)</f>
        <v>125.55555555555556</v>
      </c>
      <c r="AI52" s="352">
        <f t="shared" ref="AI52:AI59" ca="1" si="32">$AH52*W52</f>
        <v>138.11111111111111</v>
      </c>
      <c r="AJ52" s="348">
        <f t="shared" ca="1" si="23"/>
        <v>113</v>
      </c>
      <c r="AK52" s="348">
        <f t="shared" ca="1" si="24"/>
        <v>175.77777777777777</v>
      </c>
      <c r="AL52" s="348">
        <f t="shared" ca="1" si="25"/>
        <v>125.55555555555556</v>
      </c>
      <c r="AM52" s="348">
        <f t="shared" ca="1" si="26"/>
        <v>125.55555555555556</v>
      </c>
      <c r="AN52" s="348">
        <f t="shared" ca="1" si="27"/>
        <v>389.22222222222223</v>
      </c>
      <c r="AO52" s="348">
        <f t="shared" ca="1" si="28"/>
        <v>150.66666666666666</v>
      </c>
      <c r="AP52" s="353">
        <f t="shared" ca="1" si="29"/>
        <v>0</v>
      </c>
      <c r="AQ52" s="139">
        <f t="shared" ca="1" si="30"/>
        <v>12555.555555555557</v>
      </c>
      <c r="AR52" s="95"/>
    </row>
    <row r="53" spans="1:44" ht="12.75" customHeight="1" x14ac:dyDescent="0.25">
      <c r="A53" s="13" t="str">
        <f>Lang!$A$155</f>
        <v>Trade receivables</v>
      </c>
      <c r="B53" s="6">
        <f>'74'!F69</f>
        <v>779907</v>
      </c>
      <c r="C53" s="6">
        <f>'74'!G69</f>
        <v>751502</v>
      </c>
      <c r="D53" s="6">
        <f>'74'!H69</f>
        <v>939937</v>
      </c>
      <c r="E53" s="6">
        <f>'74'!I69</f>
        <v>720126</v>
      </c>
      <c r="F53" s="6">
        <f>'74'!J69</f>
        <v>823314</v>
      </c>
      <c r="G53" s="6">
        <f>'74'!K69</f>
        <v>1174806</v>
      </c>
      <c r="H53" s="6">
        <f>'74'!L69</f>
        <v>824059</v>
      </c>
      <c r="I53" s="7">
        <f>'74'!M69</f>
        <v>0</v>
      </c>
      <c r="K53" s="31" t="str">
        <f>Lang!$A$168</f>
        <v>Internet 1</v>
      </c>
      <c r="L53" s="348">
        <f ca="1">AI53*'74'!F45</f>
        <v>83611.525423728803</v>
      </c>
      <c r="M53" s="348">
        <f ca="1">AJ53*'74'!G45</f>
        <v>220020</v>
      </c>
      <c r="N53" s="348">
        <f ca="1">AK53*'74'!H45</f>
        <v>154907.03389830506</v>
      </c>
      <c r="O53" s="348">
        <f ca="1">AL53*'74'!I45</f>
        <v>187242.71186440677</v>
      </c>
      <c r="P53" s="348">
        <f ca="1">AM53*'74'!J45</f>
        <v>182679.40677966099</v>
      </c>
      <c r="Q53" s="348">
        <f ca="1">AN53*'74'!K45</f>
        <v>188911.01694915252</v>
      </c>
      <c r="R53" s="348">
        <f ca="1">AO53*'74'!L45</f>
        <v>246565.67796610168</v>
      </c>
      <c r="S53" s="348">
        <f ca="1">AP53*'74'!M45</f>
        <v>0</v>
      </c>
      <c r="T53" s="520">
        <f t="shared" ca="1" si="31"/>
        <v>1263937.3728813557</v>
      </c>
      <c r="V53" s="31" t="str">
        <f>Lang!$A$168</f>
        <v>Internet 1</v>
      </c>
      <c r="W53" s="349">
        <f>IF('75'!$A$331=1,SUBSTITUTE('74'!F93,".",",")*1,0)</f>
        <v>2.4</v>
      </c>
      <c r="X53" s="350">
        <f>IF('75'!$A$331=1,SUBSTITUTE('74'!G93,".",",")*1,0)</f>
        <v>5.9</v>
      </c>
      <c r="Y53" s="350">
        <f>IF('75'!$A$331=1,SUBSTITUTE('74'!H93,".",",")*1,0)</f>
        <v>4.0999999999999996</v>
      </c>
      <c r="Z53" s="350">
        <f>IF('75'!$A$331=1,SUBSTITUTE('74'!I93,".",",")*1,0)</f>
        <v>5.3</v>
      </c>
      <c r="AA53" s="350">
        <f>IF('75'!$A$331=1,SUBSTITUTE('74'!J93,".",",")*1,0)</f>
        <v>5.0999999999999996</v>
      </c>
      <c r="AB53" s="350">
        <f>IF('75'!$A$331=1,SUBSTITUTE('74'!K93,".",",")*1,0)</f>
        <v>5.5</v>
      </c>
      <c r="AC53" s="350">
        <f>IF('75'!$A$331=1,SUBSTITUTE('74'!L93,".",",")*1,0)</f>
        <v>6.7</v>
      </c>
      <c r="AD53" s="351">
        <f>IF('75'!$A$331=1,SUBSTITUTE('74'!M93,".",",")*1,0)</f>
        <v>0</v>
      </c>
      <c r="AE53" s="335">
        <f t="shared" si="22"/>
        <v>35</v>
      </c>
      <c r="AG53" s="31" t="str">
        <f>Lang!$A$168</f>
        <v>Internet 1</v>
      </c>
      <c r="AH53" s="337">
        <f ca="1">IF(SUBSTITUTE(OFFSET('74'!E93,,'71'!$O$5),".",",")&gt;0,'72'!U24/SUBSTITUTE(OFFSET('74'!E93,,'71'!$O$5),".",","),0)</f>
        <v>98.135593220338976</v>
      </c>
      <c r="AI53" s="352">
        <f t="shared" ca="1" si="32"/>
        <v>235.52542372881354</v>
      </c>
      <c r="AJ53" s="348">
        <f t="shared" ca="1" si="23"/>
        <v>579</v>
      </c>
      <c r="AK53" s="348">
        <f t="shared" ca="1" si="24"/>
        <v>402.35593220338978</v>
      </c>
      <c r="AL53" s="348">
        <f t="shared" ca="1" si="25"/>
        <v>520.11864406779659</v>
      </c>
      <c r="AM53" s="348">
        <f t="shared" ca="1" si="26"/>
        <v>500.49152542372872</v>
      </c>
      <c r="AN53" s="348">
        <f t="shared" ca="1" si="27"/>
        <v>539.74576271186436</v>
      </c>
      <c r="AO53" s="348">
        <f t="shared" ca="1" si="28"/>
        <v>657.50847457627117</v>
      </c>
      <c r="AP53" s="353">
        <f t="shared" ca="1" si="29"/>
        <v>0</v>
      </c>
      <c r="AQ53" s="139">
        <f t="shared" ca="1" si="30"/>
        <v>9813.559322033896</v>
      </c>
      <c r="AR53" s="95"/>
    </row>
    <row r="54" spans="1:44" ht="12.75" customHeight="1" x14ac:dyDescent="0.25">
      <c r="A54" s="13" t="str">
        <f>Lang!$A$156</f>
        <v>Cash and cash equivalents</v>
      </c>
      <c r="B54" s="6">
        <f>'74'!F70</f>
        <v>1150000</v>
      </c>
      <c r="C54" s="6">
        <f>'74'!G70</f>
        <v>1191095</v>
      </c>
      <c r="D54" s="6">
        <f>'74'!H70</f>
        <v>1150000</v>
      </c>
      <c r="E54" s="6">
        <f>'74'!I70</f>
        <v>1322931</v>
      </c>
      <c r="F54" s="6">
        <f>'74'!J70</f>
        <v>1360940</v>
      </c>
      <c r="G54" s="6">
        <f>'74'!K70</f>
        <v>1150000</v>
      </c>
      <c r="H54" s="6">
        <f>'74'!L70</f>
        <v>1726103</v>
      </c>
      <c r="I54" s="7">
        <f>'74'!M70</f>
        <v>0</v>
      </c>
      <c r="K54" s="347" t="str">
        <f>Lang!$A$169</f>
        <v>Europe 2</v>
      </c>
      <c r="L54" s="348">
        <f ca="1">AI54*'74'!F46</f>
        <v>291719.99999999994</v>
      </c>
      <c r="M54" s="348">
        <f ca="1">AJ54*'74'!G46</f>
        <v>286000</v>
      </c>
      <c r="N54" s="348">
        <f ca="1">AK54*'74'!H46</f>
        <v>314600</v>
      </c>
      <c r="O54" s="348">
        <f ca="1">AL54*'74'!I46</f>
        <v>256816.32653061222</v>
      </c>
      <c r="P54" s="348">
        <f ca="1">AM54*'74'!J46</f>
        <v>320320</v>
      </c>
      <c r="Q54" s="348">
        <f ca="1">AN54*'74'!K46</f>
        <v>471841.63265306118</v>
      </c>
      <c r="R54" s="348">
        <f ca="1">AO54*'74'!L46</f>
        <v>291719.99999999994</v>
      </c>
      <c r="S54" s="348">
        <f ca="1">AP54*'74'!M46</f>
        <v>0</v>
      </c>
      <c r="T54" s="520">
        <f t="shared" ca="1" si="31"/>
        <v>2233017.9591836734</v>
      </c>
      <c r="V54" s="347" t="str">
        <f>Lang!$A$169</f>
        <v>Europe 2</v>
      </c>
      <c r="W54" s="349">
        <f>IF('75'!$A$331=1,SUBSTITUTE('74'!F94,".",",")*1,0)</f>
        <v>5.0999999999999996</v>
      </c>
      <c r="X54" s="350">
        <f>IF('75'!$A$331=1,SUBSTITUTE('74'!G94,".",",")*1,0)</f>
        <v>4.9000000000000004</v>
      </c>
      <c r="Y54" s="350">
        <f>IF('75'!$A$331=1,SUBSTITUTE('74'!H94,".",",")*1,0)</f>
        <v>5.5</v>
      </c>
      <c r="Z54" s="350">
        <f>IF('75'!$A$331=1,SUBSTITUTE('74'!I94,".",",")*1,0)</f>
        <v>4</v>
      </c>
      <c r="AA54" s="350">
        <f>IF('75'!$A$331=1,SUBSTITUTE('74'!J94,".",",")*1,0)</f>
        <v>5.6</v>
      </c>
      <c r="AB54" s="350">
        <f>IF('75'!$A$331=1,SUBSTITUTE('74'!K94,".",",")*1,0)</f>
        <v>8.6</v>
      </c>
      <c r="AC54" s="350">
        <f>IF('75'!$A$331=1,SUBSTITUTE('74'!L94,".",",")*1,0)</f>
        <v>5.0999999999999996</v>
      </c>
      <c r="AD54" s="351">
        <f>IF('75'!$A$331=1,SUBSTITUTE('74'!M94,".",",")*1,0)</f>
        <v>0</v>
      </c>
      <c r="AE54" s="335">
        <f t="shared" si="22"/>
        <v>38.800000000000004</v>
      </c>
      <c r="AG54" s="347" t="str">
        <f>Lang!$A$169</f>
        <v>Europe 2</v>
      </c>
      <c r="AH54" s="337">
        <f ca="1">IF(SUBSTITUTE(OFFSET('74'!E94,,'71'!$O$5),".",",")&gt;0,'72'!W22/SUBSTITUTE(OFFSET('74'!E94,,'71'!$O$5),".",","),0)</f>
        <v>116.73469387755101</v>
      </c>
      <c r="AI54" s="352">
        <f t="shared" ca="1" si="32"/>
        <v>595.34693877551013</v>
      </c>
      <c r="AJ54" s="348">
        <f t="shared" ca="1" si="23"/>
        <v>572</v>
      </c>
      <c r="AK54" s="348">
        <f t="shared" ca="1" si="24"/>
        <v>642.0408163265306</v>
      </c>
      <c r="AL54" s="348">
        <f t="shared" ca="1" si="25"/>
        <v>466.93877551020404</v>
      </c>
      <c r="AM54" s="348">
        <f t="shared" ca="1" si="26"/>
        <v>653.71428571428567</v>
      </c>
      <c r="AN54" s="348">
        <f t="shared" ca="1" si="27"/>
        <v>1003.9183673469387</v>
      </c>
      <c r="AO54" s="348">
        <f t="shared" ca="1" si="28"/>
        <v>595.34693877551013</v>
      </c>
      <c r="AP54" s="353">
        <f t="shared" ca="1" si="29"/>
        <v>0</v>
      </c>
      <c r="AQ54" s="139">
        <f t="shared" ca="1" si="30"/>
        <v>11673.4693877551</v>
      </c>
      <c r="AR54" s="95"/>
    </row>
    <row r="55" spans="1:44" x14ac:dyDescent="0.25">
      <c r="A55" s="31" t="str">
        <f>Lang!$A$85</f>
        <v>Dividends</v>
      </c>
      <c r="B55" s="6">
        <f>'74'!F38*B35/100</f>
        <v>0</v>
      </c>
      <c r="C55" s="6">
        <f>'74'!G38*C35/100</f>
        <v>0</v>
      </c>
      <c r="D55" s="6">
        <f>'74'!H38*D35/100</f>
        <v>0</v>
      </c>
      <c r="E55" s="6">
        <f>'74'!I38*E35/100</f>
        <v>0</v>
      </c>
      <c r="F55" s="6">
        <f>'74'!J38*F35/100</f>
        <v>0</v>
      </c>
      <c r="G55" s="6">
        <f>'74'!K38*G35/100</f>
        <v>0</v>
      </c>
      <c r="H55" s="6">
        <f>'74'!L38*H35/100</f>
        <v>0</v>
      </c>
      <c r="I55" s="7" t="e">
        <f>'74'!M38*I35/100</f>
        <v>#VALUE!</v>
      </c>
      <c r="K55" s="13" t="str">
        <f>Lang!$A$147</f>
        <v>Nafta 2</v>
      </c>
      <c r="L55" s="348">
        <f ca="1">AI55*'74'!F47</f>
        <v>52479</v>
      </c>
      <c r="M55" s="348">
        <f ca="1">AJ55*'74'!G47</f>
        <v>63000</v>
      </c>
      <c r="N55" s="348">
        <f ca="1">AK55*'74'!H47</f>
        <v>89523</v>
      </c>
      <c r="O55" s="348">
        <f ca="1">AL55*'74'!I47</f>
        <v>41580</v>
      </c>
      <c r="P55" s="348">
        <f ca="1">AM55*'74'!J47</f>
        <v>58652.999999999993</v>
      </c>
      <c r="Q55" s="348">
        <f ca="1">AN55*'74'!K47</f>
        <v>142128</v>
      </c>
      <c r="R55" s="348">
        <f ca="1">AO55*'74'!L47</f>
        <v>61740</v>
      </c>
      <c r="S55" s="348">
        <f ca="1">AP55*'74'!M47</f>
        <v>0</v>
      </c>
      <c r="T55" s="520">
        <f t="shared" ca="1" si="31"/>
        <v>509103</v>
      </c>
      <c r="V55" s="13" t="str">
        <f>Lang!$A$147</f>
        <v>Nafta 2</v>
      </c>
      <c r="W55" s="349">
        <f>IF('75'!$A$331=1,SUBSTITUTE('74'!F95,".",",")*1,0)</f>
        <v>1.7</v>
      </c>
      <c r="X55" s="350">
        <f>IF('75'!$A$331=1,SUBSTITUTE('74'!G95,".",",")*1,0)</f>
        <v>2</v>
      </c>
      <c r="Y55" s="350">
        <f>IF('75'!$A$331=1,SUBSTITUTE('74'!H95,".",",")*1,0)</f>
        <v>2.9</v>
      </c>
      <c r="Z55" s="350">
        <f>IF('75'!$A$331=1,SUBSTITUTE('74'!I95,".",",")*1,0)</f>
        <v>1.2</v>
      </c>
      <c r="AA55" s="350">
        <f>IF('75'!$A$331=1,SUBSTITUTE('74'!J95,".",",")*1,0)</f>
        <v>1.9</v>
      </c>
      <c r="AB55" s="350">
        <f>IF('75'!$A$331=1,SUBSTITUTE('74'!K95,".",",")*1,0)</f>
        <v>4.7</v>
      </c>
      <c r="AC55" s="350">
        <f>IF('75'!$A$331=1,SUBSTITUTE('74'!L95,".",",")*1,0)</f>
        <v>2</v>
      </c>
      <c r="AD55" s="351">
        <f>IF('75'!$A$331=1,SUBSTITUTE('74'!M95,".",",")*1,0)</f>
        <v>0</v>
      </c>
      <c r="AE55" s="335">
        <f t="shared" si="22"/>
        <v>16.399999999999999</v>
      </c>
      <c r="AG55" s="13" t="str">
        <f>Lang!$A$147</f>
        <v>Nafta 2</v>
      </c>
      <c r="AH55" s="337">
        <f ca="1">IF(SUBSTITUTE(OFFSET('74'!E95,,'71'!$O$5),".",",")&gt;0,'72'!W23/SUBSTITUTE(OFFSET('74'!E95,,'71'!$O$5),".",","),0)</f>
        <v>63</v>
      </c>
      <c r="AI55" s="352">
        <f t="shared" ca="1" si="32"/>
        <v>107.1</v>
      </c>
      <c r="AJ55" s="348">
        <f t="shared" ca="1" si="23"/>
        <v>126</v>
      </c>
      <c r="AK55" s="348">
        <f t="shared" ca="1" si="24"/>
        <v>182.7</v>
      </c>
      <c r="AL55" s="348">
        <f t="shared" ca="1" si="25"/>
        <v>75.599999999999994</v>
      </c>
      <c r="AM55" s="348">
        <f t="shared" ca="1" si="26"/>
        <v>119.69999999999999</v>
      </c>
      <c r="AN55" s="348">
        <f t="shared" ca="1" si="27"/>
        <v>296.10000000000002</v>
      </c>
      <c r="AO55" s="348">
        <f t="shared" ca="1" si="28"/>
        <v>126</v>
      </c>
      <c r="AP55" s="353">
        <f t="shared" ca="1" si="29"/>
        <v>0</v>
      </c>
      <c r="AQ55" s="139">
        <f t="shared" ca="1" si="30"/>
        <v>6299.9999999999991</v>
      </c>
      <c r="AR55" s="95"/>
    </row>
    <row r="56" spans="1:44" x14ac:dyDescent="0.25">
      <c r="A56" s="31" t="str">
        <f>Lang!$A$157</f>
        <v>Tax assessed and due</v>
      </c>
      <c r="B56" s="6">
        <f>IF($A49=4,'74'!F$73,0)</f>
        <v>0</v>
      </c>
      <c r="C56" s="6">
        <f>IF($A49=4,'74'!G$73,0)</f>
        <v>0</v>
      </c>
      <c r="D56" s="6">
        <f>IF($A49=4,'74'!H$73,0)</f>
        <v>0</v>
      </c>
      <c r="E56" s="6">
        <f>IF($A49=4,'74'!I$73,0)</f>
        <v>0</v>
      </c>
      <c r="F56" s="6">
        <f>IF($A49=4,'74'!J$73,0)</f>
        <v>0</v>
      </c>
      <c r="G56" s="6">
        <f>IF($A49=4,'74'!K$73,0)</f>
        <v>0</v>
      </c>
      <c r="H56" s="6">
        <f>IF($A49=4,'74'!L$73,0)</f>
        <v>0</v>
      </c>
      <c r="I56" s="7">
        <f>IF($A49=4,'74'!M$73,0)</f>
        <v>0</v>
      </c>
      <c r="K56" s="31" t="str">
        <f>Lang!$A$170</f>
        <v>Internet 2</v>
      </c>
      <c r="L56" s="348">
        <f ca="1">AI56*'74'!F48</f>
        <v>78925</v>
      </c>
      <c r="M56" s="348">
        <f ca="1">AJ56*'74'!G48</f>
        <v>172200</v>
      </c>
      <c r="N56" s="348">
        <f ca="1">AK56*'74'!H48</f>
        <v>156043.87931034484</v>
      </c>
      <c r="O56" s="348">
        <f ca="1">AL56*'74'!I48</f>
        <v>109356.89655172413</v>
      </c>
      <c r="P56" s="348">
        <f ca="1">AM56*'74'!J48</f>
        <v>180117.24137931038</v>
      </c>
      <c r="Q56" s="348">
        <f ca="1">AN56*'74'!K48</f>
        <v>142930.94827586206</v>
      </c>
      <c r="R56" s="348">
        <f ca="1">AO56*'74'!L48</f>
        <v>230639.13793103449</v>
      </c>
      <c r="S56" s="348">
        <f ca="1">AP56*'74'!M48</f>
        <v>0</v>
      </c>
      <c r="T56" s="520">
        <f t="shared" ca="1" si="31"/>
        <v>1070213.1034482757</v>
      </c>
      <c r="V56" s="31" t="str">
        <f>Lang!$A$170</f>
        <v>Internet 2</v>
      </c>
      <c r="W56" s="349">
        <f>IF('75'!$A$331=1,SUBSTITUTE('74'!F96,".",",")*1,0)</f>
        <v>2.9</v>
      </c>
      <c r="X56" s="350">
        <f>IF('75'!$A$331=1,SUBSTITUTE('74'!G96,".",",")*1,0)</f>
        <v>5.8</v>
      </c>
      <c r="Y56" s="350">
        <f>IF('75'!$A$331=1,SUBSTITUTE('74'!H96,".",",")*1,0)</f>
        <v>5.3</v>
      </c>
      <c r="Z56" s="350">
        <f>IF('75'!$A$331=1,SUBSTITUTE('74'!I96,".",",")*1,0)</f>
        <v>3.4</v>
      </c>
      <c r="AA56" s="350">
        <f>IF('75'!$A$331=1,SUBSTITUTE('74'!J96,".",",")*1,0)</f>
        <v>6.5</v>
      </c>
      <c r="AB56" s="350">
        <f>IF('75'!$A$331=1,SUBSTITUTE('74'!K96,".",",")*1,0)</f>
        <v>5.3</v>
      </c>
      <c r="AC56" s="350">
        <f>IF('75'!$A$331=1,SUBSTITUTE('74'!L96,".",",")*1,0)</f>
        <v>7.9</v>
      </c>
      <c r="AD56" s="351">
        <f>IF('75'!$A$331=1,SUBSTITUTE('74'!M96,".",",")*1,0)</f>
        <v>0</v>
      </c>
      <c r="AE56" s="335">
        <f t="shared" si="22"/>
        <v>37.1</v>
      </c>
      <c r="AG56" s="31" t="str">
        <f>Lang!$A$170</f>
        <v>Internet 2</v>
      </c>
      <c r="AH56" s="337">
        <f ca="1">IF(SUBSTITUTE(OFFSET('74'!E96,,'71'!$O$5),".",",")&gt;0,'72'!W24/SUBSTITUTE(OFFSET('74'!E96,,'71'!$O$5),".",","),0)</f>
        <v>49.482758620689658</v>
      </c>
      <c r="AI56" s="352">
        <f t="shared" ca="1" si="32"/>
        <v>143.5</v>
      </c>
      <c r="AJ56" s="348">
        <f t="shared" ca="1" si="23"/>
        <v>287</v>
      </c>
      <c r="AK56" s="348">
        <f t="shared" ca="1" si="24"/>
        <v>262.25862068965517</v>
      </c>
      <c r="AL56" s="348">
        <f t="shared" ca="1" si="25"/>
        <v>168.24137931034483</v>
      </c>
      <c r="AM56" s="348">
        <f t="shared" ca="1" si="26"/>
        <v>321.63793103448279</v>
      </c>
      <c r="AN56" s="348">
        <f t="shared" ca="1" si="27"/>
        <v>262.25862068965517</v>
      </c>
      <c r="AO56" s="348">
        <f t="shared" ca="1" si="28"/>
        <v>390.91379310344831</v>
      </c>
      <c r="AP56" s="353">
        <f t="shared" ca="1" si="29"/>
        <v>0</v>
      </c>
      <c r="AQ56" s="139">
        <f t="shared" ca="1" si="30"/>
        <v>4948.2758620689656</v>
      </c>
      <c r="AR56" s="95"/>
    </row>
    <row r="57" spans="1:44" x14ac:dyDescent="0.25">
      <c r="A57" s="31" t="str">
        <f>Lang!$A$126</f>
        <v>Current liabilities</v>
      </c>
      <c r="B57" s="148">
        <f>'74'!F74</f>
        <v>533146</v>
      </c>
      <c r="C57" s="148">
        <f>'74'!G74</f>
        <v>703608</v>
      </c>
      <c r="D57" s="148">
        <f>'74'!H74</f>
        <v>400373</v>
      </c>
      <c r="E57" s="148">
        <f>'74'!I74</f>
        <v>410688</v>
      </c>
      <c r="F57" s="148">
        <f>'74'!J74</f>
        <v>625393</v>
      </c>
      <c r="G57" s="148">
        <f>'74'!K74</f>
        <v>299402</v>
      </c>
      <c r="H57" s="148">
        <f>'74'!L74</f>
        <v>472939</v>
      </c>
      <c r="I57" s="24">
        <f>'74'!M74</f>
        <v>0</v>
      </c>
      <c r="K57" s="347" t="str">
        <f>Lang!$A$171</f>
        <v>Europe 3</v>
      </c>
      <c r="L57" s="348">
        <f ca="1">AI57*'74'!F49</f>
        <v>227500</v>
      </c>
      <c r="M57" s="348">
        <f ca="1">AJ57*'74'!G49</f>
        <v>229125</v>
      </c>
      <c r="N57" s="348">
        <f ca="1">AK57*'74'!H49</f>
        <v>334848.48484848486</v>
      </c>
      <c r="O57" s="348">
        <f ca="1">AL57*'74'!I49</f>
        <v>220261.36363636362</v>
      </c>
      <c r="P57" s="348">
        <f ca="1">AM57*'74'!J49</f>
        <v>299886.36363636359</v>
      </c>
      <c r="Q57" s="348">
        <f ca="1">AN57*'74'!K49</f>
        <v>214303.03030303033</v>
      </c>
      <c r="R57" s="348">
        <f ca="1">AO57*'74'!L49</f>
        <v>261969.69696969696</v>
      </c>
      <c r="S57" s="348">
        <f ca="1">AP57*'74'!M49</f>
        <v>0</v>
      </c>
      <c r="T57" s="520">
        <f t="shared" ca="1" si="31"/>
        <v>1787893.9393939395</v>
      </c>
      <c r="V57" s="347" t="str">
        <f>Lang!$A$171</f>
        <v>Europe 3</v>
      </c>
      <c r="W57" s="349">
        <f>IF('75'!$A$331=1,SUBSTITUTE('74'!F97,".",",")*1,0)</f>
        <v>6.6</v>
      </c>
      <c r="X57" s="350">
        <f>IF('75'!$A$331=1,SUBSTITUTE('74'!G97,".",",")*1,0)</f>
        <v>6.6</v>
      </c>
      <c r="Y57" s="350">
        <f>IF('75'!$A$331=1,SUBSTITUTE('74'!H97,".",",")*1,0)</f>
        <v>10</v>
      </c>
      <c r="Z57" s="350">
        <f>IF('75'!$A$331=1,SUBSTITUTE('74'!I97,".",",")*1,0)</f>
        <v>6.3</v>
      </c>
      <c r="AA57" s="350">
        <f>IF('75'!$A$331=1,SUBSTITUTE('74'!J97,".",",")*1,0)</f>
        <v>8.6999999999999993</v>
      </c>
      <c r="AB57" s="350">
        <f>IF('75'!$A$331=1,SUBSTITUTE('74'!K97,".",",")*1,0)</f>
        <v>6.4</v>
      </c>
      <c r="AC57" s="350">
        <f>IF('75'!$A$331=1,SUBSTITUTE('74'!L97,".",",")*1,0)</f>
        <v>7.6</v>
      </c>
      <c r="AD57" s="351">
        <f>IF('75'!$A$331=1,SUBSTITUTE('74'!M97,".",",")*1,0)</f>
        <v>0</v>
      </c>
      <c r="AE57" s="335">
        <f t="shared" si="22"/>
        <v>52.2</v>
      </c>
      <c r="AG57" s="347" t="str">
        <f>Lang!$A$171</f>
        <v>Europe 3</v>
      </c>
      <c r="AH57" s="337">
        <f ca="1">IF(SUBSTITUTE(OFFSET('74'!E97,,'71'!$O$5),".",",")&gt;0,'72'!Y22/SUBSTITUTE(OFFSET('74'!E97,,'71'!$O$5),".",","),0)</f>
        <v>49.242424242424242</v>
      </c>
      <c r="AI57" s="352">
        <f t="shared" ca="1" si="32"/>
        <v>325</v>
      </c>
      <c r="AJ57" s="348">
        <f t="shared" ca="1" si="23"/>
        <v>325</v>
      </c>
      <c r="AK57" s="348">
        <f t="shared" ca="1" si="24"/>
        <v>492.42424242424244</v>
      </c>
      <c r="AL57" s="348">
        <f t="shared" ca="1" si="25"/>
        <v>310.22727272727269</v>
      </c>
      <c r="AM57" s="348">
        <f t="shared" ca="1" si="26"/>
        <v>428.40909090909088</v>
      </c>
      <c r="AN57" s="348">
        <f t="shared" ca="1" si="27"/>
        <v>315.15151515151518</v>
      </c>
      <c r="AO57" s="348">
        <f t="shared" ca="1" si="28"/>
        <v>374.24242424242425</v>
      </c>
      <c r="AP57" s="353">
        <f t="shared" ca="1" si="29"/>
        <v>0</v>
      </c>
      <c r="AQ57" s="139">
        <f t="shared" ca="1" si="30"/>
        <v>4924.2424242424231</v>
      </c>
      <c r="AR57" s="95"/>
    </row>
    <row r="58" spans="1:44" x14ac:dyDescent="0.25">
      <c r="A58" s="31" t="str">
        <f>Lang!$A$158</f>
        <v>Bank overdraft</v>
      </c>
      <c r="B58" s="148">
        <f>'74'!F75</f>
        <v>141856</v>
      </c>
      <c r="C58" s="148">
        <f>'74'!G75</f>
        <v>0</v>
      </c>
      <c r="D58" s="148">
        <f>'74'!H75</f>
        <v>238954</v>
      </c>
      <c r="E58" s="148">
        <f>'74'!I75</f>
        <v>0</v>
      </c>
      <c r="F58" s="148">
        <f>'74'!J75</f>
        <v>0</v>
      </c>
      <c r="G58" s="148">
        <f>'74'!K75</f>
        <v>1256149</v>
      </c>
      <c r="H58" s="148">
        <f>'74'!L75</f>
        <v>0</v>
      </c>
      <c r="I58" s="24">
        <f>'74'!M75</f>
        <v>0</v>
      </c>
      <c r="K58" s="13" t="str">
        <f>Lang!$A$148</f>
        <v>Nafta 3</v>
      </c>
      <c r="L58" s="348">
        <f ca="1">AI58*'74'!F50</f>
        <v>42161.538461538454</v>
      </c>
      <c r="M58" s="348">
        <f ca="1">AJ58*'74'!G50</f>
        <v>46305</v>
      </c>
      <c r="N58" s="348">
        <f ca="1">AK58*'74'!H50</f>
        <v>87121.730769230766</v>
      </c>
      <c r="O58" s="348">
        <f ca="1">AL58*'74'!I50</f>
        <v>55209.807692307688</v>
      </c>
      <c r="P58" s="348">
        <f ca="1">AM58*'74'!J50</f>
        <v>47431.730769230766</v>
      </c>
      <c r="Q58" s="348">
        <f ca="1">AN58*'74'!K50</f>
        <v>67846.153846153844</v>
      </c>
      <c r="R58" s="348">
        <f ca="1">AO58*'74'!L50</f>
        <v>45675</v>
      </c>
      <c r="S58" s="348">
        <f ca="1">AP58*'74'!M50</f>
        <v>0</v>
      </c>
      <c r="T58" s="520">
        <f t="shared" ca="1" si="31"/>
        <v>391750.9615384615</v>
      </c>
      <c r="V58" s="13" t="str">
        <f>Lang!$A$148</f>
        <v>Nafta 3</v>
      </c>
      <c r="W58" s="349">
        <f>IF('75'!$A$331=1,SUBSTITUTE('74'!F98,".",",")*1,0)</f>
        <v>2.4</v>
      </c>
      <c r="X58" s="350">
        <f>IF('75'!$A$331=1,SUBSTITUTE('74'!G98,".",",")*1,0)</f>
        <v>2.6</v>
      </c>
      <c r="Y58" s="350">
        <f>IF('75'!$A$331=1,SUBSTITUTE('74'!H98,".",",")*1,0)</f>
        <v>5.0999999999999996</v>
      </c>
      <c r="Z58" s="350">
        <f>IF('75'!$A$331=1,SUBSTITUTE('74'!I98,".",",")*1,0)</f>
        <v>3.1</v>
      </c>
      <c r="AA58" s="350">
        <f>IF('75'!$A$331=1,SUBSTITUTE('74'!J98,".",",")*1,0)</f>
        <v>2.7</v>
      </c>
      <c r="AB58" s="350">
        <f>IF('75'!$A$331=1,SUBSTITUTE('74'!K98,".",",")*1,0)</f>
        <v>4</v>
      </c>
      <c r="AC58" s="350">
        <f>IF('75'!$A$331=1,SUBSTITUTE('74'!L98,".",",")*1,0)</f>
        <v>2.6</v>
      </c>
      <c r="AD58" s="351">
        <f>IF('75'!$A$331=1,SUBSTITUTE('74'!M98,".",",")*1,0)</f>
        <v>0</v>
      </c>
      <c r="AE58" s="335">
        <f t="shared" si="22"/>
        <v>22.5</v>
      </c>
      <c r="AG58" s="13" t="str">
        <f>Lang!$A$148</f>
        <v>Nafta 3</v>
      </c>
      <c r="AH58" s="337">
        <f ca="1">IF(SUBSTITUTE(OFFSET('74'!E98,,'71'!$O$5),".",",")&gt;0,'72'!Y23/SUBSTITUTE(OFFSET('74'!E98,,'71'!$O$5),".",","),0)</f>
        <v>24.23076923076923</v>
      </c>
      <c r="AI58" s="352">
        <f t="shared" ca="1" si="32"/>
        <v>58.153846153846146</v>
      </c>
      <c r="AJ58" s="348">
        <f t="shared" ca="1" si="23"/>
        <v>63</v>
      </c>
      <c r="AK58" s="348">
        <f t="shared" ca="1" si="24"/>
        <v>123.57692307692307</v>
      </c>
      <c r="AL58" s="348">
        <f t="shared" ca="1" si="25"/>
        <v>75.115384615384613</v>
      </c>
      <c r="AM58" s="348">
        <f t="shared" ca="1" si="26"/>
        <v>65.42307692307692</v>
      </c>
      <c r="AN58" s="348">
        <f t="shared" ca="1" si="27"/>
        <v>96.92307692307692</v>
      </c>
      <c r="AO58" s="348">
        <f t="shared" ca="1" si="28"/>
        <v>63</v>
      </c>
      <c r="AP58" s="353">
        <f t="shared" ca="1" si="29"/>
        <v>0</v>
      </c>
      <c r="AQ58" s="139">
        <f t="shared" ca="1" si="30"/>
        <v>2423.0769230769229</v>
      </c>
      <c r="AR58" s="95"/>
    </row>
    <row r="59" spans="1:44" ht="13.8" thickBot="1" x14ac:dyDescent="0.3">
      <c r="A59" s="31" t="str">
        <f>Lang!$A$159</f>
        <v>Long term loans</v>
      </c>
      <c r="B59" s="6">
        <f>'74'!F77</f>
        <v>0</v>
      </c>
      <c r="C59" s="6">
        <f>'74'!G77</f>
        <v>0</v>
      </c>
      <c r="D59" s="6">
        <f>'74'!H77</f>
        <v>0</v>
      </c>
      <c r="E59" s="6">
        <f>'74'!I77</f>
        <v>0</v>
      </c>
      <c r="F59" s="6">
        <f>'74'!J77</f>
        <v>0</v>
      </c>
      <c r="G59" s="6">
        <f>'74'!K77</f>
        <v>0</v>
      </c>
      <c r="H59" s="6">
        <f>'74'!L77</f>
        <v>0</v>
      </c>
      <c r="I59" s="7">
        <f>'74'!M77</f>
        <v>0</v>
      </c>
      <c r="K59" s="889" t="str">
        <f>Lang!$A$172</f>
        <v>Internet 3</v>
      </c>
      <c r="L59" s="354">
        <f ca="1">AI59*'74'!F51</f>
        <v>78445.71428571429</v>
      </c>
      <c r="M59" s="354">
        <f ca="1">AJ59*'74'!G51</f>
        <v>136800</v>
      </c>
      <c r="N59" s="354">
        <f ca="1">AK59*'74'!H51</f>
        <v>148114.28571428571</v>
      </c>
      <c r="O59" s="354">
        <f ca="1">AL59*'74'!I51</f>
        <v>121828.57142857143</v>
      </c>
      <c r="P59" s="354">
        <f ca="1">AM59*'74'!J51</f>
        <v>202240</v>
      </c>
      <c r="Q59" s="354">
        <f ca="1">AN59*'74'!K51</f>
        <v>95085.71428571429</v>
      </c>
      <c r="R59" s="354">
        <f ca="1">AO59*'74'!L51</f>
        <v>178742.85714285713</v>
      </c>
      <c r="S59" s="354">
        <f ca="1">AP59*'74'!M51</f>
        <v>0</v>
      </c>
      <c r="T59" s="521">
        <f t="shared" ca="1" si="31"/>
        <v>961257.14285714284</v>
      </c>
      <c r="V59" s="889" t="str">
        <f>Lang!$A$172</f>
        <v>Internet 3</v>
      </c>
      <c r="W59" s="355">
        <f>IF('75'!$A$331=1,SUBSTITUTE('74'!F99,".",",")*1,0)</f>
        <v>4.4000000000000004</v>
      </c>
      <c r="X59" s="356">
        <f>IF('75'!$A$331=1,SUBSTITUTE('74'!G99,".",",")*1,0)</f>
        <v>7</v>
      </c>
      <c r="Y59" s="356">
        <f>IF('75'!$A$331=1,SUBSTITUTE('74'!H99,".",",")*1,0)</f>
        <v>8</v>
      </c>
      <c r="Z59" s="356">
        <f>IF('75'!$A$331=1,SUBSTITUTE('74'!I99,".",",")*1,0)</f>
        <v>6.5</v>
      </c>
      <c r="AA59" s="356">
        <f>IF('75'!$A$331=1,SUBSTITUTE('74'!J99,".",",")*1,0)</f>
        <v>11.2</v>
      </c>
      <c r="AB59" s="356">
        <f>IF('75'!$A$331=1,SUBSTITUTE('74'!K99,".",",")*1,0)</f>
        <v>5.2</v>
      </c>
      <c r="AC59" s="356">
        <f>IF('75'!$A$331=1,SUBSTITUTE('74'!L99,".",",")*1,0)</f>
        <v>9.1999999999999993</v>
      </c>
      <c r="AD59" s="357">
        <f>IF('75'!$A$331=1,SUBSTITUTE('74'!M99,".",",")*1,0)</f>
        <v>0</v>
      </c>
      <c r="AE59" s="336">
        <f t="shared" si="22"/>
        <v>51.5</v>
      </c>
      <c r="AG59" s="889" t="str">
        <f>Lang!$A$172</f>
        <v>Internet 3</v>
      </c>
      <c r="AH59" s="338">
        <f ca="1">IF(SUBSTITUTE(OFFSET('74'!E99,,'71'!$O$5),".",",")&gt;0,'72'!Y24/SUBSTITUTE(OFFSET('74'!E99,,'71'!$O$5),".",","),0)</f>
        <v>22.857142857142858</v>
      </c>
      <c r="AI59" s="358">
        <f t="shared" ca="1" si="32"/>
        <v>100.57142857142858</v>
      </c>
      <c r="AJ59" s="354">
        <f t="shared" ca="1" si="23"/>
        <v>160</v>
      </c>
      <c r="AK59" s="354">
        <f t="shared" ca="1" si="24"/>
        <v>182.85714285714286</v>
      </c>
      <c r="AL59" s="354">
        <f t="shared" ca="1" si="25"/>
        <v>148.57142857142858</v>
      </c>
      <c r="AM59" s="354">
        <f t="shared" ca="1" si="26"/>
        <v>256</v>
      </c>
      <c r="AN59" s="354">
        <f t="shared" ca="1" si="27"/>
        <v>118.85714285714286</v>
      </c>
      <c r="AO59" s="354">
        <f t="shared" ca="1" si="28"/>
        <v>210.28571428571428</v>
      </c>
      <c r="AP59" s="359">
        <f t="shared" ca="1" si="29"/>
        <v>0</v>
      </c>
      <c r="AQ59" s="140">
        <f t="shared" ca="1" si="30"/>
        <v>2285.7142857142858</v>
      </c>
      <c r="AR59" s="95"/>
    </row>
    <row r="60" spans="1:44" ht="13.8" thickBot="1" x14ac:dyDescent="0.3">
      <c r="A60" s="31" t="str">
        <f>Lang!$A$160</f>
        <v>Share capital</v>
      </c>
      <c r="B60" s="6">
        <f>'74'!F80</f>
        <v>4000000</v>
      </c>
      <c r="C60" s="6">
        <f>'74'!G80</f>
        <v>4000000</v>
      </c>
      <c r="D60" s="6">
        <f>'74'!H80</f>
        <v>4000000</v>
      </c>
      <c r="E60" s="6">
        <f>'74'!I80</f>
        <v>4000000</v>
      </c>
      <c r="F60" s="6">
        <f>'74'!J80</f>
        <v>4000000</v>
      </c>
      <c r="G60" s="6">
        <f>'74'!K80</f>
        <v>4000000</v>
      </c>
      <c r="H60" s="6">
        <f>'74'!L80</f>
        <v>4000000</v>
      </c>
      <c r="I60" s="7">
        <f>'74'!M80</f>
        <v>0</v>
      </c>
      <c r="T60" s="97"/>
    </row>
    <row r="61" spans="1:44" ht="13.8" thickBot="1" x14ac:dyDescent="0.3">
      <c r="A61" s="879" t="str">
        <f>Lang!$A$161</f>
        <v>Share premium account</v>
      </c>
      <c r="B61" s="6">
        <f>'74'!F81</f>
        <v>0</v>
      </c>
      <c r="C61" s="6">
        <f>'74'!G81</f>
        <v>0</v>
      </c>
      <c r="D61" s="6">
        <f>'74'!H81</f>
        <v>0</v>
      </c>
      <c r="E61" s="6">
        <f>'74'!I81</f>
        <v>0</v>
      </c>
      <c r="F61" s="6">
        <f>'74'!J81</f>
        <v>0</v>
      </c>
      <c r="G61" s="6">
        <f>'74'!K81</f>
        <v>0</v>
      </c>
      <c r="H61" s="6">
        <f>'74'!L81</f>
        <v>0</v>
      </c>
      <c r="I61" s="7">
        <f>'74'!M81</f>
        <v>0</v>
      </c>
      <c r="K61" s="92" t="str">
        <f>Lang!$A$173</f>
        <v>Revenue</v>
      </c>
      <c r="L61" s="93">
        <f t="shared" ref="L61:S61" ca="1" si="33">B63/AI61</f>
        <v>270.82208383132303</v>
      </c>
      <c r="M61" s="93">
        <f t="shared" ca="1" si="33"/>
        <v>285.14750093949641</v>
      </c>
      <c r="N61" s="93">
        <f t="shared" ca="1" si="33"/>
        <v>273.28737735422919</v>
      </c>
      <c r="O61" s="93">
        <f t="shared" ca="1" si="33"/>
        <v>289.90991862000766</v>
      </c>
      <c r="P61" s="93">
        <f t="shared" ca="1" si="33"/>
        <v>273.1487027172044</v>
      </c>
      <c r="Q61" s="93">
        <f t="shared" ca="1" si="33"/>
        <v>266.82556296878829</v>
      </c>
      <c r="R61" s="93">
        <f t="shared" ca="1" si="33"/>
        <v>285.50409662602902</v>
      </c>
      <c r="S61" s="94" t="e">
        <f t="shared" ca="1" si="33"/>
        <v>#DIV/0!</v>
      </c>
      <c r="V61" s="147" t="str">
        <f>Lang!$A$174</f>
        <v>Shares</v>
      </c>
      <c r="W61" s="142">
        <f t="shared" ref="W61:AD61" ca="1" si="34">AVERAGE(SUM(AI51:AI53)/SUM($AQ51:$AQ53),SUM(AI54:AI56)/SUM($AQ54:$AQ56),SUM(AI57:AI59)/SUM($AQ57:$AQ59))*100</f>
        <v>3.8721877059405241</v>
      </c>
      <c r="X61" s="142">
        <f t="shared" ca="1" si="34"/>
        <v>4.5810449876361767</v>
      </c>
      <c r="Y61" s="142">
        <f t="shared" ca="1" si="34"/>
        <v>5.4970005918554392</v>
      </c>
      <c r="Z61" s="142">
        <f t="shared" ca="1" si="34"/>
        <v>4.0995582685242056</v>
      </c>
      <c r="AA61" s="142">
        <f t="shared" ca="1" si="34"/>
        <v>5.3572661733793883</v>
      </c>
      <c r="AB61" s="142">
        <f t="shared" ca="1" si="34"/>
        <v>6.093961225835443</v>
      </c>
      <c r="AC61" s="142">
        <f t="shared" ca="1" si="34"/>
        <v>5.2126253604229547</v>
      </c>
      <c r="AD61" s="142">
        <f t="shared" ca="1" si="34"/>
        <v>0</v>
      </c>
      <c r="AE61" s="339">
        <f ca="1">SUM(W61:AD61)</f>
        <v>34.713644313594131</v>
      </c>
      <c r="AG61" s="1144" t="str">
        <f>Lang!$A$175</f>
        <v>Amount</v>
      </c>
      <c r="AH61" s="1145"/>
      <c r="AI61" s="360">
        <f t="shared" ref="AI61:AP61" ca="1" si="35">AI51+AI52+AI53+AI54*2+AI55*2+AI56*2+AI57*3+AI58*3+AI59*3</f>
        <v>4463.4335092940419</v>
      </c>
      <c r="AJ61" s="360">
        <f t="shared" ca="1" si="35"/>
        <v>5322</v>
      </c>
      <c r="AK61" s="360">
        <f t="shared" ca="1" si="35"/>
        <v>6141.6165999975547</v>
      </c>
      <c r="AL61" s="360">
        <f t="shared" ca="1" si="35"/>
        <v>4684.9767670067085</v>
      </c>
      <c r="AM61" s="360">
        <f t="shared" ca="1" si="35"/>
        <v>6035.4661997915064</v>
      </c>
      <c r="AN61" s="360">
        <f t="shared" ca="1" si="35"/>
        <v>7424.3171658024794</v>
      </c>
      <c r="AO61" s="360">
        <f t="shared" ca="1" si="35"/>
        <v>6014.3719296761801</v>
      </c>
      <c r="AP61" s="361">
        <f t="shared" ca="1" si="35"/>
        <v>0</v>
      </c>
      <c r="AQ61" s="340">
        <f ca="1">SUM(AI61:AP61)/AE61*100</f>
        <v>115476.73246127722</v>
      </c>
    </row>
    <row r="62" spans="1:44" x14ac:dyDescent="0.25">
      <c r="A62" s="879" t="str">
        <f>Lang!$A$141</f>
        <v xml:space="preserve">Retained earnings </v>
      </c>
      <c r="B62" s="6">
        <f>'74'!F82</f>
        <v>-264994</v>
      </c>
      <c r="C62" s="6">
        <f>'74'!G82</f>
        <v>-236078</v>
      </c>
      <c r="D62" s="6">
        <f>'74'!H82</f>
        <v>-91792</v>
      </c>
      <c r="E62" s="6">
        <f>'74'!I82</f>
        <v>-119410</v>
      </c>
      <c r="F62" s="6">
        <f>'74'!J82</f>
        <v>-123221</v>
      </c>
      <c r="G62" s="6">
        <f>'74'!K82</f>
        <v>-317734</v>
      </c>
      <c r="H62" s="6">
        <f>'74'!L82</f>
        <v>-37096</v>
      </c>
      <c r="I62" s="7">
        <f>'74'!M82</f>
        <v>0</v>
      </c>
      <c r="K62" s="13" t="str">
        <f>Lang!$A$162</f>
        <v>Expenses</v>
      </c>
      <c r="L62" s="56">
        <f t="shared" ref="L62:S62" ca="1" si="36">B64/AI61</f>
        <v>297.68436367717288</v>
      </c>
      <c r="M62" s="56">
        <f t="shared" ca="1" si="36"/>
        <v>300.46448703494929</v>
      </c>
      <c r="N62" s="56">
        <f t="shared" ca="1" si="36"/>
        <v>266.71386379429515</v>
      </c>
      <c r="O62" s="56">
        <f t="shared" ca="1" si="36"/>
        <v>281.41297146749622</v>
      </c>
      <c r="P62" s="56">
        <f t="shared" ca="1" si="36"/>
        <v>267.8382595900261</v>
      </c>
      <c r="Q62" s="56">
        <f t="shared" ca="1" si="36"/>
        <v>240.42919605403816</v>
      </c>
      <c r="R62" s="56">
        <f t="shared" ca="1" si="36"/>
        <v>271.74671664230476</v>
      </c>
      <c r="S62" s="57" t="e">
        <f t="shared" ca="1" si="36"/>
        <v>#VALUE!</v>
      </c>
    </row>
    <row r="63" spans="1:44" ht="13.8" thickBot="1" x14ac:dyDescent="0.3">
      <c r="A63" s="343" t="str">
        <f>Lang!$A$102</f>
        <v>Sales revenue</v>
      </c>
      <c r="B63" s="148">
        <f t="shared" ref="B63:I63" ca="1" si="37">SUMIF(L51:L59,"&gt;0")</f>
        <v>1208796.3640295675</v>
      </c>
      <c r="C63" s="148">
        <f t="shared" ca="1" si="37"/>
        <v>1517555</v>
      </c>
      <c r="D63" s="148">
        <f t="shared" ca="1" si="37"/>
        <v>1678426.2933285299</v>
      </c>
      <c r="E63" s="148">
        <f t="shared" ca="1" si="37"/>
        <v>1358221.2332595414</v>
      </c>
      <c r="F63" s="148">
        <f t="shared" ca="1" si="37"/>
        <v>1648579.7627665857</v>
      </c>
      <c r="G63" s="148">
        <f t="shared" ca="1" si="37"/>
        <v>1980997.6074240853</v>
      </c>
      <c r="H63" s="148">
        <f t="shared" ca="1" si="37"/>
        <v>1717127.8245551446</v>
      </c>
      <c r="I63" s="24">
        <f t="shared" ca="1" si="37"/>
        <v>0</v>
      </c>
      <c r="K63" s="15" t="str">
        <f>Lang!$A$145</f>
        <v>Profit</v>
      </c>
      <c r="L63" s="59">
        <f t="shared" ref="L63:S63" ca="1" si="38">L61-L62</f>
        <v>-26.862279845849855</v>
      </c>
      <c r="M63" s="59">
        <f t="shared" ca="1" si="38"/>
        <v>-15.316986095452876</v>
      </c>
      <c r="N63" s="59">
        <f t="shared" ca="1" si="38"/>
        <v>6.5735135599340424</v>
      </c>
      <c r="O63" s="59">
        <f t="shared" ca="1" si="38"/>
        <v>8.4969471525114386</v>
      </c>
      <c r="P63" s="59">
        <f t="shared" ca="1" si="38"/>
        <v>5.3104431271783028</v>
      </c>
      <c r="Q63" s="59">
        <f t="shared" ca="1" si="38"/>
        <v>26.396366914750132</v>
      </c>
      <c r="R63" s="59">
        <f t="shared" ca="1" si="38"/>
        <v>13.757379983724263</v>
      </c>
      <c r="S63" s="60" t="e">
        <f t="shared" ca="1" si="38"/>
        <v>#DIV/0!</v>
      </c>
      <c r="T63" s="155"/>
    </row>
    <row r="64" spans="1:44" x14ac:dyDescent="0.25">
      <c r="A64" s="31" t="str">
        <f>Lang!$A$162</f>
        <v>Expenses</v>
      </c>
      <c r="B64" s="148">
        <f t="shared" ref="B64:I64" ca="1" si="39">B63-B65</f>
        <v>1328694.3640295675</v>
      </c>
      <c r="C64" s="148">
        <f t="shared" ca="1" si="39"/>
        <v>1599072</v>
      </c>
      <c r="D64" s="148">
        <f t="shared" ca="1" si="39"/>
        <v>1638054.2933285299</v>
      </c>
      <c r="E64" s="148">
        <f t="shared" ca="1" si="39"/>
        <v>1318413.2332595414</v>
      </c>
      <c r="F64" s="148">
        <f t="shared" ca="1" si="39"/>
        <v>1616528.7627665857</v>
      </c>
      <c r="G64" s="148">
        <f t="shared" ca="1" si="39"/>
        <v>1785022.6074240853</v>
      </c>
      <c r="H64" s="148">
        <f t="shared" ca="1" si="39"/>
        <v>1634385.8245551446</v>
      </c>
      <c r="I64" s="24" t="e">
        <f t="shared" ca="1" si="39"/>
        <v>#VALUE!</v>
      </c>
    </row>
    <row r="65" spans="1:44" x14ac:dyDescent="0.25">
      <c r="A65" s="31" t="str">
        <f>Lang!$A$145</f>
        <v>Profit</v>
      </c>
      <c r="B65" s="6">
        <f t="shared" ref="B65:I65" si="40">B62-B37+B55+B56-IF(B61=0,IF(B60&lt;B35,(B60-B35)*(B42-100)/100,0),0)</f>
        <v>-119898</v>
      </c>
      <c r="C65" s="6">
        <f t="shared" si="40"/>
        <v>-81517</v>
      </c>
      <c r="D65" s="6">
        <f t="shared" si="40"/>
        <v>40372</v>
      </c>
      <c r="E65" s="6">
        <f t="shared" si="40"/>
        <v>39808</v>
      </c>
      <c r="F65" s="6">
        <f t="shared" si="40"/>
        <v>32051</v>
      </c>
      <c r="G65" s="6">
        <f t="shared" si="40"/>
        <v>195975</v>
      </c>
      <c r="H65" s="6">
        <f t="shared" si="40"/>
        <v>82742</v>
      </c>
      <c r="I65" s="7" t="e">
        <f t="shared" si="40"/>
        <v>#VALUE!</v>
      </c>
    </row>
    <row r="66" spans="1:44" x14ac:dyDescent="0.25">
      <c r="A66" s="879" t="str">
        <f>Lang!$A$163</f>
        <v>Investment performance</v>
      </c>
      <c r="B66" s="6">
        <f>AVERAGEIF('74'!F$39,"&gt;0")</f>
        <v>3644800</v>
      </c>
      <c r="C66" s="6">
        <f>AVERAGEIF('74'!G$39,"&gt;0")</f>
        <v>3782000</v>
      </c>
      <c r="D66" s="6">
        <f>AVERAGEIF('74'!H$39,"&gt;0")</f>
        <v>4192800</v>
      </c>
      <c r="E66" s="6">
        <f>AVERAGEIF('74'!I$39,"&gt;0")</f>
        <v>3862000</v>
      </c>
      <c r="F66" s="6">
        <f>AVERAGEIF('74'!J$39,"&gt;0")</f>
        <v>4020400</v>
      </c>
      <c r="G66" s="6">
        <f>AVERAGEIF('74'!K$39,"&gt;0")</f>
        <v>3960000</v>
      </c>
      <c r="H66" s="6">
        <f>AVERAGEIF('74'!L$39,"&gt;0")</f>
        <v>4077600</v>
      </c>
      <c r="I66" s="7" t="e">
        <f>AVERAGEIF('74'!M$39,"&gt;0")</f>
        <v>#DIV/0!</v>
      </c>
    </row>
    <row r="67" spans="1:44" x14ac:dyDescent="0.25">
      <c r="A67" s="879" t="str">
        <f>Lang!$A$78</f>
        <v>Share price</v>
      </c>
      <c r="B67" s="28">
        <f>AVERAGEIF('74'!F$35,"&gt;0")</f>
        <v>91.12</v>
      </c>
      <c r="C67" s="28">
        <f>AVERAGEIF('74'!G$35,"&gt;0")</f>
        <v>94.55</v>
      </c>
      <c r="D67" s="28">
        <f>AVERAGEIF('74'!H$35,"&gt;0")</f>
        <v>104.82</v>
      </c>
      <c r="E67" s="28">
        <f>AVERAGEIF('74'!I$35,"&gt;0")</f>
        <v>96.55</v>
      </c>
      <c r="F67" s="28">
        <f>AVERAGEIF('74'!J$35,"&gt;0")</f>
        <v>100.51</v>
      </c>
      <c r="G67" s="28">
        <f>AVERAGEIF('74'!K$35,"&gt;0")</f>
        <v>99</v>
      </c>
      <c r="H67" s="28">
        <f>AVERAGEIF('74'!L$35,"&gt;0")</f>
        <v>101.94</v>
      </c>
      <c r="I67" s="341" t="e">
        <f>AVERAGEIF('74'!M$35,"&gt;0")</f>
        <v>#DIV/0!</v>
      </c>
      <c r="M67" s="23"/>
      <c r="N67" s="23"/>
      <c r="O67" s="23"/>
      <c r="P67" s="23"/>
      <c r="Q67" s="23"/>
      <c r="R67" s="23"/>
    </row>
    <row r="68" spans="1:44" x14ac:dyDescent="0.25">
      <c r="A68" s="879" t="str">
        <f>Lang!$A$164</f>
        <v>Goodwill</v>
      </c>
      <c r="B68" s="28">
        <f t="shared" ref="B68:I68" si="41">B67/(B50/B60)</f>
        <v>97.584849930629304</v>
      </c>
      <c r="C68" s="28">
        <f t="shared" si="41"/>
        <v>100.48029688181636</v>
      </c>
      <c r="D68" s="28">
        <f t="shared" si="41"/>
        <v>107.28190515960254</v>
      </c>
      <c r="E68" s="28">
        <f t="shared" si="41"/>
        <v>99.520949134023425</v>
      </c>
      <c r="F68" s="28">
        <f t="shared" si="41"/>
        <v>103.70464759533624</v>
      </c>
      <c r="G68" s="28">
        <f t="shared" si="41"/>
        <v>107.54247520412703</v>
      </c>
      <c r="H68" s="28">
        <f t="shared" si="41"/>
        <v>102.89424119282224</v>
      </c>
      <c r="I68" s="341" t="e">
        <f t="shared" si="41"/>
        <v>#DIV/0!</v>
      </c>
      <c r="L68" s="155"/>
      <c r="M68" s="155"/>
      <c r="N68" s="155"/>
      <c r="O68" s="155"/>
      <c r="P68" s="155"/>
      <c r="Q68" s="155"/>
      <c r="R68" s="155"/>
      <c r="S68" s="155"/>
      <c r="T68" s="155"/>
    </row>
    <row r="69" spans="1:44" x14ac:dyDescent="0.25">
      <c r="A69" s="879" t="str">
        <f>Lang!$A$84</f>
        <v>Market shares</v>
      </c>
      <c r="B69" s="143">
        <f ca="1">AVERAGEIF(W61,"&gt;0")</f>
        <v>3.8721877059405241</v>
      </c>
      <c r="C69" s="143">
        <f t="shared" ref="C69:I69" ca="1" si="42">AVERAGEIF(X61,"&gt;0")</f>
        <v>4.5810449876361767</v>
      </c>
      <c r="D69" s="143">
        <f t="shared" ca="1" si="42"/>
        <v>5.4970005918554392</v>
      </c>
      <c r="E69" s="143">
        <f t="shared" ca="1" si="42"/>
        <v>4.0995582685242056</v>
      </c>
      <c r="F69" s="143">
        <f t="shared" ca="1" si="42"/>
        <v>5.3572661733793883</v>
      </c>
      <c r="G69" s="143">
        <f t="shared" ca="1" si="42"/>
        <v>6.093961225835443</v>
      </c>
      <c r="H69" s="143">
        <f t="shared" ca="1" si="42"/>
        <v>5.2126253604229547</v>
      </c>
      <c r="I69" s="144" t="e">
        <f t="shared" ca="1" si="42"/>
        <v>#DIV/0!</v>
      </c>
      <c r="L69" s="155"/>
      <c r="M69" s="155"/>
      <c r="N69" s="155"/>
      <c r="Q69" s="155"/>
      <c r="R69" s="155"/>
      <c r="S69" s="155"/>
      <c r="T69" s="155"/>
    </row>
    <row r="70" spans="1:44" x14ac:dyDescent="0.25">
      <c r="A70" s="879" t="str">
        <f>Lang!$A$74</f>
        <v>Prices</v>
      </c>
      <c r="B70" s="63">
        <f>AVERAGEIF('74'!F$43:F$51,"&gt;0")/AVERAGEIF('74'!$F$43:$M$51,"&gt;0")-1</f>
        <v>-1.8305284912902176E-2</v>
      </c>
      <c r="C70" s="63">
        <f>AVERAGEIF('74'!G$43:G$51,"&gt;0")/AVERAGEIF('74'!$F$43:$M$51,"&gt;0")-1</f>
        <v>2.0962503690581835E-2</v>
      </c>
      <c r="D70" s="63">
        <f>AVERAGEIF('74'!H$43:H$51,"&gt;0")/AVERAGEIF('74'!$F$43:$M$51,"&gt;0")-1</f>
        <v>-7.3811632713316477E-4</v>
      </c>
      <c r="E70" s="63">
        <f>AVERAGEIF('74'!I$43:I$51,"&gt;0")/AVERAGEIF('74'!$F$43:$M$51,"&gt;0")-1</f>
        <v>3.749630941836446E-2</v>
      </c>
      <c r="F70" s="63">
        <f>AVERAGEIF('74'!J$43:J$51,"&gt;0")/AVERAGEIF('74'!$F$43:$M$51,"&gt;0")-1</f>
        <v>-1.2105107764983747E-2</v>
      </c>
      <c r="G70" s="63">
        <f>AVERAGEIF('74'!K$43:K$51,"&gt;0")/AVERAGEIF('74'!$F$43:$M$51,"&gt;0")-1</f>
        <v>-4.0005904930617064E-2</v>
      </c>
      <c r="H70" s="63">
        <f>AVERAGEIF('74'!L$43:L$51,"&gt;0")/AVERAGEIF('74'!$F$43:$M$51,"&gt;0")-1</f>
        <v>1.2695600826690301E-2</v>
      </c>
      <c r="I70" s="64" t="e">
        <f>AVERAGEIF('74'!M$43:M$51,"&gt;0")/AVERAGEIF('74'!$F$43:$M$51,"&gt;0")-1</f>
        <v>#DIV/0!</v>
      </c>
      <c r="L70" s="155"/>
      <c r="M70" s="155"/>
      <c r="N70" s="155"/>
      <c r="O70" s="155"/>
      <c r="P70" s="155"/>
      <c r="Q70" s="155"/>
      <c r="R70" s="155"/>
      <c r="S70" s="155"/>
      <c r="T70" s="155"/>
    </row>
    <row r="71" spans="1:44" x14ac:dyDescent="0.25">
      <c r="A71" s="879" t="str">
        <f>Lang!$A$38</f>
        <v>Advertising</v>
      </c>
      <c r="B71" s="63">
        <f>AVERAGEIF('74'!F$104,"&gt;0")/AVERAGEIF('74'!$F$104:$M$104,"&gt;0")-1</f>
        <v>9.5380029806259259E-2</v>
      </c>
      <c r="C71" s="63">
        <f>AVERAGEIF('74'!G$104,"&gt;0")/AVERAGEIF('74'!$F$104:$M$104,"&gt;0")-1</f>
        <v>0.11624441132637853</v>
      </c>
      <c r="D71" s="63">
        <f>AVERAGEIF('74'!H$104,"&gt;0")/AVERAGEIF('74'!$F$104:$M$104,"&gt;0")-1</f>
        <v>0.14754098360655732</v>
      </c>
      <c r="E71" s="63">
        <f>AVERAGEIF('74'!I$104,"&gt;0")/AVERAGEIF('74'!$F$104:$M$104,"&gt;0")-1</f>
        <v>-0.13412816691505214</v>
      </c>
      <c r="F71" s="63">
        <f>AVERAGEIF('74'!J$104,"&gt;0")/AVERAGEIF('74'!$F$104:$M$104,"&gt;0")-1</f>
        <v>9.5380029806259259E-2</v>
      </c>
      <c r="G71" s="63">
        <f>AVERAGEIF('74'!K$104,"&gt;0")/AVERAGEIF('74'!$F$104:$M$104,"&gt;0")-1</f>
        <v>-0.37406855439642328</v>
      </c>
      <c r="H71" s="63">
        <f>AVERAGEIF('74'!L$104,"&gt;0")/AVERAGEIF('74'!$F$104:$M$104,"&gt;0")-1</f>
        <v>5.3651266766020944E-2</v>
      </c>
      <c r="I71" s="64" t="e">
        <f>AVERAGEIF('74'!M$104,"&gt;0")/AVERAGEIF('74'!$F$104:$M$104,"&gt;0")-1</f>
        <v>#DIV/0!</v>
      </c>
      <c r="K71" s="25"/>
      <c r="L71" s="25"/>
      <c r="M71" s="25"/>
      <c r="N71" s="25"/>
      <c r="O71" s="25"/>
      <c r="P71" s="25"/>
      <c r="Q71" s="25"/>
      <c r="R71" s="25"/>
    </row>
    <row r="72" spans="1:44" x14ac:dyDescent="0.25">
      <c r="A72" s="879" t="str">
        <f>Lang!$A$176</f>
        <v>Workers</v>
      </c>
      <c r="B72" s="118">
        <f>'74'!F$53-'72'!$O$7-'72'!$O$8+'72'!$O$10</f>
        <v>31</v>
      </c>
      <c r="C72" s="118">
        <f>'74'!G$53-'72'!$O$7-'72'!$O$8+'72'!$O$10</f>
        <v>21</v>
      </c>
      <c r="D72" s="118">
        <f>'74'!H$53-'72'!$O$7-'72'!$O$8+'72'!$O$10</f>
        <v>20</v>
      </c>
      <c r="E72" s="118">
        <f>'74'!I$53-'72'!$O$7-'72'!$O$8+'72'!$O$10</f>
        <v>13</v>
      </c>
      <c r="F72" s="118">
        <f>'74'!J$53-'72'!$O$7-'72'!$O$8+'72'!$O$10</f>
        <v>16</v>
      </c>
      <c r="G72" s="118">
        <f>'74'!K$53-'72'!$O$7-'72'!$O$8+'72'!$O$10</f>
        <v>61</v>
      </c>
      <c r="H72" s="118">
        <f>'74'!L$53-'72'!$O$7-'72'!$O$8+'72'!$O$10</f>
        <v>24</v>
      </c>
      <c r="I72" s="118">
        <f>'74'!M$53-'72'!$O$7-'72'!$O$8+'72'!$O$10</f>
        <v>-40</v>
      </c>
      <c r="K72" s="122"/>
      <c r="L72" s="122"/>
      <c r="M72" s="122"/>
      <c r="N72" s="122"/>
      <c r="O72" s="122"/>
      <c r="P72" s="122"/>
      <c r="Q72" s="122"/>
      <c r="R72" s="122"/>
    </row>
    <row r="73" spans="1:44" ht="13.8" thickBot="1" x14ac:dyDescent="0.3">
      <c r="A73" s="67" t="str">
        <f>Lang!$A$59</f>
        <v>Workers wage rate</v>
      </c>
      <c r="B73" s="863">
        <f>'74'!F54</f>
        <v>1270</v>
      </c>
      <c r="C73" s="863">
        <f>'74'!G54</f>
        <v>1260</v>
      </c>
      <c r="D73" s="863">
        <f>'74'!H54</f>
        <v>1250</v>
      </c>
      <c r="E73" s="863">
        <f>'74'!I54</f>
        <v>1300</v>
      </c>
      <c r="F73" s="863">
        <f>'74'!J54</f>
        <v>1250</v>
      </c>
      <c r="G73" s="863">
        <f>'74'!K54</f>
        <v>1220</v>
      </c>
      <c r="H73" s="863">
        <f>'74'!L54</f>
        <v>1350</v>
      </c>
      <c r="I73" s="864">
        <f>'74'!M54</f>
        <v>0</v>
      </c>
    </row>
    <row r="74" spans="1:44" ht="13.8" thickBot="1" x14ac:dyDescent="0.3">
      <c r="A74" s="98">
        <f>IF(A49=4,1,A49+1)</f>
        <v>1</v>
      </c>
      <c r="B74" s="99">
        <f t="shared" ref="B74:I74" si="43">B49</f>
        <v>0</v>
      </c>
      <c r="C74" s="99">
        <f t="shared" si="43"/>
        <v>0</v>
      </c>
      <c r="D74" s="99">
        <f t="shared" si="43"/>
        <v>0</v>
      </c>
      <c r="E74" s="99">
        <f t="shared" si="43"/>
        <v>0</v>
      </c>
      <c r="F74" s="99">
        <f t="shared" si="43"/>
        <v>0</v>
      </c>
      <c r="G74" s="99">
        <f t="shared" si="43"/>
        <v>0</v>
      </c>
      <c r="H74" s="99">
        <f t="shared" si="43"/>
        <v>0</v>
      </c>
      <c r="I74" s="99">
        <f t="shared" si="43"/>
        <v>0</v>
      </c>
      <c r="J74" s="23"/>
      <c r="X74" s="97"/>
    </row>
    <row r="75" spans="1:44" x14ac:dyDescent="0.25">
      <c r="A75" s="342" t="str">
        <f>Lang!$A$134</f>
        <v>Net assets</v>
      </c>
      <c r="B75" s="26">
        <f>'84'!F83</f>
        <v>3348681</v>
      </c>
      <c r="C75" s="26">
        <f>'84'!G83</f>
        <v>3893191</v>
      </c>
      <c r="D75" s="26">
        <f>'84'!H83</f>
        <v>4011465</v>
      </c>
      <c r="E75" s="26">
        <f>'84'!I83</f>
        <v>3968348</v>
      </c>
      <c r="F75" s="26">
        <f>'84'!J83</f>
        <v>3867058</v>
      </c>
      <c r="G75" s="26">
        <f>'84'!K83</f>
        <v>4036282</v>
      </c>
      <c r="H75" s="26">
        <f>'84'!L83</f>
        <v>3932952</v>
      </c>
      <c r="I75" s="27">
        <f>'84'!M83</f>
        <v>0</v>
      </c>
      <c r="J75" s="23"/>
      <c r="K75" s="1146" t="str">
        <f>Lang!$A$102</f>
        <v>Sales revenue</v>
      </c>
      <c r="L75" s="1147"/>
      <c r="M75" s="1147"/>
      <c r="N75" s="1147"/>
      <c r="O75" s="1147"/>
      <c r="P75" s="1147"/>
      <c r="Q75" s="1147"/>
      <c r="R75" s="1147"/>
      <c r="S75" s="1147"/>
      <c r="T75" s="522">
        <f ca="1">SUM(T76:T84)</f>
        <v>13220968.59513616</v>
      </c>
      <c r="V75" s="1146" t="str">
        <f>Lang!$A$84</f>
        <v>Market shares</v>
      </c>
      <c r="W75" s="1147"/>
      <c r="X75" s="1147"/>
      <c r="Y75" s="1147"/>
      <c r="Z75" s="1147"/>
      <c r="AA75" s="1147"/>
      <c r="AB75" s="1147"/>
      <c r="AC75" s="1147"/>
      <c r="AD75" s="1148"/>
      <c r="AE75" s="880" t="str">
        <f>Lang!$A$165</f>
        <v>Market</v>
      </c>
      <c r="AG75" s="1146" t="str">
        <f>Lang!$A$166</f>
        <v>Sales</v>
      </c>
      <c r="AH75" s="1147"/>
      <c r="AI75" s="1147"/>
      <c r="AJ75" s="1147"/>
      <c r="AK75" s="1147"/>
      <c r="AL75" s="1147"/>
      <c r="AM75" s="1147"/>
      <c r="AN75" s="1147"/>
      <c r="AO75" s="1147"/>
      <c r="AP75" s="1148"/>
      <c r="AQ75" s="880" t="str">
        <f>Lang!$A$165</f>
        <v>Market</v>
      </c>
    </row>
    <row r="76" spans="1:44" x14ac:dyDescent="0.25">
      <c r="A76" s="31" t="str">
        <f>Lang!$A$153</f>
        <v>Non-current assets</v>
      </c>
      <c r="B76" s="6">
        <f>'84'!F67</f>
        <v>1998664</v>
      </c>
      <c r="C76" s="6">
        <f>'84'!G67</f>
        <v>1720606</v>
      </c>
      <c r="D76" s="6">
        <f>'84'!H67</f>
        <v>2275482</v>
      </c>
      <c r="E76" s="6">
        <f>'84'!I67</f>
        <v>1577736</v>
      </c>
      <c r="F76" s="6">
        <f>'84'!J67</f>
        <v>1637736</v>
      </c>
      <c r="G76" s="6">
        <f>'84'!K67</f>
        <v>2283852</v>
      </c>
      <c r="H76" s="6">
        <f>'84'!L67</f>
        <v>1660606</v>
      </c>
      <c r="I76" s="7" t="str">
        <f>'84'!M67</f>
        <v xml:space="preserve"> </v>
      </c>
      <c r="J76" s="23"/>
      <c r="K76" s="347" t="str">
        <f>Lang!$A$167</f>
        <v>Europe 1</v>
      </c>
      <c r="L76" s="348">
        <f ca="1">AI76*'84'!F43</f>
        <v>359595.91836734698</v>
      </c>
      <c r="M76" s="348">
        <f ca="1">AJ76*'84'!G43</f>
        <v>344372</v>
      </c>
      <c r="N76" s="348">
        <f ca="1">AK76*'84'!H43</f>
        <v>388978.28571428568</v>
      </c>
      <c r="O76" s="348">
        <f ca="1">AL76*'84'!I43</f>
        <v>334393.46938775509</v>
      </c>
      <c r="P76" s="348">
        <f ca="1">AM76*'84'!J43</f>
        <v>369226.12244897959</v>
      </c>
      <c r="Q76" s="348">
        <f ca="1">AN76*'84'!K43</f>
        <v>406620</v>
      </c>
      <c r="R76" s="348">
        <f ca="1">AO76*'84'!L43</f>
        <v>377524.48979591834</v>
      </c>
      <c r="S76" s="348">
        <f ca="1">AP76*'84'!M43</f>
        <v>0</v>
      </c>
      <c r="T76" s="520">
        <f ca="1">SUM(L76:S76)</f>
        <v>2580710.2857142854</v>
      </c>
      <c r="V76" s="347" t="str">
        <f>Lang!$A$167</f>
        <v>Europe 1</v>
      </c>
      <c r="W76" s="349">
        <f>IF('85'!$A$331=1,SUBSTITUTE('84'!F91,".",",")*1,0)</f>
        <v>5.4</v>
      </c>
      <c r="X76" s="350">
        <f>IF('85'!$A$331=1,SUBSTITUTE('84'!G91,".",",")*1,0)</f>
        <v>4.9000000000000004</v>
      </c>
      <c r="Y76" s="350">
        <f>IF('85'!$A$331=1,SUBSTITUTE('84'!H91,".",",")*1,0)</f>
        <v>5.6</v>
      </c>
      <c r="Z76" s="350">
        <f>IF('85'!$A$331=1,SUBSTITUTE('84'!I91,".",",")*1,0)</f>
        <v>5.0999999999999996</v>
      </c>
      <c r="AA76" s="350">
        <f>IF('85'!$A$331=1,SUBSTITUTE('84'!J91,".",",")*1,0)</f>
        <v>5.3</v>
      </c>
      <c r="AB76" s="350">
        <f>IF('85'!$A$331=1,SUBSTITUTE('84'!K91,".",",")*1,0)</f>
        <v>6.3</v>
      </c>
      <c r="AC76" s="350">
        <f>IF('85'!$A$331=1,SUBSTITUTE('84'!L91,".",",")*1,0)</f>
        <v>5.5</v>
      </c>
      <c r="AD76" s="351">
        <f>IF('85'!$A$331=1,SUBSTITUTE('84'!M91,".",",")*1,0)</f>
        <v>0</v>
      </c>
      <c r="AE76" s="334">
        <f t="shared" ref="AE76:AE84" si="44">SUM(W76:AD76)</f>
        <v>38.1</v>
      </c>
      <c r="AG76" s="347" t="str">
        <f>Lang!$A$167</f>
        <v>Europe 1</v>
      </c>
      <c r="AH76" s="337">
        <f ca="1">IF(SUBSTITUTE(OFFSET('84'!E91,,'81'!$O$5),".",",")&gt;0,'82'!U22/SUBSTITUTE(OFFSET('84'!E91,,'81'!$O$5),".",","),0)</f>
        <v>204.89795918367346</v>
      </c>
      <c r="AI76" s="352">
        <f ca="1">$AH76*W76</f>
        <v>1106.4489795918369</v>
      </c>
      <c r="AJ76" s="348">
        <f t="shared" ref="AJ76:AP76" ca="1" si="45">$AH76*X76</f>
        <v>1004</v>
      </c>
      <c r="AK76" s="348">
        <f t="shared" ca="1" si="45"/>
        <v>1147.4285714285713</v>
      </c>
      <c r="AL76" s="348">
        <f t="shared" ca="1" si="45"/>
        <v>1044.9795918367347</v>
      </c>
      <c r="AM76" s="348">
        <f t="shared" ca="1" si="45"/>
        <v>1085.9591836734694</v>
      </c>
      <c r="AN76" s="348">
        <f t="shared" ca="1" si="45"/>
        <v>1290.8571428571429</v>
      </c>
      <c r="AO76" s="348">
        <f t="shared" ca="1" si="45"/>
        <v>1126.9387755102041</v>
      </c>
      <c r="AP76" s="353">
        <f t="shared" ca="1" si="45"/>
        <v>0</v>
      </c>
      <c r="AQ76" s="141">
        <f ca="1">SUM(AI76:AP76)/AE76*100</f>
        <v>20489.795918367345</v>
      </c>
      <c r="AR76" s="95"/>
    </row>
    <row r="77" spans="1:44" x14ac:dyDescent="0.25">
      <c r="A77" s="13" t="str">
        <f>Lang!$A$154</f>
        <v>Inventories</v>
      </c>
      <c r="B77" s="6">
        <f>'84'!F68</f>
        <v>1837172</v>
      </c>
      <c r="C77" s="6">
        <f>'84'!G68</f>
        <v>1301918</v>
      </c>
      <c r="D77" s="6">
        <f>'84'!H68</f>
        <v>594807</v>
      </c>
      <c r="E77" s="6">
        <f>'84'!I68</f>
        <v>746073</v>
      </c>
      <c r="F77" s="6">
        <f>'84'!J68</f>
        <v>1090297</v>
      </c>
      <c r="G77" s="6">
        <f>'84'!K68</f>
        <v>466798</v>
      </c>
      <c r="H77" s="6">
        <f>'84'!L68</f>
        <v>504646</v>
      </c>
      <c r="I77" s="7" t="str">
        <f>'84'!M68</f>
        <v xml:space="preserve"> </v>
      </c>
      <c r="K77" s="13" t="str">
        <f>Lang!$A$146</f>
        <v>Nafta 1</v>
      </c>
      <c r="L77" s="348">
        <f ca="1">AI77*'84'!F44</f>
        <v>42055.384615384617</v>
      </c>
      <c r="M77" s="348">
        <f ca="1">AJ77*'84'!G44</f>
        <v>89760</v>
      </c>
      <c r="N77" s="348">
        <f ca="1">AK77*'84'!H44</f>
        <v>153345.23076923078</v>
      </c>
      <c r="O77" s="348">
        <f ca="1">AL77*'84'!I44</f>
        <v>34000</v>
      </c>
      <c r="P77" s="348">
        <f ca="1">AM77*'84'!J44</f>
        <v>73230.769230769234</v>
      </c>
      <c r="Q77" s="348">
        <f ca="1">AN77*'84'!K44</f>
        <v>156504.61538461538</v>
      </c>
      <c r="R77" s="348">
        <f ca="1">AO77*'84'!L44</f>
        <v>122713.84615384616</v>
      </c>
      <c r="S77" s="348">
        <f ca="1">AP77*'84'!M44</f>
        <v>0</v>
      </c>
      <c r="T77" s="520">
        <f t="shared" ref="T77:T84" ca="1" si="46">SUM(L77:S77)</f>
        <v>671609.84615384613</v>
      </c>
      <c r="V77" s="13" t="str">
        <f>Lang!$A$146</f>
        <v>Nafta 1</v>
      </c>
      <c r="W77" s="349">
        <f>IF('85'!$A$331=1,SUBSTITUTE('84'!F92,".",",")*1,0)</f>
        <v>1.2</v>
      </c>
      <c r="X77" s="350">
        <f>IF('85'!$A$331=1,SUBSTITUTE('84'!G92,".",",")*1,0)</f>
        <v>2.6</v>
      </c>
      <c r="Y77" s="350">
        <f>IF('85'!$A$331=1,SUBSTITUTE('84'!H92,".",",")*1,0)</f>
        <v>4.2</v>
      </c>
      <c r="Z77" s="350">
        <f>IF('85'!$A$331=1,SUBSTITUTE('84'!I92,".",",")*1,0)</f>
        <v>1</v>
      </c>
      <c r="AA77" s="350">
        <f>IF('85'!$A$331=1,SUBSTITUTE('84'!J92,".",",")*1,0)</f>
        <v>2</v>
      </c>
      <c r="AB77" s="350">
        <f>IF('85'!$A$331=1,SUBSTITUTE('84'!K92,".",",")*1,0)</f>
        <v>4.4000000000000004</v>
      </c>
      <c r="AC77" s="350">
        <f>IF('85'!$A$331=1,SUBSTITUTE('84'!L92,".",",")*1,0)</f>
        <v>3.4</v>
      </c>
      <c r="AD77" s="351">
        <f>IF('85'!$A$331=1,SUBSTITUTE('84'!M92,".",",")*1,0)</f>
        <v>0</v>
      </c>
      <c r="AE77" s="335">
        <f t="shared" si="44"/>
        <v>18.8</v>
      </c>
      <c r="AG77" s="13" t="str">
        <f>Lang!$A$146</f>
        <v>Nafta 1</v>
      </c>
      <c r="AH77" s="337">
        <f ca="1">IF(SUBSTITUTE(OFFSET('84'!E92,,'81'!$O$5),".",",")&gt;0,'82'!U23/SUBSTITUTE(OFFSET('84'!E92,,'81'!$O$5),".",","),0)</f>
        <v>104.61538461538461</v>
      </c>
      <c r="AI77" s="352">
        <f t="shared" ref="AI77:AI84" ca="1" si="47">$AH77*W77</f>
        <v>125.53846153846153</v>
      </c>
      <c r="AJ77" s="348">
        <f t="shared" ref="AJ77:AJ84" ca="1" si="48">$AH77*X77</f>
        <v>272</v>
      </c>
      <c r="AK77" s="348">
        <f t="shared" ref="AK77:AK84" ca="1" si="49">$AH77*Y77</f>
        <v>439.38461538461542</v>
      </c>
      <c r="AL77" s="348">
        <f t="shared" ref="AL77:AL84" ca="1" si="50">$AH77*Z77</f>
        <v>104.61538461538461</v>
      </c>
      <c r="AM77" s="348">
        <f t="shared" ref="AM77:AM84" ca="1" si="51">$AH77*AA77</f>
        <v>209.23076923076923</v>
      </c>
      <c r="AN77" s="348">
        <f t="shared" ref="AN77:AN84" ca="1" si="52">$AH77*AB77</f>
        <v>460.30769230769232</v>
      </c>
      <c r="AO77" s="348">
        <f t="shared" ref="AO77:AO84" ca="1" si="53">$AH77*AC77</f>
        <v>355.69230769230768</v>
      </c>
      <c r="AP77" s="353">
        <f t="shared" ref="AP77:AP84" ca="1" si="54">$AH77*AD77</f>
        <v>0</v>
      </c>
      <c r="AQ77" s="139">
        <f t="shared" ref="AQ77:AQ84" ca="1" si="55">SUM(AI77:AP77)/AE77*100</f>
        <v>10461.538461538461</v>
      </c>
      <c r="AR77" s="95"/>
    </row>
    <row r="78" spans="1:44" x14ac:dyDescent="0.25">
      <c r="A78" s="13" t="str">
        <f>Lang!$A$155</f>
        <v>Trade receivables</v>
      </c>
      <c r="B78" s="6">
        <f>'84'!F69</f>
        <v>701903</v>
      </c>
      <c r="C78" s="6">
        <f>'84'!G69</f>
        <v>1032530</v>
      </c>
      <c r="D78" s="6">
        <f>'84'!H69</f>
        <v>1323637</v>
      </c>
      <c r="E78" s="6">
        <f>'84'!I69</f>
        <v>787605</v>
      </c>
      <c r="F78" s="6">
        <f>'84'!J69</f>
        <v>984989</v>
      </c>
      <c r="G78" s="6">
        <f>'84'!K69</f>
        <v>1332170</v>
      </c>
      <c r="H78" s="6">
        <f>'84'!L69</f>
        <v>1061858</v>
      </c>
      <c r="I78" s="7" t="str">
        <f>'84'!M69</f>
        <v xml:space="preserve"> </v>
      </c>
      <c r="K78" s="31" t="str">
        <f>Lang!$A$168</f>
        <v>Internet 1</v>
      </c>
      <c r="L78" s="348">
        <f ca="1">AI78*'84'!F45</f>
        <v>117657.14285714287</v>
      </c>
      <c r="M78" s="348">
        <f ca="1">AJ78*'84'!G45</f>
        <v>338720</v>
      </c>
      <c r="N78" s="348">
        <f ca="1">AK78*'84'!H45</f>
        <v>187863.18367346938</v>
      </c>
      <c r="O78" s="348">
        <f ca="1">AL78*'84'!I45</f>
        <v>221583.67346938775</v>
      </c>
      <c r="P78" s="348">
        <f ca="1">AM78*'84'!J45</f>
        <v>223714.28571428571</v>
      </c>
      <c r="Q78" s="348">
        <f ca="1">AN78*'84'!K45</f>
        <v>213724.08163265305</v>
      </c>
      <c r="R78" s="348">
        <f ca="1">AO78*'84'!L45</f>
        <v>280530.61224489793</v>
      </c>
      <c r="S78" s="348">
        <f ca="1">AP78*'84'!M45</f>
        <v>0</v>
      </c>
      <c r="T78" s="520">
        <f t="shared" ca="1" si="46"/>
        <v>1583792.9795918367</v>
      </c>
      <c r="V78" s="31" t="str">
        <f>Lang!$A$168</f>
        <v>Internet 1</v>
      </c>
      <c r="W78" s="349">
        <f>IF('85'!$A$331=1,SUBSTITUTE('84'!F93,".",",")*1,0)</f>
        <v>3.5</v>
      </c>
      <c r="X78" s="350">
        <f>IF('85'!$A$331=1,SUBSTITUTE('84'!G93,".",",")*1,0)</f>
        <v>9.8000000000000007</v>
      </c>
      <c r="Y78" s="350">
        <f>IF('85'!$A$331=1,SUBSTITUTE('84'!H93,".",",")*1,0)</f>
        <v>5.0999999999999996</v>
      </c>
      <c r="Z78" s="350">
        <f>IF('85'!$A$331=1,SUBSTITUTE('84'!I93,".",",")*1,0)</f>
        <v>6.5</v>
      </c>
      <c r="AA78" s="350">
        <f>IF('85'!$A$331=1,SUBSTITUTE('84'!J93,".",",")*1,0)</f>
        <v>6.3</v>
      </c>
      <c r="AB78" s="350">
        <f>IF('85'!$A$331=1,SUBSTITUTE('84'!K93,".",",")*1,0)</f>
        <v>6.1</v>
      </c>
      <c r="AC78" s="350">
        <f>IF('85'!$A$331=1,SUBSTITUTE('84'!L93,".",",")*1,0)</f>
        <v>7.9</v>
      </c>
      <c r="AD78" s="351">
        <f>IF('85'!$A$331=1,SUBSTITUTE('84'!M93,".",",")*1,0)</f>
        <v>0</v>
      </c>
      <c r="AE78" s="335">
        <f t="shared" si="44"/>
        <v>45.199999999999996</v>
      </c>
      <c r="AG78" s="31" t="str">
        <f>Lang!$A$168</f>
        <v>Internet 1</v>
      </c>
      <c r="AH78" s="337">
        <f ca="1">IF(SUBSTITUTE(OFFSET('84'!E93,,'81'!$O$5),".",",")&gt;0,'82'!U24/SUBSTITUTE(OFFSET('84'!E93,,'81'!$O$5),".",","),0)</f>
        <v>94.693877551020407</v>
      </c>
      <c r="AI78" s="352">
        <f t="shared" ca="1" si="47"/>
        <v>331.42857142857144</v>
      </c>
      <c r="AJ78" s="348">
        <f t="shared" ca="1" si="48"/>
        <v>928</v>
      </c>
      <c r="AK78" s="348">
        <f t="shared" ca="1" si="49"/>
        <v>482.93877551020404</v>
      </c>
      <c r="AL78" s="348">
        <f t="shared" ca="1" si="50"/>
        <v>615.51020408163265</v>
      </c>
      <c r="AM78" s="348">
        <f t="shared" ca="1" si="51"/>
        <v>596.57142857142856</v>
      </c>
      <c r="AN78" s="348">
        <f t="shared" ca="1" si="52"/>
        <v>577.63265306122446</v>
      </c>
      <c r="AO78" s="348">
        <f t="shared" ca="1" si="53"/>
        <v>748.08163265306121</v>
      </c>
      <c r="AP78" s="353">
        <f t="shared" ca="1" si="54"/>
        <v>0</v>
      </c>
      <c r="AQ78" s="139">
        <f t="shared" ca="1" si="55"/>
        <v>9469.3877551020414</v>
      </c>
      <c r="AR78" s="95"/>
    </row>
    <row r="79" spans="1:44" x14ac:dyDescent="0.25">
      <c r="A79" s="13" t="str">
        <f>Lang!$A$156</f>
        <v>Cash and cash equivalents</v>
      </c>
      <c r="B79" s="6">
        <f>'84'!F70</f>
        <v>1150000</v>
      </c>
      <c r="C79" s="6">
        <f>'84'!G70</f>
        <v>650000</v>
      </c>
      <c r="D79" s="6">
        <f>'84'!H70</f>
        <v>1150000</v>
      </c>
      <c r="E79" s="6">
        <f>'84'!I70</f>
        <v>1330004</v>
      </c>
      <c r="F79" s="6">
        <f>'84'!J70</f>
        <v>1150000</v>
      </c>
      <c r="G79" s="6">
        <f>'84'!K70</f>
        <v>1150000</v>
      </c>
      <c r="H79" s="6">
        <f>'84'!L70</f>
        <v>1297697</v>
      </c>
      <c r="I79" s="7" t="str">
        <f>'84'!M70</f>
        <v xml:space="preserve"> </v>
      </c>
      <c r="K79" s="347" t="str">
        <f>Lang!$A$169</f>
        <v>Europe 2</v>
      </c>
      <c r="L79" s="348">
        <f ca="1">AI79*'84'!F46</f>
        <v>179299.72602739726</v>
      </c>
      <c r="M79" s="348">
        <f ca="1">AJ79*'84'!G46</f>
        <v>365064</v>
      </c>
      <c r="N79" s="348">
        <f ca="1">AK79*'84'!H46</f>
        <v>446338.41095890413</v>
      </c>
      <c r="O79" s="348">
        <f ca="1">AL79*'84'!I46</f>
        <v>253194.79452054796</v>
      </c>
      <c r="P79" s="348">
        <f ca="1">AM79*'84'!J46</f>
        <v>294767.12328767119</v>
      </c>
      <c r="Q79" s="348">
        <f ca="1">AN79*'84'!K46</f>
        <v>372778.76712328766</v>
      </c>
      <c r="R79" s="348">
        <f ca="1">AO79*'84'!L46</f>
        <v>362258.63013698632</v>
      </c>
      <c r="S79" s="348">
        <f ca="1">AP79*'84'!M46</f>
        <v>0</v>
      </c>
      <c r="T79" s="520">
        <f t="shared" ca="1" si="46"/>
        <v>2273701.4520547944</v>
      </c>
      <c r="V79" s="347" t="str">
        <f>Lang!$A$169</f>
        <v>Europe 2</v>
      </c>
      <c r="W79" s="349">
        <f>IF('85'!$A$331=1,SUBSTITUTE('84'!F94,".",",")*1,0)</f>
        <v>3.6</v>
      </c>
      <c r="X79" s="350">
        <f>IF('85'!$A$331=1,SUBSTITUTE('84'!G94,".",",")*1,0)</f>
        <v>7.3</v>
      </c>
      <c r="Y79" s="350">
        <f>IF('85'!$A$331=1,SUBSTITUTE('84'!H94,".",",")*1,0)</f>
        <v>8.8000000000000007</v>
      </c>
      <c r="Z79" s="350">
        <f>IF('85'!$A$331=1,SUBSTITUTE('84'!I94,".",",")*1,0)</f>
        <v>4.7</v>
      </c>
      <c r="AA79" s="350">
        <f>IF('85'!$A$331=1,SUBSTITUTE('84'!J94,".",",")*1,0)</f>
        <v>5.8</v>
      </c>
      <c r="AB79" s="350">
        <f>IF('85'!$A$331=1,SUBSTITUTE('84'!K94,".",",")*1,0)</f>
        <v>7.5</v>
      </c>
      <c r="AC79" s="350">
        <f>IF('85'!$A$331=1,SUBSTITUTE('84'!L94,".",",")*1,0)</f>
        <v>7.2</v>
      </c>
      <c r="AD79" s="351">
        <f>IF('85'!$A$331=1,SUBSTITUTE('84'!M94,".",",")*1,0)</f>
        <v>0</v>
      </c>
      <c r="AE79" s="335">
        <f t="shared" si="44"/>
        <v>44.900000000000006</v>
      </c>
      <c r="AG79" s="347" t="str">
        <f>Lang!$A$169</f>
        <v>Europe 2</v>
      </c>
      <c r="AH79" s="337">
        <f ca="1">IF(SUBSTITUTE(OFFSET('84'!E94,,'81'!$O$5),".",",")&gt;0,'82'!W22/SUBSTITUTE(OFFSET('84'!E94,,'81'!$O$5),".",","),0)</f>
        <v>101.64383561643835</v>
      </c>
      <c r="AI79" s="352">
        <f t="shared" ca="1" si="47"/>
        <v>365.91780821917808</v>
      </c>
      <c r="AJ79" s="348">
        <f t="shared" ca="1" si="48"/>
        <v>742</v>
      </c>
      <c r="AK79" s="348">
        <f t="shared" ca="1" si="49"/>
        <v>894.46575342465758</v>
      </c>
      <c r="AL79" s="348">
        <f t="shared" ca="1" si="50"/>
        <v>477.72602739726028</v>
      </c>
      <c r="AM79" s="348">
        <f t="shared" ca="1" si="51"/>
        <v>589.53424657534242</v>
      </c>
      <c r="AN79" s="348">
        <f t="shared" ca="1" si="52"/>
        <v>762.32876712328766</v>
      </c>
      <c r="AO79" s="348">
        <f t="shared" ca="1" si="53"/>
        <v>731.83561643835617</v>
      </c>
      <c r="AP79" s="353">
        <f t="shared" ca="1" si="54"/>
        <v>0</v>
      </c>
      <c r="AQ79" s="139">
        <f t="shared" ca="1" si="55"/>
        <v>10164.383561643834</v>
      </c>
      <c r="AR79" s="95"/>
    </row>
    <row r="80" spans="1:44" x14ac:dyDescent="0.25">
      <c r="A80" s="31" t="str">
        <f>Lang!$A$85</f>
        <v>Dividends</v>
      </c>
      <c r="B80" s="6">
        <f>'84'!F38*B60/100</f>
        <v>0</v>
      </c>
      <c r="C80" s="6">
        <f>'84'!G38*C60/100</f>
        <v>0</v>
      </c>
      <c r="D80" s="6">
        <f>'84'!H38*D60/100</f>
        <v>0</v>
      </c>
      <c r="E80" s="6">
        <f>'84'!I38*E60/100</f>
        <v>0</v>
      </c>
      <c r="F80" s="6">
        <f>'84'!J38*F60/100</f>
        <v>0</v>
      </c>
      <c r="G80" s="6">
        <f>'84'!K38*G60/100</f>
        <v>0</v>
      </c>
      <c r="H80" s="6">
        <f>'84'!L38*H60/100</f>
        <v>0</v>
      </c>
      <c r="I80" s="7">
        <f>'84'!M38*I60/100</f>
        <v>0</v>
      </c>
      <c r="K80" s="13" t="str">
        <f>Lang!$A$147</f>
        <v>Nafta 2</v>
      </c>
      <c r="L80" s="348">
        <f ca="1">AI80*'84'!F47</f>
        <v>70819.411764705888</v>
      </c>
      <c r="M80" s="348">
        <f ca="1">AJ80*'84'!G47</f>
        <v>133770</v>
      </c>
      <c r="N80" s="348">
        <f ca="1">AK80*'84'!H47</f>
        <v>256427.29411764705</v>
      </c>
      <c r="O80" s="348">
        <f ca="1">AL80*'84'!I47</f>
        <v>39718.823529411762</v>
      </c>
      <c r="P80" s="348">
        <f ca="1">AM80*'84'!J47</f>
        <v>72264.705882352937</v>
      </c>
      <c r="Q80" s="348">
        <f ca="1">AN80*'84'!K47</f>
        <v>206789.47058823533</v>
      </c>
      <c r="R80" s="348">
        <f ca="1">AO80*'84'!L47</f>
        <v>92739.705882352951</v>
      </c>
      <c r="S80" s="348">
        <f ca="1">AP80*'84'!M47</f>
        <v>0</v>
      </c>
      <c r="T80" s="520">
        <f t="shared" ca="1" si="46"/>
        <v>872529.41176470579</v>
      </c>
      <c r="V80" s="13" t="str">
        <f>Lang!$A$147</f>
        <v>Nafta 2</v>
      </c>
      <c r="W80" s="349">
        <f>IF('85'!$A$331=1,SUBSTITUTE('84'!F95,".",",")*1,0)</f>
        <v>2.7</v>
      </c>
      <c r="X80" s="350">
        <f>IF('85'!$A$331=1,SUBSTITUTE('84'!G95,".",",")*1,0)</f>
        <v>5.0999999999999996</v>
      </c>
      <c r="Y80" s="350">
        <f>IF('85'!$A$331=1,SUBSTITUTE('84'!H95,".",",")*1,0)</f>
        <v>9.6</v>
      </c>
      <c r="Z80" s="350">
        <f>IF('85'!$A$331=1,SUBSTITUTE('84'!I95,".",",")*1,0)</f>
        <v>1.4</v>
      </c>
      <c r="AA80" s="350">
        <f>IF('85'!$A$331=1,SUBSTITUTE('84'!J95,".",",")*1,0)</f>
        <v>2.7</v>
      </c>
      <c r="AB80" s="350">
        <f>IF('85'!$A$331=1,SUBSTITUTE('84'!K95,".",",")*1,0)</f>
        <v>7.9</v>
      </c>
      <c r="AC80" s="350">
        <f>IF('85'!$A$331=1,SUBSTITUTE('84'!L95,".",",")*1,0)</f>
        <v>3.5</v>
      </c>
      <c r="AD80" s="351">
        <f>IF('85'!$A$331=1,SUBSTITUTE('84'!M95,".",",")*1,0)</f>
        <v>0</v>
      </c>
      <c r="AE80" s="335">
        <f t="shared" si="44"/>
        <v>32.9</v>
      </c>
      <c r="AG80" s="13" t="str">
        <f>Lang!$A$147</f>
        <v>Nafta 2</v>
      </c>
      <c r="AH80" s="337">
        <f ca="1">IF(SUBSTITUTE(OFFSET('84'!E95,,'81'!$O$5),".",",")&gt;0,'82'!W23/SUBSTITUTE(OFFSET('84'!E95,,'81'!$O$5),".",","),0)</f>
        <v>53.529411764705884</v>
      </c>
      <c r="AI80" s="352">
        <f t="shared" ca="1" si="47"/>
        <v>144.52941176470588</v>
      </c>
      <c r="AJ80" s="348">
        <f t="shared" ca="1" si="48"/>
        <v>273</v>
      </c>
      <c r="AK80" s="348">
        <f t="shared" ca="1" si="49"/>
        <v>513.88235294117646</v>
      </c>
      <c r="AL80" s="348">
        <f t="shared" ca="1" si="50"/>
        <v>74.941176470588232</v>
      </c>
      <c r="AM80" s="348">
        <f t="shared" ca="1" si="51"/>
        <v>144.52941176470588</v>
      </c>
      <c r="AN80" s="348">
        <f t="shared" ca="1" si="52"/>
        <v>422.88235294117652</v>
      </c>
      <c r="AO80" s="348">
        <f t="shared" ca="1" si="53"/>
        <v>187.35294117647061</v>
      </c>
      <c r="AP80" s="353">
        <f t="shared" ca="1" si="54"/>
        <v>0</v>
      </c>
      <c r="AQ80" s="139">
        <f t="shared" ca="1" si="55"/>
        <v>5352.9411764705883</v>
      </c>
      <c r="AR80" s="95"/>
    </row>
    <row r="81" spans="1:44" x14ac:dyDescent="0.25">
      <c r="A81" s="31" t="str">
        <f>Lang!$A$157</f>
        <v>Tax assessed and due</v>
      </c>
      <c r="B81" s="6">
        <f>IF($A74=4,'84'!F$73,0)</f>
        <v>0</v>
      </c>
      <c r="C81" s="6">
        <f>IF($A74=4,'84'!G$73,0)</f>
        <v>0</v>
      </c>
      <c r="D81" s="6">
        <f>IF($A74=4,'84'!H$73,0)</f>
        <v>0</v>
      </c>
      <c r="E81" s="6">
        <f>IF($A74=4,'84'!I$73,0)</f>
        <v>0</v>
      </c>
      <c r="F81" s="6">
        <f>IF($A74=4,'84'!J$73,0)</f>
        <v>0</v>
      </c>
      <c r="G81" s="6">
        <f>IF($A74=4,'84'!K$73,0)</f>
        <v>0</v>
      </c>
      <c r="H81" s="6">
        <f>IF($A74=4,'84'!L$73,0)</f>
        <v>0</v>
      </c>
      <c r="I81" s="7">
        <f>IF($A74=4,'84'!M$73,0)</f>
        <v>0</v>
      </c>
      <c r="K81" s="31" t="str">
        <f>Lang!$A$170</f>
        <v>Internet 2</v>
      </c>
      <c r="L81" s="348">
        <f ca="1">AI81*'84'!F48</f>
        <v>84195.360824742267</v>
      </c>
      <c r="M81" s="348">
        <f ca="1">AJ81*'84'!G48</f>
        <v>277820</v>
      </c>
      <c r="N81" s="348">
        <f ca="1">AK81*'84'!H48</f>
        <v>212972.28865979382</v>
      </c>
      <c r="O81" s="348">
        <f ca="1">AL81*'84'!I48</f>
        <v>180736.08247422683</v>
      </c>
      <c r="P81" s="348">
        <f ca="1">AM81*'84'!J48</f>
        <v>236438.35051546394</v>
      </c>
      <c r="Q81" s="348">
        <f ca="1">AN81*'84'!K48</f>
        <v>205861.36082474227</v>
      </c>
      <c r="R81" s="348">
        <f ca="1">AO81*'84'!L48</f>
        <v>240932.06185567009</v>
      </c>
      <c r="S81" s="348">
        <f ca="1">AP81*'84'!M48</f>
        <v>0</v>
      </c>
      <c r="T81" s="520">
        <f t="shared" ca="1" si="46"/>
        <v>1438955.5051546392</v>
      </c>
      <c r="V81" s="31" t="str">
        <f>Lang!$A$170</f>
        <v>Internet 2</v>
      </c>
      <c r="W81" s="349">
        <f>IF('85'!$A$331=1,SUBSTITUTE('84'!F96,".",",")*1,0)</f>
        <v>3.1</v>
      </c>
      <c r="X81" s="350">
        <f>IF('85'!$A$331=1,SUBSTITUTE('84'!G96,".",",")*1,0)</f>
        <v>9.6999999999999993</v>
      </c>
      <c r="Y81" s="350">
        <f>IF('85'!$A$331=1,SUBSTITUTE('84'!H96,".",",")*1,0)</f>
        <v>7.2</v>
      </c>
      <c r="Z81" s="350">
        <f>IF('85'!$A$331=1,SUBSTITUTE('84'!I96,".",",")*1,0)</f>
        <v>6.1</v>
      </c>
      <c r="AA81" s="350">
        <f>IF('85'!$A$331=1,SUBSTITUTE('84'!J96,".",",")*1,0)</f>
        <v>8.4</v>
      </c>
      <c r="AB81" s="350">
        <f>IF('85'!$A$331=1,SUBSTITUTE('84'!K96,".",",")*1,0)</f>
        <v>7.2</v>
      </c>
      <c r="AC81" s="350">
        <f>IF('85'!$A$331=1,SUBSTITUTE('84'!L96,".",",")*1,0)</f>
        <v>8.1999999999999993</v>
      </c>
      <c r="AD81" s="351">
        <f>IF('85'!$A$331=1,SUBSTITUTE('84'!M96,".",",")*1,0)</f>
        <v>0</v>
      </c>
      <c r="AE81" s="335">
        <f t="shared" si="44"/>
        <v>49.900000000000006</v>
      </c>
      <c r="AG81" s="31" t="str">
        <f>Lang!$A$170</f>
        <v>Internet 2</v>
      </c>
      <c r="AH81" s="337">
        <f ca="1">IF(SUBSTITUTE(OFFSET('84'!E96,,'81'!$O$5),".",",")&gt;0,'82'!W24/SUBSTITUTE(OFFSET('84'!E96,,'81'!$O$5),".",","),0)</f>
        <v>49.381443298969074</v>
      </c>
      <c r="AI81" s="352">
        <f t="shared" ca="1" si="47"/>
        <v>153.08247422680412</v>
      </c>
      <c r="AJ81" s="348">
        <f t="shared" ca="1" si="48"/>
        <v>479</v>
      </c>
      <c r="AK81" s="348">
        <f t="shared" ca="1" si="49"/>
        <v>355.54639175257734</v>
      </c>
      <c r="AL81" s="348">
        <f t="shared" ca="1" si="50"/>
        <v>301.22680412371136</v>
      </c>
      <c r="AM81" s="348">
        <f t="shared" ca="1" si="51"/>
        <v>414.80412371134025</v>
      </c>
      <c r="AN81" s="348">
        <f t="shared" ca="1" si="52"/>
        <v>355.54639175257734</v>
      </c>
      <c r="AO81" s="348">
        <f t="shared" ca="1" si="53"/>
        <v>404.92783505154637</v>
      </c>
      <c r="AP81" s="353">
        <f t="shared" ca="1" si="54"/>
        <v>0</v>
      </c>
      <c r="AQ81" s="139">
        <f t="shared" ca="1" si="55"/>
        <v>4938.144329896907</v>
      </c>
      <c r="AR81" s="95"/>
    </row>
    <row r="82" spans="1:44" x14ac:dyDescent="0.25">
      <c r="A82" s="31" t="str">
        <f>Lang!$A$126</f>
        <v>Current liabilities</v>
      </c>
      <c r="B82" s="148">
        <f>'84'!F74</f>
        <v>1163530</v>
      </c>
      <c r="C82" s="148">
        <f>'84'!G74</f>
        <v>777300</v>
      </c>
      <c r="D82" s="148">
        <f>'84'!H74</f>
        <v>716676</v>
      </c>
      <c r="E82" s="148">
        <f>'84'!I74</f>
        <v>473070</v>
      </c>
      <c r="F82" s="148">
        <f>'84'!J74</f>
        <v>801730</v>
      </c>
      <c r="G82" s="148">
        <f>'84'!K74</f>
        <v>396563</v>
      </c>
      <c r="H82" s="148">
        <f>'84'!L74</f>
        <v>591855</v>
      </c>
      <c r="I82" s="24" t="str">
        <f>'84'!M74</f>
        <v xml:space="preserve"> </v>
      </c>
      <c r="K82" s="347" t="str">
        <f>Lang!$A$171</f>
        <v>Europe 3</v>
      </c>
      <c r="L82" s="348">
        <f ca="1">AI82*'84'!F49</f>
        <v>179512.04819277106</v>
      </c>
      <c r="M82" s="348">
        <f ca="1">AJ82*'84'!G49</f>
        <v>275544</v>
      </c>
      <c r="N82" s="348">
        <f ca="1">AK82*'84'!H49</f>
        <v>251433.43373493975</v>
      </c>
      <c r="O82" s="348">
        <f ca="1">AL82*'84'!I49</f>
        <v>327737.71084337344</v>
      </c>
      <c r="P82" s="348">
        <f ca="1">AM82*'84'!J49</f>
        <v>320044.33734939754</v>
      </c>
      <c r="Q82" s="348">
        <f ca="1">AN82*'84'!K49</f>
        <v>303104.92771084339</v>
      </c>
      <c r="R82" s="348">
        <f ca="1">AO82*'84'!L49</f>
        <v>293746.98795180721</v>
      </c>
      <c r="S82" s="348">
        <f ca="1">AP82*'84'!M49</f>
        <v>0</v>
      </c>
      <c r="T82" s="520">
        <f t="shared" ca="1" si="46"/>
        <v>1951123.4457831322</v>
      </c>
      <c r="V82" s="347" t="str">
        <f>Lang!$A$171</f>
        <v>Europe 3</v>
      </c>
      <c r="W82" s="349">
        <f>IF('85'!$A$331=1,SUBSTITUTE('84'!F97,".",",")*1,0)</f>
        <v>5.5</v>
      </c>
      <c r="X82" s="350">
        <f>IF('85'!$A$331=1,SUBSTITUTE('84'!G97,".",",")*1,0)</f>
        <v>8.3000000000000007</v>
      </c>
      <c r="Y82" s="350">
        <f>IF('85'!$A$331=1,SUBSTITUTE('84'!H97,".",",")*1,0)</f>
        <v>7.5</v>
      </c>
      <c r="Z82" s="350">
        <f>IF('85'!$A$331=1,SUBSTITUTE('84'!I97,".",",")*1,0)</f>
        <v>9.9</v>
      </c>
      <c r="AA82" s="350">
        <f>IF('85'!$A$331=1,SUBSTITUTE('84'!J97,".",",")*1,0)</f>
        <v>9.6</v>
      </c>
      <c r="AB82" s="350">
        <f>IF('85'!$A$331=1,SUBSTITUTE('84'!K97,".",",")*1,0)</f>
        <v>9.3000000000000007</v>
      </c>
      <c r="AC82" s="350">
        <f>IF('85'!$A$331=1,SUBSTITUTE('84'!L97,".",",")*1,0)</f>
        <v>9</v>
      </c>
      <c r="AD82" s="351">
        <f>IF('85'!$A$331=1,SUBSTITUTE('84'!M97,".",",")*1,0)</f>
        <v>0</v>
      </c>
      <c r="AE82" s="335">
        <f t="shared" si="44"/>
        <v>59.100000000000009</v>
      </c>
      <c r="AG82" s="347" t="str">
        <f>Lang!$A$171</f>
        <v>Europe 3</v>
      </c>
      <c r="AH82" s="337">
        <f ca="1">IF(SUBSTITUTE(OFFSET('84'!E97,,'81'!$O$5),".",",")&gt;0,'82'!Y22/SUBSTITUTE(OFFSET('84'!E97,,'81'!$O$5),".",","),0)</f>
        <v>46.626506024096379</v>
      </c>
      <c r="AI82" s="352">
        <f t="shared" ca="1" si="47"/>
        <v>256.4457831325301</v>
      </c>
      <c r="AJ82" s="348">
        <f t="shared" ca="1" si="48"/>
        <v>387</v>
      </c>
      <c r="AK82" s="348">
        <f t="shared" ca="1" si="49"/>
        <v>349.69879518072287</v>
      </c>
      <c r="AL82" s="348">
        <f t="shared" ca="1" si="50"/>
        <v>461.60240963855415</v>
      </c>
      <c r="AM82" s="348">
        <f t="shared" ca="1" si="51"/>
        <v>447.61445783132524</v>
      </c>
      <c r="AN82" s="348">
        <f t="shared" ca="1" si="52"/>
        <v>433.62650602409639</v>
      </c>
      <c r="AO82" s="348">
        <f t="shared" ca="1" si="53"/>
        <v>419.63855421686742</v>
      </c>
      <c r="AP82" s="353">
        <f t="shared" ca="1" si="54"/>
        <v>0</v>
      </c>
      <c r="AQ82" s="139">
        <f t="shared" ca="1" si="55"/>
        <v>4662.6506024096361</v>
      </c>
      <c r="AR82" s="95"/>
    </row>
    <row r="83" spans="1:44" x14ac:dyDescent="0.25">
      <c r="A83" s="31" t="str">
        <f>Lang!$A$158</f>
        <v>Bank overdraft</v>
      </c>
      <c r="B83" s="148">
        <f>'84'!F75</f>
        <v>1175528</v>
      </c>
      <c r="C83" s="148">
        <f>'84'!G75</f>
        <v>34563</v>
      </c>
      <c r="D83" s="148">
        <f>'84'!H75</f>
        <v>615785</v>
      </c>
      <c r="E83" s="148">
        <f>'84'!I75</f>
        <v>0</v>
      </c>
      <c r="F83" s="148">
        <f>'84'!J75</f>
        <v>194234</v>
      </c>
      <c r="G83" s="148">
        <f>'84'!K75</f>
        <v>799975</v>
      </c>
      <c r="H83" s="148">
        <f>'84'!L75</f>
        <v>0</v>
      </c>
      <c r="I83" s="24" t="str">
        <f>'84'!M75</f>
        <v xml:space="preserve"> </v>
      </c>
      <c r="K83" s="13" t="str">
        <f>Lang!$A$148</f>
        <v>Nafta 3</v>
      </c>
      <c r="L83" s="348">
        <f ca="1">AI83*'84'!F50</f>
        <v>45674.999999999993</v>
      </c>
      <c r="M83" s="348">
        <f ca="1">AJ83*'84'!G50</f>
        <v>97200</v>
      </c>
      <c r="N83" s="348">
        <f ca="1">AK83*'84'!H50</f>
        <v>142996.5</v>
      </c>
      <c r="O83" s="348">
        <f ca="1">AL83*'84'!I50</f>
        <v>44651.250000000007</v>
      </c>
      <c r="P83" s="348">
        <f ca="1">AM83*'84'!J50</f>
        <v>126540</v>
      </c>
      <c r="Q83" s="348">
        <f ca="1">AN83*'84'!K50</f>
        <v>162000</v>
      </c>
      <c r="R83" s="348">
        <f ca="1">AO83*'84'!L50</f>
        <v>78300</v>
      </c>
      <c r="S83" s="348">
        <f ca="1">AP83*'84'!M50</f>
        <v>0</v>
      </c>
      <c r="T83" s="520">
        <f t="shared" ca="1" si="46"/>
        <v>697362.75</v>
      </c>
      <c r="V83" s="13" t="str">
        <f>Lang!$A$148</f>
        <v>Nafta 3</v>
      </c>
      <c r="W83" s="349">
        <f>IF('85'!$A$331=1,SUBSTITUTE('84'!F98,".",",")*1,0)</f>
        <v>2.8</v>
      </c>
      <c r="X83" s="350">
        <f>IF('85'!$A$331=1,SUBSTITUTE('84'!G98,".",",")*1,0)</f>
        <v>6</v>
      </c>
      <c r="Y83" s="350">
        <f>IF('85'!$A$331=1,SUBSTITUTE('84'!H98,".",",")*1,0)</f>
        <v>8.6</v>
      </c>
      <c r="Z83" s="350">
        <f>IF('85'!$A$331=1,SUBSTITUTE('84'!I98,".",",")*1,0)</f>
        <v>2.7</v>
      </c>
      <c r="AA83" s="350">
        <f>IF('85'!$A$331=1,SUBSTITUTE('84'!J98,".",",")*1,0)</f>
        <v>7.6</v>
      </c>
      <c r="AB83" s="350">
        <f>IF('85'!$A$331=1,SUBSTITUTE('84'!K98,".",",")*1,0)</f>
        <v>10</v>
      </c>
      <c r="AC83" s="350">
        <f>IF('85'!$A$331=1,SUBSTITUTE('84'!L98,".",",")*1,0)</f>
        <v>4.8</v>
      </c>
      <c r="AD83" s="351">
        <f>IF('85'!$A$331=1,SUBSTITUTE('84'!M98,".",",")*1,0)</f>
        <v>0</v>
      </c>
      <c r="AE83" s="335">
        <f t="shared" si="44"/>
        <v>42.499999999999993</v>
      </c>
      <c r="AG83" s="13" t="str">
        <f>Lang!$A$148</f>
        <v>Nafta 3</v>
      </c>
      <c r="AH83" s="337">
        <f ca="1">IF(SUBSTITUTE(OFFSET('84'!E98,,'81'!$O$5),".",",")&gt;0,'82'!Y23/SUBSTITUTE(OFFSET('84'!E98,,'81'!$O$5),".",","),0)</f>
        <v>22.5</v>
      </c>
      <c r="AI83" s="352">
        <f t="shared" ca="1" si="47"/>
        <v>62.999999999999993</v>
      </c>
      <c r="AJ83" s="348">
        <f t="shared" ca="1" si="48"/>
        <v>135</v>
      </c>
      <c r="AK83" s="348">
        <f t="shared" ca="1" si="49"/>
        <v>193.5</v>
      </c>
      <c r="AL83" s="348">
        <f t="shared" ca="1" si="50"/>
        <v>60.750000000000007</v>
      </c>
      <c r="AM83" s="348">
        <f t="shared" ca="1" si="51"/>
        <v>171</v>
      </c>
      <c r="AN83" s="348">
        <f t="shared" ca="1" si="52"/>
        <v>225</v>
      </c>
      <c r="AO83" s="348">
        <f t="shared" ca="1" si="53"/>
        <v>108</v>
      </c>
      <c r="AP83" s="353">
        <f t="shared" ca="1" si="54"/>
        <v>0</v>
      </c>
      <c r="AQ83" s="139">
        <f t="shared" ca="1" si="55"/>
        <v>2250.0000000000005</v>
      </c>
      <c r="AR83" s="95"/>
    </row>
    <row r="84" spans="1:44" ht="13.8" thickBot="1" x14ac:dyDescent="0.3">
      <c r="A84" s="31" t="str">
        <f>Lang!$A$159</f>
        <v>Long term loans</v>
      </c>
      <c r="B84" s="6">
        <f>'84'!F77</f>
        <v>0</v>
      </c>
      <c r="C84" s="6">
        <f>'84'!G77</f>
        <v>0</v>
      </c>
      <c r="D84" s="6">
        <f>'84'!H77</f>
        <v>0</v>
      </c>
      <c r="E84" s="6">
        <f>'84'!I77</f>
        <v>0</v>
      </c>
      <c r="F84" s="6">
        <f>'84'!J77</f>
        <v>0</v>
      </c>
      <c r="G84" s="6">
        <f>'84'!K77</f>
        <v>0</v>
      </c>
      <c r="H84" s="6">
        <f>'84'!L77</f>
        <v>0</v>
      </c>
      <c r="I84" s="7" t="str">
        <f>'84'!M77</f>
        <v xml:space="preserve"> </v>
      </c>
      <c r="K84" s="889" t="str">
        <f>Lang!$A$172</f>
        <v>Internet 3</v>
      </c>
      <c r="L84" s="354">
        <f ca="1">AI84*'84'!F51</f>
        <v>71394.594594594586</v>
      </c>
      <c r="M84" s="354">
        <f ca="1">AJ84*'84'!G51</f>
        <v>217169.99999999997</v>
      </c>
      <c r="N84" s="354">
        <f ca="1">AK84*'84'!H51</f>
        <v>130892.37837837839</v>
      </c>
      <c r="O84" s="354">
        <f ca="1">AL84*'84'!I51</f>
        <v>174504.86486486485</v>
      </c>
      <c r="P84" s="354">
        <f ca="1">AM84*'84'!J51</f>
        <v>210522.52252252251</v>
      </c>
      <c r="Q84" s="354">
        <f ca="1">AN84*'84'!K51</f>
        <v>146358.91891891891</v>
      </c>
      <c r="R84" s="354">
        <f ca="1">AO84*'84'!L51</f>
        <v>200339.63963963964</v>
      </c>
      <c r="S84" s="354">
        <f ca="1">AP84*'84'!M51</f>
        <v>0</v>
      </c>
      <c r="T84" s="521">
        <f t="shared" ca="1" si="46"/>
        <v>1151182.9189189188</v>
      </c>
      <c r="V84" s="889" t="str">
        <f>Lang!$A$172</f>
        <v>Internet 3</v>
      </c>
      <c r="W84" s="355">
        <f>IF('85'!$A$331=1,SUBSTITUTE('84'!F99,".",",")*1,0)</f>
        <v>4</v>
      </c>
      <c r="X84" s="356">
        <f>IF('85'!$A$331=1,SUBSTITUTE('84'!G99,".",",")*1,0)</f>
        <v>11.1</v>
      </c>
      <c r="Y84" s="356">
        <f>IF('85'!$A$331=1,SUBSTITUTE('84'!H99,".",",")*1,0)</f>
        <v>6.9</v>
      </c>
      <c r="Z84" s="356">
        <f>IF('85'!$A$331=1,SUBSTITUTE('84'!I99,".",",")*1,0)</f>
        <v>9.3000000000000007</v>
      </c>
      <c r="AA84" s="356">
        <f>IF('85'!$A$331=1,SUBSTITUTE('84'!J99,".",",")*1,0)</f>
        <v>11.5</v>
      </c>
      <c r="AB84" s="356">
        <f>IF('85'!$A$331=1,SUBSTITUTE('84'!K99,".",",")*1,0)</f>
        <v>7.8</v>
      </c>
      <c r="AC84" s="356">
        <f>IF('85'!$A$331=1,SUBSTITUTE('84'!L99,".",",")*1,0)</f>
        <v>10.3</v>
      </c>
      <c r="AD84" s="357">
        <f>IF('85'!$A$331=1,SUBSTITUTE('84'!M99,".",",")*1,0)</f>
        <v>0</v>
      </c>
      <c r="AE84" s="336">
        <f t="shared" si="44"/>
        <v>60.899999999999991</v>
      </c>
      <c r="AG84" s="889" t="str">
        <f>Lang!$A$172</f>
        <v>Internet 3</v>
      </c>
      <c r="AH84" s="338">
        <f ca="1">IF(SUBSTITUTE(OFFSET('84'!E99,,'81'!$O$5),".",",")&gt;0,'82'!Y24/SUBSTITUTE(OFFSET('84'!E99,,'81'!$O$5),".",","),0)</f>
        <v>22.882882882882882</v>
      </c>
      <c r="AI84" s="358">
        <f t="shared" ca="1" si="47"/>
        <v>91.531531531531527</v>
      </c>
      <c r="AJ84" s="354">
        <f t="shared" ca="1" si="48"/>
        <v>253.99999999999997</v>
      </c>
      <c r="AK84" s="354">
        <f t="shared" ca="1" si="49"/>
        <v>157.8918918918919</v>
      </c>
      <c r="AL84" s="354">
        <f t="shared" ca="1" si="50"/>
        <v>212.81081081081081</v>
      </c>
      <c r="AM84" s="354">
        <f t="shared" ca="1" si="51"/>
        <v>263.15315315315314</v>
      </c>
      <c r="AN84" s="354">
        <f t="shared" ca="1" si="52"/>
        <v>178.48648648648648</v>
      </c>
      <c r="AO84" s="354">
        <f t="shared" ca="1" si="53"/>
        <v>235.69369369369369</v>
      </c>
      <c r="AP84" s="359">
        <f t="shared" ca="1" si="54"/>
        <v>0</v>
      </c>
      <c r="AQ84" s="140">
        <f t="shared" ca="1" si="55"/>
        <v>2288.2882882882886</v>
      </c>
      <c r="AR84" s="95"/>
    </row>
    <row r="85" spans="1:44" ht="13.8" thickBot="1" x14ac:dyDescent="0.3">
      <c r="A85" s="31" t="str">
        <f>Lang!$A$160</f>
        <v>Share capital</v>
      </c>
      <c r="B85" s="6">
        <f>'84'!F80</f>
        <v>4000000</v>
      </c>
      <c r="C85" s="6">
        <f>'84'!G80</f>
        <v>4000000</v>
      </c>
      <c r="D85" s="6">
        <f>'84'!H80</f>
        <v>4000000</v>
      </c>
      <c r="E85" s="6">
        <f>'84'!I80</f>
        <v>4000000</v>
      </c>
      <c r="F85" s="6">
        <f>'84'!J80</f>
        <v>4000000</v>
      </c>
      <c r="G85" s="6">
        <f>'84'!K80</f>
        <v>4000000</v>
      </c>
      <c r="H85" s="6">
        <f>'84'!L80</f>
        <v>4000000</v>
      </c>
      <c r="I85" s="7" t="str">
        <f>'84'!M80</f>
        <v xml:space="preserve"> </v>
      </c>
      <c r="T85" s="97"/>
    </row>
    <row r="86" spans="1:44" ht="12.75" customHeight="1" thickBot="1" x14ac:dyDescent="0.3">
      <c r="A86" s="879" t="str">
        <f>Lang!$A$161</f>
        <v>Share premium account</v>
      </c>
      <c r="B86" s="6">
        <f>'84'!F81</f>
        <v>0</v>
      </c>
      <c r="C86" s="6">
        <f>'84'!G81</f>
        <v>0</v>
      </c>
      <c r="D86" s="6">
        <f>'84'!H81</f>
        <v>0</v>
      </c>
      <c r="E86" s="6">
        <f>'84'!I81</f>
        <v>0</v>
      </c>
      <c r="F86" s="6">
        <f>'84'!J81</f>
        <v>0</v>
      </c>
      <c r="G86" s="6">
        <f>'84'!K81</f>
        <v>0</v>
      </c>
      <c r="H86" s="6">
        <f>'84'!L81</f>
        <v>0</v>
      </c>
      <c r="I86" s="7" t="str">
        <f>'84'!M81</f>
        <v xml:space="preserve"> </v>
      </c>
      <c r="K86" s="92" t="str">
        <f>Lang!$A$173</f>
        <v>Revenue</v>
      </c>
      <c r="L86" s="93">
        <f t="shared" ref="L86:S86" ca="1" si="56">B88/AI86</f>
        <v>278.94517592265083</v>
      </c>
      <c r="M86" s="93">
        <f t="shared" ca="1" si="56"/>
        <v>284.49734042553189</v>
      </c>
      <c r="N86" s="93">
        <f t="shared" ca="1" si="56"/>
        <v>281.95036036197973</v>
      </c>
      <c r="O86" s="93">
        <f t="shared" ca="1" si="56"/>
        <v>283.62312112486063</v>
      </c>
      <c r="P86" s="93">
        <f t="shared" ca="1" si="56"/>
        <v>281.90265690055224</v>
      </c>
      <c r="Q86" s="93">
        <f t="shared" ca="1" si="56"/>
        <v>274.40517234243595</v>
      </c>
      <c r="R86" s="93">
        <f t="shared" ca="1" si="56"/>
        <v>285.82821616579838</v>
      </c>
      <c r="S86" s="94" t="e">
        <f t="shared" ca="1" si="56"/>
        <v>#DIV/0!</v>
      </c>
      <c r="V86" s="147" t="str">
        <f>Lang!$A$174</f>
        <v>Shares</v>
      </c>
      <c r="W86" s="459">
        <f ca="1">AVERAGE(SUM(AI76:AI78)/SUM($AQ76:$AQ78),SUM(AI79:AI81)/SUM($AQ79:$AQ81),SUM(AI82:AI84)/SUM($AQ82:$AQ84))*100</f>
        <v>3.8594410201221931</v>
      </c>
      <c r="X86" s="142">
        <f t="shared" ref="X86:AD86" ca="1" si="57">AVERAGE(SUM(AJ76:AJ78)/SUM($AQ76:$AQ78),SUM(AJ79:AJ81)/SUM($AQ79:$AQ81),SUM(AJ82:AJ84)/SUM($AQ82:$AQ84))*100</f>
        <v>7.063413618377286</v>
      </c>
      <c r="Y86" s="142">
        <f t="shared" ca="1" si="57"/>
        <v>7.1211300491589409</v>
      </c>
      <c r="Z86" s="142">
        <f t="shared" ca="1" si="57"/>
        <v>5.5104419884177549</v>
      </c>
      <c r="AA86" s="142">
        <f t="shared" ca="1" si="57"/>
        <v>6.6266876531995349</v>
      </c>
      <c r="AB86" s="142">
        <f t="shared" ca="1" si="57"/>
        <v>7.4639243325106834</v>
      </c>
      <c r="AC86" s="142">
        <f t="shared" ca="1" si="57"/>
        <v>6.7627146850808684</v>
      </c>
      <c r="AD86" s="460">
        <f t="shared" ca="1" si="57"/>
        <v>0</v>
      </c>
      <c r="AE86" s="339">
        <f ca="1">SUM(W86:AD86)</f>
        <v>44.40775334686726</v>
      </c>
      <c r="AG86" s="1144" t="str">
        <f>Lang!$A$175</f>
        <v>Amount</v>
      </c>
      <c r="AH86" s="1145"/>
      <c r="AI86" s="360">
        <f ca="1">AI76+AI77+AI78+AI79*2+AI80*2+AI81*2+AI82*3+AI83*3+AI84*3</f>
        <v>4123.407344972431</v>
      </c>
      <c r="AJ86" s="360">
        <f t="shared" ref="AJ86:AP86" ca="1" si="58">AJ76+AJ77+AJ78+AJ79*2+AJ80*2+AJ81*2+AJ82*3+AJ83*3+AJ84*3</f>
        <v>7520</v>
      </c>
      <c r="AK86" s="360">
        <f t="shared" ca="1" si="58"/>
        <v>7700.8130197780574</v>
      </c>
      <c r="AL86" s="360">
        <f t="shared" ca="1" si="58"/>
        <v>5678.3828578649673</v>
      </c>
      <c r="AM86" s="360">
        <f t="shared" ca="1" si="58"/>
        <v>6834.7997785318794</v>
      </c>
      <c r="AN86" s="360">
        <f t="shared" ca="1" si="58"/>
        <v>7921.6514893918902</v>
      </c>
      <c r="AO86" s="360">
        <f t="shared" ca="1" si="58"/>
        <v>7168.9422449200038</v>
      </c>
      <c r="AP86" s="361">
        <f t="shared" ca="1" si="58"/>
        <v>0</v>
      </c>
      <c r="AQ86" s="340">
        <f ca="1">SUM(AI86:AP86)/AE86*100</f>
        <v>105720.2699914815</v>
      </c>
    </row>
    <row r="87" spans="1:44" x14ac:dyDescent="0.25">
      <c r="A87" s="879" t="str">
        <f>Lang!$A$141</f>
        <v xml:space="preserve">Retained earnings </v>
      </c>
      <c r="B87" s="6">
        <f>'84'!F82</f>
        <v>-651319</v>
      </c>
      <c r="C87" s="6">
        <f>'84'!G82</f>
        <v>-106809</v>
      </c>
      <c r="D87" s="6">
        <f>'84'!H82</f>
        <v>11465</v>
      </c>
      <c r="E87" s="6">
        <f>'84'!I82</f>
        <v>-31652</v>
      </c>
      <c r="F87" s="6">
        <f>'84'!J82</f>
        <v>-132942</v>
      </c>
      <c r="G87" s="6">
        <f>'84'!K82</f>
        <v>36282</v>
      </c>
      <c r="H87" s="6">
        <f>'84'!L82</f>
        <v>-67048</v>
      </c>
      <c r="I87" s="7" t="str">
        <f>'84'!M82</f>
        <v xml:space="preserve"> </v>
      </c>
      <c r="K87" s="13" t="str">
        <f>Lang!$A$162</f>
        <v>Expenses</v>
      </c>
      <c r="L87" s="56">
        <f t="shared" ref="L87:S87" ca="1" si="59">B89/AI86</f>
        <v>372.63589519418639</v>
      </c>
      <c r="M87" s="56">
        <f t="shared" ca="1" si="59"/>
        <v>267.30731382978723</v>
      </c>
      <c r="N87" s="56">
        <f t="shared" ca="1" si="59"/>
        <v>268.54177613395029</v>
      </c>
      <c r="O87" s="56">
        <f t="shared" ca="1" si="59"/>
        <v>268.16836891870236</v>
      </c>
      <c r="P87" s="56">
        <f t="shared" ca="1" si="59"/>
        <v>283.32493704261782</v>
      </c>
      <c r="Q87" s="56">
        <f t="shared" ca="1" si="59"/>
        <v>229.71550119569679</v>
      </c>
      <c r="R87" s="56">
        <f t="shared" ca="1" si="59"/>
        <v>290.00623838675074</v>
      </c>
      <c r="S87" s="57" t="e">
        <f t="shared" ca="1" si="59"/>
        <v>#VALUE!</v>
      </c>
    </row>
    <row r="88" spans="1:44" ht="13.8" thickBot="1" x14ac:dyDescent="0.3">
      <c r="A88" s="343" t="str">
        <f>Lang!$A$102</f>
        <v>Sales revenue</v>
      </c>
      <c r="B88" s="148">
        <f t="shared" ref="B88:I88" ca="1" si="60">SUMIF(L76:L84,"&gt;0")</f>
        <v>1150204.5872440853</v>
      </c>
      <c r="C88" s="148">
        <f t="shared" ca="1" si="60"/>
        <v>2139420</v>
      </c>
      <c r="D88" s="148">
        <f t="shared" ca="1" si="60"/>
        <v>2171247.0060066488</v>
      </c>
      <c r="E88" s="148">
        <f t="shared" ca="1" si="60"/>
        <v>1610520.6690895678</v>
      </c>
      <c r="F88" s="148">
        <f t="shared" ca="1" si="60"/>
        <v>1926748.2169514429</v>
      </c>
      <c r="G88" s="148">
        <f t="shared" ca="1" si="60"/>
        <v>2173742.1421832959</v>
      </c>
      <c r="H88" s="148">
        <f t="shared" ca="1" si="60"/>
        <v>2049085.9736611187</v>
      </c>
      <c r="I88" s="24">
        <f t="shared" ca="1" si="60"/>
        <v>0</v>
      </c>
      <c r="K88" s="15" t="str">
        <f>Lang!$A$145</f>
        <v>Profit</v>
      </c>
      <c r="L88" s="59">
        <f t="shared" ref="L88:S88" ca="1" si="61">L86-L87</f>
        <v>-93.690719271535556</v>
      </c>
      <c r="M88" s="59">
        <f t="shared" ca="1" si="61"/>
        <v>17.190026595744655</v>
      </c>
      <c r="N88" s="59">
        <f t="shared" ca="1" si="61"/>
        <v>13.40858422802944</v>
      </c>
      <c r="O88" s="59">
        <f t="shared" ca="1" si="61"/>
        <v>15.454752206158275</v>
      </c>
      <c r="P88" s="59">
        <f t="shared" ca="1" si="61"/>
        <v>-1.4222801420655742</v>
      </c>
      <c r="Q88" s="59">
        <f t="shared" ca="1" si="61"/>
        <v>44.689671146739158</v>
      </c>
      <c r="R88" s="59">
        <f t="shared" ca="1" si="61"/>
        <v>-4.1780222209523572</v>
      </c>
      <c r="S88" s="60" t="e">
        <f t="shared" ca="1" si="61"/>
        <v>#DIV/0!</v>
      </c>
      <c r="T88" s="155"/>
    </row>
    <row r="89" spans="1:44" x14ac:dyDescent="0.25">
      <c r="A89" s="31" t="str">
        <f>Lang!$A$162</f>
        <v>Expenses</v>
      </c>
      <c r="B89" s="148">
        <f t="shared" ref="B89:I89" ca="1" si="62">B88-B90</f>
        <v>1536529.5872440853</v>
      </c>
      <c r="C89" s="148">
        <f t="shared" ca="1" si="62"/>
        <v>2010151</v>
      </c>
      <c r="D89" s="148">
        <f t="shared" ca="1" si="62"/>
        <v>2067990.0060066488</v>
      </c>
      <c r="E89" s="148">
        <f t="shared" ca="1" si="62"/>
        <v>1522762.6690895678</v>
      </c>
      <c r="F89" s="148">
        <f t="shared" ca="1" si="62"/>
        <v>1936469.2169514429</v>
      </c>
      <c r="G89" s="148">
        <f t="shared" ca="1" si="62"/>
        <v>1819726.1421832959</v>
      </c>
      <c r="H89" s="148">
        <f t="shared" ca="1" si="62"/>
        <v>2079037.9736611187</v>
      </c>
      <c r="I89" s="24" t="e">
        <f t="shared" ca="1" si="62"/>
        <v>#VALUE!</v>
      </c>
    </row>
    <row r="90" spans="1:44" x14ac:dyDescent="0.25">
      <c r="A90" s="31" t="str">
        <f>Lang!$A$145</f>
        <v>Profit</v>
      </c>
      <c r="B90" s="6">
        <f t="shared" ref="B90:I90" si="63">B87-B62+B80+B81-IF(B86=0,IF(B85&lt;B60,(B85-B60)*(B67-100)/100,0),0)</f>
        <v>-386325</v>
      </c>
      <c r="C90" s="6">
        <f t="shared" si="63"/>
        <v>129269</v>
      </c>
      <c r="D90" s="6">
        <f t="shared" si="63"/>
        <v>103257</v>
      </c>
      <c r="E90" s="6">
        <f t="shared" si="63"/>
        <v>87758</v>
      </c>
      <c r="F90" s="6">
        <f t="shared" si="63"/>
        <v>-9721</v>
      </c>
      <c r="G90" s="6">
        <f t="shared" si="63"/>
        <v>354016</v>
      </c>
      <c r="H90" s="6">
        <f t="shared" si="63"/>
        <v>-29952</v>
      </c>
      <c r="I90" s="7" t="e">
        <f t="shared" si="63"/>
        <v>#VALUE!</v>
      </c>
    </row>
    <row r="91" spans="1:44" x14ac:dyDescent="0.25">
      <c r="A91" s="879" t="str">
        <f>Lang!$A$163</f>
        <v>Investment performance</v>
      </c>
      <c r="B91" s="6">
        <f>AVERAGEIF('84'!F$39,"&gt;0")</f>
        <v>2845200</v>
      </c>
      <c r="C91" s="6">
        <f>AVERAGEIF('84'!G$39,"&gt;0")</f>
        <v>4215200</v>
      </c>
      <c r="D91" s="6">
        <f>AVERAGEIF('84'!H$39,"&gt;0")</f>
        <v>4134400</v>
      </c>
      <c r="E91" s="6">
        <f>AVERAGEIF('84'!I$39,"&gt;0")</f>
        <v>3933600</v>
      </c>
      <c r="F91" s="6">
        <f>AVERAGEIF('84'!J$39,"&gt;0")</f>
        <v>4062800</v>
      </c>
      <c r="G91" s="6">
        <f>AVERAGEIF('84'!K$39,"&gt;0")</f>
        <v>4128000</v>
      </c>
      <c r="H91" s="6">
        <f>AVERAGEIF('84'!L$39,"&gt;0")</f>
        <v>3994000</v>
      </c>
      <c r="I91" s="7" t="e">
        <f>AVERAGEIF('84'!M$39,"&gt;0")</f>
        <v>#DIV/0!</v>
      </c>
    </row>
    <row r="92" spans="1:44" x14ac:dyDescent="0.25">
      <c r="A92" s="879" t="str">
        <f>Lang!$A$78</f>
        <v>Share price</v>
      </c>
      <c r="B92" s="28">
        <f>AVERAGEIF('84'!F$35,"&gt;0")</f>
        <v>71.13</v>
      </c>
      <c r="C92" s="28">
        <f>AVERAGEIF('84'!G$35,"&gt;0")</f>
        <v>105.38</v>
      </c>
      <c r="D92" s="28">
        <f>AVERAGEIF('84'!H$35,"&gt;0")</f>
        <v>103.36</v>
      </c>
      <c r="E92" s="28">
        <f>AVERAGEIF('84'!I$35,"&gt;0")</f>
        <v>98.34</v>
      </c>
      <c r="F92" s="28">
        <f>AVERAGEIF('84'!J$35,"&gt;0")</f>
        <v>101.57</v>
      </c>
      <c r="G92" s="28">
        <f>AVERAGEIF('84'!K$35,"&gt;0")</f>
        <v>103.2</v>
      </c>
      <c r="H92" s="28">
        <f>AVERAGEIF('84'!L$35,"&gt;0")</f>
        <v>99.85</v>
      </c>
      <c r="I92" s="341" t="e">
        <f>AVERAGEIF('84'!M$35,"&gt;0")</f>
        <v>#DIV/0!</v>
      </c>
      <c r="M92" s="23"/>
      <c r="N92" s="23"/>
      <c r="O92" s="23"/>
      <c r="P92" s="23"/>
      <c r="Q92" s="23"/>
      <c r="R92" s="23"/>
    </row>
    <row r="93" spans="1:44" x14ac:dyDescent="0.25">
      <c r="A93" s="879" t="str">
        <f>Lang!$A$164</f>
        <v>Goodwill</v>
      </c>
      <c r="B93" s="28">
        <f t="shared" ref="B93:I93" si="64">B92/(B75/B85)</f>
        <v>84.964796587074133</v>
      </c>
      <c r="C93" s="28">
        <f t="shared" si="64"/>
        <v>108.27108148559883</v>
      </c>
      <c r="D93" s="28">
        <f t="shared" si="64"/>
        <v>103.06459111571458</v>
      </c>
      <c r="E93" s="28">
        <f t="shared" si="64"/>
        <v>99.124371148901247</v>
      </c>
      <c r="F93" s="28">
        <f t="shared" si="64"/>
        <v>105.06178081632082</v>
      </c>
      <c r="G93" s="28">
        <f t="shared" si="64"/>
        <v>102.27233875135583</v>
      </c>
      <c r="H93" s="28">
        <f t="shared" si="64"/>
        <v>101.55221828285725</v>
      </c>
      <c r="I93" s="341" t="e">
        <f t="shared" si="64"/>
        <v>#DIV/0!</v>
      </c>
      <c r="L93" s="155"/>
      <c r="M93" s="155"/>
      <c r="N93" s="155"/>
      <c r="O93" s="155"/>
      <c r="P93" s="155"/>
      <c r="Q93" s="155"/>
      <c r="R93" s="155"/>
      <c r="S93" s="155"/>
      <c r="T93" s="155"/>
    </row>
    <row r="94" spans="1:44" x14ac:dyDescent="0.25">
      <c r="A94" s="879" t="str">
        <f>Lang!$A$84</f>
        <v>Market shares</v>
      </c>
      <c r="B94" s="143">
        <f t="shared" ref="B94:I94" ca="1" si="65">AVERAGEIF(W86,"&gt;0")</f>
        <v>3.8594410201221931</v>
      </c>
      <c r="C94" s="143">
        <f t="shared" ca="1" si="65"/>
        <v>7.063413618377286</v>
      </c>
      <c r="D94" s="143">
        <f t="shared" ca="1" si="65"/>
        <v>7.1211300491589409</v>
      </c>
      <c r="E94" s="143">
        <f t="shared" ca="1" si="65"/>
        <v>5.5104419884177549</v>
      </c>
      <c r="F94" s="143">
        <f t="shared" ca="1" si="65"/>
        <v>6.6266876531995349</v>
      </c>
      <c r="G94" s="143">
        <f t="shared" ca="1" si="65"/>
        <v>7.4639243325106834</v>
      </c>
      <c r="H94" s="143">
        <f t="shared" ca="1" si="65"/>
        <v>6.7627146850808684</v>
      </c>
      <c r="I94" s="144" t="e">
        <f t="shared" ca="1" si="65"/>
        <v>#DIV/0!</v>
      </c>
      <c r="L94" s="155"/>
      <c r="M94" s="155"/>
      <c r="N94" s="155"/>
      <c r="Q94" s="155"/>
      <c r="R94" s="155"/>
      <c r="S94" s="155"/>
      <c r="T94" s="155"/>
    </row>
    <row r="95" spans="1:44" x14ac:dyDescent="0.25">
      <c r="A95" s="879" t="str">
        <f>Lang!$A$74</f>
        <v>Prices</v>
      </c>
      <c r="B95" s="63">
        <f>AVERAGEIF('84'!F$43:F$51,"&gt;0")/AVERAGEIF('84'!$F$43:$M$51,"&gt;0")-1</f>
        <v>-2.6468349241669964E-2</v>
      </c>
      <c r="C95" s="63">
        <f>AVERAGEIF('84'!G$43:G$51,"&gt;0")/AVERAGEIF('84'!$F$43:$M$51,"&gt;0")-1</f>
        <v>1.6103531065176924E-3</v>
      </c>
      <c r="D95" s="63">
        <f>AVERAGEIF('84'!H$43:H$51,"&gt;0")/AVERAGEIF('84'!$F$43:$M$51,"&gt;0")-1</f>
        <v>1.6776951455173661E-2</v>
      </c>
      <c r="E95" s="63">
        <f>AVERAGEIF('84'!I$43:I$51,"&gt;0")/AVERAGEIF('84'!$F$43:$M$51,"&gt;0")-1</f>
        <v>1.0423376471277335E-2</v>
      </c>
      <c r="F95" s="63">
        <f>AVERAGEIF('84'!J$43:J$51,"&gt;0")/AVERAGEIF('84'!$F$43:$M$51,"&gt;0")-1</f>
        <v>2.2252152017334659E-3</v>
      </c>
      <c r="G95" s="63">
        <f>AVERAGEIF('84'!K$43:K$51,"&gt;0")/AVERAGEIF('84'!$F$43:$M$51,"&gt;0")-1</f>
        <v>-1.1916612988229769E-2</v>
      </c>
      <c r="H95" s="63">
        <f>AVERAGEIF('84'!L$43:L$51,"&gt;0")/AVERAGEIF('84'!$F$43:$M$51,"&gt;0")-1</f>
        <v>7.3490659951982451E-3</v>
      </c>
      <c r="I95" s="64" t="e">
        <f>AVERAGEIF('84'!M$43:M$51,"&gt;0")/AVERAGEIF('84'!$F$43:$M$51,"&gt;0")-1</f>
        <v>#DIV/0!</v>
      </c>
      <c r="L95" s="155"/>
      <c r="M95" s="155"/>
      <c r="N95" s="155"/>
      <c r="O95" s="155"/>
      <c r="P95" s="155"/>
      <c r="Q95" s="155"/>
      <c r="R95" s="155"/>
      <c r="S95" s="155"/>
      <c r="T95" s="155"/>
    </row>
    <row r="96" spans="1:44" x14ac:dyDescent="0.25">
      <c r="A96" s="879" t="str">
        <f>Lang!$A$38</f>
        <v>Advertising</v>
      </c>
      <c r="B96" s="63">
        <f>AVERAGEIF('84'!F$104,"&gt;0")/AVERAGEIF('84'!$F$104:$M$104,"&gt;0")-1</f>
        <v>8.3870967741935587E-2</v>
      </c>
      <c r="C96" s="63">
        <f>AVERAGEIF('84'!G$104,"&gt;0")/AVERAGEIF('84'!$F$104:$M$104,"&gt;0")-1</f>
        <v>2.0645161290322678E-2</v>
      </c>
      <c r="D96" s="63">
        <f>AVERAGEIF('84'!H$104,"&gt;0")/AVERAGEIF('84'!$F$104:$M$104,"&gt;0")-1</f>
        <v>-3.3548387096774213E-2</v>
      </c>
      <c r="E96" s="63">
        <f>AVERAGEIF('84'!I$104,"&gt;0")/AVERAGEIF('84'!$F$104:$M$104,"&gt;0")-1</f>
        <v>8.3870967741935587E-2</v>
      </c>
      <c r="F96" s="63">
        <f>AVERAGEIF('84'!J$104,"&gt;0")/AVERAGEIF('84'!$F$104:$M$104,"&gt;0")-1</f>
        <v>9.2903225806451717E-2</v>
      </c>
      <c r="G96" s="63">
        <f>AVERAGEIF('84'!K$104,"&gt;0")/AVERAGEIF('84'!$F$104:$M$104,"&gt;0")-1</f>
        <v>-0.37677419354838704</v>
      </c>
      <c r="H96" s="63">
        <f>AVERAGEIF('84'!L$104,"&gt;0")/AVERAGEIF('84'!$F$104:$M$104,"&gt;0")-1</f>
        <v>0.12903225806451624</v>
      </c>
      <c r="I96" s="64" t="e">
        <f>AVERAGEIF('84'!M$104,"&gt;0")/AVERAGEIF('84'!$F$104:$M$104,"&gt;0")-1</f>
        <v>#DIV/0!</v>
      </c>
      <c r="K96" s="25"/>
      <c r="L96" s="25"/>
      <c r="M96" s="25"/>
      <c r="N96" s="25"/>
      <c r="O96" s="25"/>
      <c r="P96" s="25"/>
      <c r="Q96" s="25"/>
      <c r="R96" s="25"/>
    </row>
    <row r="97" spans="1:44" x14ac:dyDescent="0.25">
      <c r="A97" s="879" t="str">
        <f>Lang!$A$176</f>
        <v>Workers</v>
      </c>
      <c r="B97" s="118">
        <f>'84'!F$53-'82'!$O$7-'82'!$O$8+'82'!$O$10</f>
        <v>26</v>
      </c>
      <c r="C97" s="118">
        <f>'84'!G$53-'82'!$O$7-'82'!$O$8+'82'!$O$10</f>
        <v>33</v>
      </c>
      <c r="D97" s="118">
        <f>'84'!H$53-'82'!$O$7-'82'!$O$8+'82'!$O$10</f>
        <v>41</v>
      </c>
      <c r="E97" s="118">
        <f>'84'!I$53-'82'!$O$7-'82'!$O$8+'82'!$O$10</f>
        <v>22</v>
      </c>
      <c r="F97" s="118">
        <f>'84'!J$53-'82'!$O$7-'82'!$O$8+'82'!$O$10</f>
        <v>23</v>
      </c>
      <c r="G97" s="118">
        <f>'84'!K$53-'82'!$O$7-'82'!$O$8+'82'!$O$10</f>
        <v>44</v>
      </c>
      <c r="H97" s="118">
        <f>'84'!L$53-'82'!$O$7-'82'!$O$8+'82'!$O$10</f>
        <v>55</v>
      </c>
      <c r="I97" s="118">
        <f>'84'!M$53-'82'!$O$7-'82'!$O$8+'82'!$O$10</f>
        <v>-40</v>
      </c>
      <c r="K97" s="122"/>
      <c r="L97" s="122"/>
      <c r="M97" s="122"/>
      <c r="N97" s="122"/>
      <c r="O97" s="122"/>
      <c r="P97" s="122"/>
      <c r="Q97" s="122"/>
      <c r="R97" s="122"/>
    </row>
    <row r="98" spans="1:44" ht="13.8" thickBot="1" x14ac:dyDescent="0.3">
      <c r="A98" s="67" t="str">
        <f>Lang!$A$59</f>
        <v>Workers wage rate</v>
      </c>
      <c r="B98" s="863">
        <f>'84'!F54</f>
        <v>1270</v>
      </c>
      <c r="C98" s="863">
        <f>'84'!G54</f>
        <v>1280</v>
      </c>
      <c r="D98" s="863">
        <f>'84'!H54</f>
        <v>1300</v>
      </c>
      <c r="E98" s="863">
        <f>'84'!I54</f>
        <v>1325</v>
      </c>
      <c r="F98" s="863">
        <f>'84'!J54</f>
        <v>1280</v>
      </c>
      <c r="G98" s="863">
        <f>'84'!K54</f>
        <v>1240</v>
      </c>
      <c r="H98" s="863">
        <f>'84'!L54</f>
        <v>1365</v>
      </c>
      <c r="I98" s="864">
        <f>'84'!M54</f>
        <v>0</v>
      </c>
      <c r="K98" s="23"/>
    </row>
    <row r="99" spans="1:44" ht="13.8" thickBot="1" x14ac:dyDescent="0.3">
      <c r="A99" s="98">
        <f>IF(A74=4,1,A74+1)</f>
        <v>2</v>
      </c>
      <c r="B99" s="99">
        <f t="shared" ref="B99:I99" si="66">B74</f>
        <v>0</v>
      </c>
      <c r="C99" s="99">
        <f t="shared" si="66"/>
        <v>0</v>
      </c>
      <c r="D99" s="99">
        <f t="shared" si="66"/>
        <v>0</v>
      </c>
      <c r="E99" s="99">
        <f t="shared" si="66"/>
        <v>0</v>
      </c>
      <c r="F99" s="99">
        <f t="shared" si="66"/>
        <v>0</v>
      </c>
      <c r="G99" s="99">
        <f t="shared" si="66"/>
        <v>0</v>
      </c>
      <c r="H99" s="99">
        <f t="shared" si="66"/>
        <v>0</v>
      </c>
      <c r="I99" s="99">
        <f t="shared" si="66"/>
        <v>0</v>
      </c>
      <c r="X99" s="25"/>
    </row>
    <row r="100" spans="1:44" x14ac:dyDescent="0.25">
      <c r="A100" s="342" t="str">
        <f>Lang!$A$134</f>
        <v>Net assets</v>
      </c>
      <c r="B100" s="26">
        <f>'94'!F83</f>
        <v>0</v>
      </c>
      <c r="C100" s="26">
        <f>'94'!G83</f>
        <v>0</v>
      </c>
      <c r="D100" s="26">
        <f>'94'!H83</f>
        <v>0</v>
      </c>
      <c r="E100" s="26">
        <f>'94'!I83</f>
        <v>0</v>
      </c>
      <c r="F100" s="26">
        <f>'94'!J83</f>
        <v>0</v>
      </c>
      <c r="G100" s="26">
        <f>'94'!K83</f>
        <v>0</v>
      </c>
      <c r="H100" s="26">
        <f>'94'!L83</f>
        <v>0</v>
      </c>
      <c r="I100" s="27">
        <f>'94'!M83</f>
        <v>0</v>
      </c>
      <c r="J100" s="23"/>
      <c r="K100" s="1146" t="str">
        <f>Lang!$A$102</f>
        <v>Sales revenue</v>
      </c>
      <c r="L100" s="1147"/>
      <c r="M100" s="1147"/>
      <c r="N100" s="1147"/>
      <c r="O100" s="1147"/>
      <c r="P100" s="1147"/>
      <c r="Q100" s="1147"/>
      <c r="R100" s="1147"/>
      <c r="S100" s="1147"/>
      <c r="T100" s="522" t="e">
        <f ca="1">SUM(T101:T109)</f>
        <v>#VALUE!</v>
      </c>
      <c r="V100" s="1146" t="str">
        <f>Lang!$A$84</f>
        <v>Market shares</v>
      </c>
      <c r="W100" s="1147"/>
      <c r="X100" s="1147"/>
      <c r="Y100" s="1147"/>
      <c r="Z100" s="1147"/>
      <c r="AA100" s="1147"/>
      <c r="AB100" s="1147"/>
      <c r="AC100" s="1147"/>
      <c r="AD100" s="1148"/>
      <c r="AE100" s="880" t="str">
        <f>Lang!$A$165</f>
        <v>Market</v>
      </c>
      <c r="AG100" s="1146" t="str">
        <f>Lang!$A$166</f>
        <v>Sales</v>
      </c>
      <c r="AH100" s="1147"/>
      <c r="AI100" s="1147"/>
      <c r="AJ100" s="1147"/>
      <c r="AK100" s="1147"/>
      <c r="AL100" s="1147"/>
      <c r="AM100" s="1147"/>
      <c r="AN100" s="1147"/>
      <c r="AO100" s="1147"/>
      <c r="AP100" s="1148"/>
      <c r="AQ100" s="880" t="str">
        <f>Lang!$A$165</f>
        <v>Market</v>
      </c>
    </row>
    <row r="101" spans="1:44" x14ac:dyDescent="0.25">
      <c r="A101" s="31" t="str">
        <f>Lang!$A$153</f>
        <v>Non-current assets</v>
      </c>
      <c r="B101" s="6">
        <f>'94'!F67</f>
        <v>0</v>
      </c>
      <c r="C101" s="6">
        <f>'94'!G67</f>
        <v>0</v>
      </c>
      <c r="D101" s="6">
        <f>'94'!H67</f>
        <v>0</v>
      </c>
      <c r="E101" s="6">
        <f>'94'!I67</f>
        <v>0</v>
      </c>
      <c r="F101" s="6">
        <f>'94'!J67</f>
        <v>0</v>
      </c>
      <c r="G101" s="6">
        <f>'94'!K67</f>
        <v>0</v>
      </c>
      <c r="H101" s="6">
        <f>'94'!L67</f>
        <v>0</v>
      </c>
      <c r="I101" s="7">
        <f>'94'!M67</f>
        <v>0</v>
      </c>
      <c r="J101" s="23"/>
      <c r="K101" s="347" t="str">
        <f>Lang!$A$167</f>
        <v>Europe 1</v>
      </c>
      <c r="L101" s="348" t="e">
        <f ca="1">AI101*'94'!F43</f>
        <v>#VALUE!</v>
      </c>
      <c r="M101" s="348" t="e">
        <f ca="1">AJ101*'94'!G43</f>
        <v>#VALUE!</v>
      </c>
      <c r="N101" s="348" t="e">
        <f ca="1">AK101*'94'!H43</f>
        <v>#VALUE!</v>
      </c>
      <c r="O101" s="348" t="e">
        <f ca="1">AL101*'94'!I43</f>
        <v>#VALUE!</v>
      </c>
      <c r="P101" s="348" t="e">
        <f ca="1">AM101*'94'!J43</f>
        <v>#VALUE!</v>
      </c>
      <c r="Q101" s="348" t="e">
        <f ca="1">AN101*'94'!K43</f>
        <v>#VALUE!</v>
      </c>
      <c r="R101" s="348" t="e">
        <f ca="1">AO101*'94'!L43</f>
        <v>#VALUE!</v>
      </c>
      <c r="S101" s="348" t="e">
        <f ca="1">AP101*'94'!M43</f>
        <v>#VALUE!</v>
      </c>
      <c r="T101" s="520" t="e">
        <f ca="1">SUM(L101:S101)</f>
        <v>#VALUE!</v>
      </c>
      <c r="V101" s="347" t="str">
        <f>Lang!$A$167</f>
        <v>Europe 1</v>
      </c>
      <c r="W101" s="349">
        <f>IF('95'!$A$331=1,SUBSTITUTE('94'!F91,".",",")*1,0)</f>
        <v>0</v>
      </c>
      <c r="X101" s="350">
        <f>IF('95'!$A$331=1,SUBSTITUTE('94'!G91,".",",")*1,0)</f>
        <v>0</v>
      </c>
      <c r="Y101" s="350">
        <f>IF('95'!$A$331=1,SUBSTITUTE('94'!H91,".",",")*1,0)</f>
        <v>0</v>
      </c>
      <c r="Z101" s="350">
        <f>IF('95'!$A$331=1,SUBSTITUTE('94'!I91,".",",")*1,0)</f>
        <v>0</v>
      </c>
      <c r="AA101" s="350">
        <f>IF('95'!$A$331=1,SUBSTITUTE('94'!J91,".",",")*1,0)</f>
        <v>0</v>
      </c>
      <c r="AB101" s="350">
        <f>IF('95'!$A$331=1,SUBSTITUTE('94'!K91,".",",")*1,0)</f>
        <v>0</v>
      </c>
      <c r="AC101" s="350">
        <f>IF('95'!$A$331=1,SUBSTITUTE('94'!L91,".",",")*1,0)</f>
        <v>0</v>
      </c>
      <c r="AD101" s="351">
        <f>IF('95'!$A$331=1,SUBSTITUTE('94'!M91,".",",")*1,0)</f>
        <v>0</v>
      </c>
      <c r="AE101" s="334">
        <f t="shared" ref="AE101:AE109" si="67">SUM(W101:AD101)</f>
        <v>0</v>
      </c>
      <c r="AG101" s="347" t="str">
        <f>Lang!$A$167</f>
        <v>Europe 1</v>
      </c>
      <c r="AH101" s="337" t="e">
        <f ca="1">IF(SUBSTITUTE(OFFSET('94'!E91,,'91'!$O$5),".",",")&gt;0,'92'!U22/SUBSTITUTE(OFFSET('94'!E91,,'91'!$O$5),".",","),0)</f>
        <v>#VALUE!</v>
      </c>
      <c r="AI101" s="352" t="e">
        <f ca="1">$AH101*W101</f>
        <v>#VALUE!</v>
      </c>
      <c r="AJ101" s="348" t="e">
        <f t="shared" ref="AJ101:AJ109" ca="1" si="68">$AH101*X101</f>
        <v>#VALUE!</v>
      </c>
      <c r="AK101" s="348" t="e">
        <f t="shared" ref="AK101:AK109" ca="1" si="69">$AH101*Y101</f>
        <v>#VALUE!</v>
      </c>
      <c r="AL101" s="348" t="e">
        <f t="shared" ref="AL101:AL109" ca="1" si="70">$AH101*Z101</f>
        <v>#VALUE!</v>
      </c>
      <c r="AM101" s="348" t="e">
        <f t="shared" ref="AM101:AM109" ca="1" si="71">$AH101*AA101</f>
        <v>#VALUE!</v>
      </c>
      <c r="AN101" s="348" t="e">
        <f t="shared" ref="AN101:AN109" ca="1" si="72">$AH101*AB101</f>
        <v>#VALUE!</v>
      </c>
      <c r="AO101" s="348" t="e">
        <f t="shared" ref="AO101:AO109" ca="1" si="73">$AH101*AC101</f>
        <v>#VALUE!</v>
      </c>
      <c r="AP101" s="353" t="e">
        <f t="shared" ref="AP101:AP109" ca="1" si="74">$AH101*AD101</f>
        <v>#VALUE!</v>
      </c>
      <c r="AQ101" s="141" t="e">
        <f t="shared" ref="AQ101:AQ109" ca="1" si="75">SUM(AI101:AP101)/AE101*100</f>
        <v>#VALUE!</v>
      </c>
      <c r="AR101" s="95"/>
    </row>
    <row r="102" spans="1:44" x14ac:dyDescent="0.25">
      <c r="A102" s="13" t="str">
        <f>Lang!$A$154</f>
        <v>Inventories</v>
      </c>
      <c r="B102" s="6">
        <f>'94'!F68</f>
        <v>0</v>
      </c>
      <c r="C102" s="6">
        <f>'94'!G68</f>
        <v>0</v>
      </c>
      <c r="D102" s="6">
        <f>'94'!H68</f>
        <v>0</v>
      </c>
      <c r="E102" s="6">
        <f>'94'!I68</f>
        <v>0</v>
      </c>
      <c r="F102" s="6">
        <f>'94'!J68</f>
        <v>0</v>
      </c>
      <c r="G102" s="6">
        <f>'94'!K68</f>
        <v>0</v>
      </c>
      <c r="H102" s="6">
        <f>'94'!L68</f>
        <v>0</v>
      </c>
      <c r="I102" s="7">
        <f>'94'!M68</f>
        <v>0</v>
      </c>
      <c r="K102" s="13" t="str">
        <f>Lang!$A$146</f>
        <v>Nafta 1</v>
      </c>
      <c r="L102" s="348" t="e">
        <f ca="1">AI102*'94'!F44</f>
        <v>#VALUE!</v>
      </c>
      <c r="M102" s="348" t="e">
        <f ca="1">AJ102*'94'!G44</f>
        <v>#VALUE!</v>
      </c>
      <c r="N102" s="348" t="e">
        <f ca="1">AK102*'94'!H44</f>
        <v>#VALUE!</v>
      </c>
      <c r="O102" s="348" t="e">
        <f ca="1">AL102*'94'!I44</f>
        <v>#VALUE!</v>
      </c>
      <c r="P102" s="348" t="e">
        <f ca="1">AM102*'94'!J44</f>
        <v>#VALUE!</v>
      </c>
      <c r="Q102" s="348" t="e">
        <f ca="1">AN102*'94'!K44</f>
        <v>#VALUE!</v>
      </c>
      <c r="R102" s="348" t="e">
        <f ca="1">AO102*'94'!L44</f>
        <v>#VALUE!</v>
      </c>
      <c r="S102" s="348" t="e">
        <f ca="1">AP102*'94'!M44</f>
        <v>#VALUE!</v>
      </c>
      <c r="T102" s="520" t="e">
        <f t="shared" ref="T102:T109" ca="1" si="76">SUM(L102:S102)</f>
        <v>#VALUE!</v>
      </c>
      <c r="V102" s="13" t="str">
        <f>Lang!$A$146</f>
        <v>Nafta 1</v>
      </c>
      <c r="W102" s="349">
        <f>IF('95'!$A$331=1,SUBSTITUTE('94'!F92,".",",")*1,0)</f>
        <v>0</v>
      </c>
      <c r="X102" s="350">
        <f>IF('95'!$A$331=1,SUBSTITUTE('94'!G92,".",",")*1,0)</f>
        <v>0</v>
      </c>
      <c r="Y102" s="350">
        <f>IF('95'!$A$331=1,SUBSTITUTE('94'!H92,".",",")*1,0)</f>
        <v>0</v>
      </c>
      <c r="Z102" s="350">
        <f>IF('95'!$A$331=1,SUBSTITUTE('94'!I92,".",",")*1,0)</f>
        <v>0</v>
      </c>
      <c r="AA102" s="350">
        <f>IF('95'!$A$331=1,SUBSTITUTE('94'!J92,".",",")*1,0)</f>
        <v>0</v>
      </c>
      <c r="AB102" s="350">
        <f>IF('95'!$A$331=1,SUBSTITUTE('94'!K92,".",",")*1,0)</f>
        <v>0</v>
      </c>
      <c r="AC102" s="350">
        <f>IF('95'!$A$331=1,SUBSTITUTE('94'!L92,".",",")*1,0)</f>
        <v>0</v>
      </c>
      <c r="AD102" s="351">
        <f>IF('95'!$A$331=1,SUBSTITUTE('94'!M92,".",",")*1,0)</f>
        <v>0</v>
      </c>
      <c r="AE102" s="335">
        <f t="shared" si="67"/>
        <v>0</v>
      </c>
      <c r="AG102" s="13" t="str">
        <f>Lang!$A$146</f>
        <v>Nafta 1</v>
      </c>
      <c r="AH102" s="337" t="e">
        <f ca="1">IF(SUBSTITUTE(OFFSET('94'!E92,,'91'!$O$5),".",",")&gt;0,'92'!U23/SUBSTITUTE(OFFSET('94'!E92,,'91'!$O$5),".",","),0)</f>
        <v>#VALUE!</v>
      </c>
      <c r="AI102" s="352" t="e">
        <f t="shared" ref="AI102:AI109" ca="1" si="77">$AH102*W102</f>
        <v>#VALUE!</v>
      </c>
      <c r="AJ102" s="348" t="e">
        <f t="shared" ca="1" si="68"/>
        <v>#VALUE!</v>
      </c>
      <c r="AK102" s="348" t="e">
        <f t="shared" ca="1" si="69"/>
        <v>#VALUE!</v>
      </c>
      <c r="AL102" s="348" t="e">
        <f t="shared" ca="1" si="70"/>
        <v>#VALUE!</v>
      </c>
      <c r="AM102" s="348" t="e">
        <f t="shared" ca="1" si="71"/>
        <v>#VALUE!</v>
      </c>
      <c r="AN102" s="348" t="e">
        <f t="shared" ca="1" si="72"/>
        <v>#VALUE!</v>
      </c>
      <c r="AO102" s="348" t="e">
        <f t="shared" ca="1" si="73"/>
        <v>#VALUE!</v>
      </c>
      <c r="AP102" s="353" t="e">
        <f t="shared" ca="1" si="74"/>
        <v>#VALUE!</v>
      </c>
      <c r="AQ102" s="139" t="e">
        <f t="shared" ca="1" si="75"/>
        <v>#VALUE!</v>
      </c>
      <c r="AR102" s="95"/>
    </row>
    <row r="103" spans="1:44" x14ac:dyDescent="0.25">
      <c r="A103" s="13" t="str">
        <f>Lang!$A$155</f>
        <v>Trade receivables</v>
      </c>
      <c r="B103" s="6">
        <f>'94'!F69</f>
        <v>0</v>
      </c>
      <c r="C103" s="6">
        <f>'94'!G69</f>
        <v>0</v>
      </c>
      <c r="D103" s="6">
        <f>'94'!H69</f>
        <v>0</v>
      </c>
      <c r="E103" s="6">
        <f>'94'!I69</f>
        <v>0</v>
      </c>
      <c r="F103" s="6">
        <f>'94'!J69</f>
        <v>0</v>
      </c>
      <c r="G103" s="6">
        <f>'94'!K69</f>
        <v>0</v>
      </c>
      <c r="H103" s="6">
        <f>'94'!L69</f>
        <v>0</v>
      </c>
      <c r="I103" s="7">
        <f>'94'!M69</f>
        <v>0</v>
      </c>
      <c r="K103" s="31" t="str">
        <f>Lang!$A$168</f>
        <v>Internet 1</v>
      </c>
      <c r="L103" s="348" t="e">
        <f ca="1">AI103*'94'!F45</f>
        <v>#VALUE!</v>
      </c>
      <c r="M103" s="348" t="e">
        <f ca="1">AJ103*'94'!G45</f>
        <v>#VALUE!</v>
      </c>
      <c r="N103" s="348" t="e">
        <f ca="1">AK103*'94'!H45</f>
        <v>#VALUE!</v>
      </c>
      <c r="O103" s="348" t="e">
        <f ca="1">AL103*'94'!I45</f>
        <v>#VALUE!</v>
      </c>
      <c r="P103" s="348" t="e">
        <f ca="1">AM103*'94'!J45</f>
        <v>#VALUE!</v>
      </c>
      <c r="Q103" s="348" t="e">
        <f ca="1">AN103*'94'!K45</f>
        <v>#VALUE!</v>
      </c>
      <c r="R103" s="348" t="e">
        <f ca="1">AO103*'94'!L45</f>
        <v>#VALUE!</v>
      </c>
      <c r="S103" s="348" t="e">
        <f ca="1">AP103*'94'!M45</f>
        <v>#VALUE!</v>
      </c>
      <c r="T103" s="520" t="e">
        <f t="shared" ca="1" si="76"/>
        <v>#VALUE!</v>
      </c>
      <c r="V103" s="31" t="str">
        <f>Lang!$A$168</f>
        <v>Internet 1</v>
      </c>
      <c r="W103" s="349">
        <f>IF('95'!$A$331=1,SUBSTITUTE('94'!F93,".",",")*1,0)</f>
        <v>0</v>
      </c>
      <c r="X103" s="350">
        <f>IF('95'!$A$331=1,SUBSTITUTE('94'!G93,".",",")*1,0)</f>
        <v>0</v>
      </c>
      <c r="Y103" s="350">
        <f>IF('95'!$A$331=1,SUBSTITUTE('94'!H93,".",",")*1,0)</f>
        <v>0</v>
      </c>
      <c r="Z103" s="350">
        <f>IF('95'!$A$331=1,SUBSTITUTE('94'!I93,".",",")*1,0)</f>
        <v>0</v>
      </c>
      <c r="AA103" s="350">
        <f>IF('95'!$A$331=1,SUBSTITUTE('94'!J93,".",",")*1,0)</f>
        <v>0</v>
      </c>
      <c r="AB103" s="350">
        <f>IF('95'!$A$331=1,SUBSTITUTE('94'!K93,".",",")*1,0)</f>
        <v>0</v>
      </c>
      <c r="AC103" s="350">
        <f>IF('95'!$A$331=1,SUBSTITUTE('94'!L93,".",",")*1,0)</f>
        <v>0</v>
      </c>
      <c r="AD103" s="351">
        <f>IF('95'!$A$331=1,SUBSTITUTE('94'!M93,".",",")*1,0)</f>
        <v>0</v>
      </c>
      <c r="AE103" s="335">
        <f t="shared" si="67"/>
        <v>0</v>
      </c>
      <c r="AG103" s="31" t="str">
        <f>Lang!$A$168</f>
        <v>Internet 1</v>
      </c>
      <c r="AH103" s="337" t="e">
        <f ca="1">IF(SUBSTITUTE(OFFSET('94'!E93,,'91'!$O$5),".",",")&gt;0,'92'!U24/SUBSTITUTE(OFFSET('94'!E93,,'91'!$O$5),".",","),0)</f>
        <v>#VALUE!</v>
      </c>
      <c r="AI103" s="352" t="e">
        <f t="shared" ca="1" si="77"/>
        <v>#VALUE!</v>
      </c>
      <c r="AJ103" s="348" t="e">
        <f t="shared" ca="1" si="68"/>
        <v>#VALUE!</v>
      </c>
      <c r="AK103" s="348" t="e">
        <f t="shared" ca="1" si="69"/>
        <v>#VALUE!</v>
      </c>
      <c r="AL103" s="348" t="e">
        <f t="shared" ca="1" si="70"/>
        <v>#VALUE!</v>
      </c>
      <c r="AM103" s="348" t="e">
        <f t="shared" ca="1" si="71"/>
        <v>#VALUE!</v>
      </c>
      <c r="AN103" s="348" t="e">
        <f t="shared" ca="1" si="72"/>
        <v>#VALUE!</v>
      </c>
      <c r="AO103" s="348" t="e">
        <f t="shared" ca="1" si="73"/>
        <v>#VALUE!</v>
      </c>
      <c r="AP103" s="353" t="e">
        <f t="shared" ca="1" si="74"/>
        <v>#VALUE!</v>
      </c>
      <c r="AQ103" s="139" t="e">
        <f t="shared" ca="1" si="75"/>
        <v>#VALUE!</v>
      </c>
      <c r="AR103" s="95"/>
    </row>
    <row r="104" spans="1:44" x14ac:dyDescent="0.25">
      <c r="A104" s="13" t="str">
        <f>Lang!$A$156</f>
        <v>Cash and cash equivalents</v>
      </c>
      <c r="B104" s="6">
        <f>'94'!F70</f>
        <v>0</v>
      </c>
      <c r="C104" s="6">
        <f>'94'!G70</f>
        <v>0</v>
      </c>
      <c r="D104" s="6">
        <f>'94'!H70</f>
        <v>0</v>
      </c>
      <c r="E104" s="6">
        <f>'94'!I70</f>
        <v>0</v>
      </c>
      <c r="F104" s="6">
        <f>'94'!J70</f>
        <v>0</v>
      </c>
      <c r="G104" s="6">
        <f>'94'!K70</f>
        <v>0</v>
      </c>
      <c r="H104" s="6">
        <f>'94'!L70</f>
        <v>0</v>
      </c>
      <c r="I104" s="7">
        <f>'94'!M70</f>
        <v>0</v>
      </c>
      <c r="K104" s="347" t="str">
        <f>Lang!$A$169</f>
        <v>Europe 2</v>
      </c>
      <c r="L104" s="348" t="e">
        <f ca="1">AI104*'94'!F46</f>
        <v>#VALUE!</v>
      </c>
      <c r="M104" s="348" t="e">
        <f ca="1">AJ104*'94'!G46</f>
        <v>#VALUE!</v>
      </c>
      <c r="N104" s="348" t="e">
        <f ca="1">AK104*'94'!H46</f>
        <v>#VALUE!</v>
      </c>
      <c r="O104" s="348" t="e">
        <f ca="1">AL104*'94'!I46</f>
        <v>#VALUE!</v>
      </c>
      <c r="P104" s="348" t="e">
        <f ca="1">AM104*'94'!J46</f>
        <v>#VALUE!</v>
      </c>
      <c r="Q104" s="348" t="e">
        <f ca="1">AN104*'94'!K46</f>
        <v>#VALUE!</v>
      </c>
      <c r="R104" s="348" t="e">
        <f ca="1">AO104*'94'!L46</f>
        <v>#VALUE!</v>
      </c>
      <c r="S104" s="348" t="e">
        <f ca="1">AP104*'94'!M46</f>
        <v>#VALUE!</v>
      </c>
      <c r="T104" s="520" t="e">
        <f t="shared" ca="1" si="76"/>
        <v>#VALUE!</v>
      </c>
      <c r="V104" s="347" t="str">
        <f>Lang!$A$169</f>
        <v>Europe 2</v>
      </c>
      <c r="W104" s="349">
        <f>IF('95'!$A$331=1,SUBSTITUTE('94'!F94,".",",")*1,0)</f>
        <v>0</v>
      </c>
      <c r="X104" s="350">
        <f>IF('95'!$A$331=1,SUBSTITUTE('94'!G94,".",",")*1,0)</f>
        <v>0</v>
      </c>
      <c r="Y104" s="350">
        <f>IF('95'!$A$331=1,SUBSTITUTE('94'!H94,".",",")*1,0)</f>
        <v>0</v>
      </c>
      <c r="Z104" s="350">
        <f>IF('95'!$A$331=1,SUBSTITUTE('94'!I94,".",",")*1,0)</f>
        <v>0</v>
      </c>
      <c r="AA104" s="350">
        <f>IF('95'!$A$331=1,SUBSTITUTE('94'!J94,".",",")*1,0)</f>
        <v>0</v>
      </c>
      <c r="AB104" s="350">
        <f>IF('95'!$A$331=1,SUBSTITUTE('94'!K94,".",",")*1,0)</f>
        <v>0</v>
      </c>
      <c r="AC104" s="350">
        <f>IF('95'!$A$331=1,SUBSTITUTE('94'!L94,".",",")*1,0)</f>
        <v>0</v>
      </c>
      <c r="AD104" s="351">
        <f>IF('95'!$A$331=1,SUBSTITUTE('94'!M94,".",",")*1,0)</f>
        <v>0</v>
      </c>
      <c r="AE104" s="335">
        <f t="shared" si="67"/>
        <v>0</v>
      </c>
      <c r="AG104" s="347" t="str">
        <f>Lang!$A$169</f>
        <v>Europe 2</v>
      </c>
      <c r="AH104" s="337" t="e">
        <f ca="1">IF(SUBSTITUTE(OFFSET('94'!E94,,'91'!$O$5),".",",")&gt;0,'92'!W22/SUBSTITUTE(OFFSET('94'!E94,,'91'!$O$5),".",","),0)</f>
        <v>#VALUE!</v>
      </c>
      <c r="AI104" s="352" t="e">
        <f t="shared" ca="1" si="77"/>
        <v>#VALUE!</v>
      </c>
      <c r="AJ104" s="348" t="e">
        <f t="shared" ca="1" si="68"/>
        <v>#VALUE!</v>
      </c>
      <c r="AK104" s="348" t="e">
        <f t="shared" ca="1" si="69"/>
        <v>#VALUE!</v>
      </c>
      <c r="AL104" s="348" t="e">
        <f t="shared" ca="1" si="70"/>
        <v>#VALUE!</v>
      </c>
      <c r="AM104" s="348" t="e">
        <f t="shared" ca="1" si="71"/>
        <v>#VALUE!</v>
      </c>
      <c r="AN104" s="348" t="e">
        <f t="shared" ca="1" si="72"/>
        <v>#VALUE!</v>
      </c>
      <c r="AO104" s="348" t="e">
        <f t="shared" ca="1" si="73"/>
        <v>#VALUE!</v>
      </c>
      <c r="AP104" s="353" t="e">
        <f t="shared" ca="1" si="74"/>
        <v>#VALUE!</v>
      </c>
      <c r="AQ104" s="139" t="e">
        <f t="shared" ca="1" si="75"/>
        <v>#VALUE!</v>
      </c>
      <c r="AR104" s="95"/>
    </row>
    <row r="105" spans="1:44" x14ac:dyDescent="0.25">
      <c r="A105" s="31" t="str">
        <f>Lang!$A$85</f>
        <v>Dividends</v>
      </c>
      <c r="B105" s="6">
        <f>'94'!F38*B85/100</f>
        <v>0</v>
      </c>
      <c r="C105" s="6">
        <f>'94'!G38*C85/100</f>
        <v>0</v>
      </c>
      <c r="D105" s="6">
        <f>'94'!H38*D85/100</f>
        <v>0</v>
      </c>
      <c r="E105" s="6">
        <f>'94'!I38*E85/100</f>
        <v>0</v>
      </c>
      <c r="F105" s="6">
        <f>'94'!J38*F85/100</f>
        <v>0</v>
      </c>
      <c r="G105" s="6">
        <f>'94'!K38*G85/100</f>
        <v>0</v>
      </c>
      <c r="H105" s="6">
        <f>'94'!L38*H85/100</f>
        <v>0</v>
      </c>
      <c r="I105" s="7" t="e">
        <f>'94'!M38*I85/100</f>
        <v>#VALUE!</v>
      </c>
      <c r="K105" s="13" t="str">
        <f>Lang!$A$147</f>
        <v>Nafta 2</v>
      </c>
      <c r="L105" s="348" t="e">
        <f ca="1">AI105*'94'!F47</f>
        <v>#VALUE!</v>
      </c>
      <c r="M105" s="348" t="e">
        <f ca="1">AJ105*'94'!G47</f>
        <v>#VALUE!</v>
      </c>
      <c r="N105" s="348" t="e">
        <f ca="1">AK105*'94'!H47</f>
        <v>#VALUE!</v>
      </c>
      <c r="O105" s="348" t="e">
        <f ca="1">AL105*'94'!I47</f>
        <v>#VALUE!</v>
      </c>
      <c r="P105" s="348" t="e">
        <f ca="1">AM105*'94'!J47</f>
        <v>#VALUE!</v>
      </c>
      <c r="Q105" s="348" t="e">
        <f ca="1">AN105*'94'!K47</f>
        <v>#VALUE!</v>
      </c>
      <c r="R105" s="348" t="e">
        <f ca="1">AO105*'94'!L47</f>
        <v>#VALUE!</v>
      </c>
      <c r="S105" s="348" t="e">
        <f ca="1">AP105*'94'!M47</f>
        <v>#VALUE!</v>
      </c>
      <c r="T105" s="520" t="e">
        <f t="shared" ca="1" si="76"/>
        <v>#VALUE!</v>
      </c>
      <c r="V105" s="13" t="str">
        <f>Lang!$A$147</f>
        <v>Nafta 2</v>
      </c>
      <c r="W105" s="349">
        <f>IF('95'!$A$331=1,SUBSTITUTE('94'!F95,".",",")*1,0)</f>
        <v>0</v>
      </c>
      <c r="X105" s="350">
        <f>IF('95'!$A$331=1,SUBSTITUTE('94'!G95,".",",")*1,0)</f>
        <v>0</v>
      </c>
      <c r="Y105" s="350">
        <f>IF('95'!$A$331=1,SUBSTITUTE('94'!H95,".",",")*1,0)</f>
        <v>0</v>
      </c>
      <c r="Z105" s="350">
        <f>IF('95'!$A$331=1,SUBSTITUTE('94'!I95,".",",")*1,0)</f>
        <v>0</v>
      </c>
      <c r="AA105" s="350">
        <f>IF('95'!$A$331=1,SUBSTITUTE('94'!J95,".",",")*1,0)</f>
        <v>0</v>
      </c>
      <c r="AB105" s="350">
        <f>IF('95'!$A$331=1,SUBSTITUTE('94'!K95,".",",")*1,0)</f>
        <v>0</v>
      </c>
      <c r="AC105" s="350">
        <f>IF('95'!$A$331=1,SUBSTITUTE('94'!L95,".",",")*1,0)</f>
        <v>0</v>
      </c>
      <c r="AD105" s="351">
        <f>IF('95'!$A$331=1,SUBSTITUTE('94'!M95,".",",")*1,0)</f>
        <v>0</v>
      </c>
      <c r="AE105" s="335">
        <f t="shared" si="67"/>
        <v>0</v>
      </c>
      <c r="AG105" s="13" t="str">
        <f>Lang!$A$147</f>
        <v>Nafta 2</v>
      </c>
      <c r="AH105" s="337" t="e">
        <f ca="1">IF(SUBSTITUTE(OFFSET('94'!E95,,'91'!$O$5),".",",")&gt;0,'92'!W23/SUBSTITUTE(OFFSET('94'!E95,,'91'!$O$5),".",","),0)</f>
        <v>#VALUE!</v>
      </c>
      <c r="AI105" s="352" t="e">
        <f t="shared" ca="1" si="77"/>
        <v>#VALUE!</v>
      </c>
      <c r="AJ105" s="348" t="e">
        <f t="shared" ca="1" si="68"/>
        <v>#VALUE!</v>
      </c>
      <c r="AK105" s="348" t="e">
        <f t="shared" ca="1" si="69"/>
        <v>#VALUE!</v>
      </c>
      <c r="AL105" s="348" t="e">
        <f t="shared" ca="1" si="70"/>
        <v>#VALUE!</v>
      </c>
      <c r="AM105" s="348" t="e">
        <f t="shared" ca="1" si="71"/>
        <v>#VALUE!</v>
      </c>
      <c r="AN105" s="348" t="e">
        <f t="shared" ca="1" si="72"/>
        <v>#VALUE!</v>
      </c>
      <c r="AO105" s="348" t="e">
        <f t="shared" ca="1" si="73"/>
        <v>#VALUE!</v>
      </c>
      <c r="AP105" s="353" t="e">
        <f t="shared" ca="1" si="74"/>
        <v>#VALUE!</v>
      </c>
      <c r="AQ105" s="139" t="e">
        <f t="shared" ca="1" si="75"/>
        <v>#VALUE!</v>
      </c>
      <c r="AR105" s="95"/>
    </row>
    <row r="106" spans="1:44" x14ac:dyDescent="0.25">
      <c r="A106" s="31" t="str">
        <f>Lang!$A$157</f>
        <v>Tax assessed and due</v>
      </c>
      <c r="B106" s="6">
        <f>IF($A99=4,'94'!F$73,0)</f>
        <v>0</v>
      </c>
      <c r="C106" s="6">
        <f>IF($A99=4,'94'!G$73,0)</f>
        <v>0</v>
      </c>
      <c r="D106" s="6">
        <f>IF($A99=4,'94'!H$73,0)</f>
        <v>0</v>
      </c>
      <c r="E106" s="6">
        <f>IF($A99=4,'94'!I$73,0)</f>
        <v>0</v>
      </c>
      <c r="F106" s="6">
        <f>IF($A99=4,'94'!J$73,0)</f>
        <v>0</v>
      </c>
      <c r="G106" s="6">
        <f>IF($A99=4,'94'!K$73,0)</f>
        <v>0</v>
      </c>
      <c r="H106" s="6">
        <f>IF($A99=4,'94'!L$73,0)</f>
        <v>0</v>
      </c>
      <c r="I106" s="7">
        <f>IF($A99=4,'94'!M$73,0)</f>
        <v>0</v>
      </c>
      <c r="K106" s="31" t="str">
        <f>Lang!$A$170</f>
        <v>Internet 2</v>
      </c>
      <c r="L106" s="348" t="e">
        <f ca="1">AI106*'94'!F48</f>
        <v>#VALUE!</v>
      </c>
      <c r="M106" s="348" t="e">
        <f ca="1">AJ106*'94'!G48</f>
        <v>#VALUE!</v>
      </c>
      <c r="N106" s="348" t="e">
        <f ca="1">AK106*'94'!H48</f>
        <v>#VALUE!</v>
      </c>
      <c r="O106" s="348" t="e">
        <f ca="1">AL106*'94'!I48</f>
        <v>#VALUE!</v>
      </c>
      <c r="P106" s="348" t="e">
        <f ca="1">AM106*'94'!J48</f>
        <v>#VALUE!</v>
      </c>
      <c r="Q106" s="348" t="e">
        <f ca="1">AN106*'94'!K48</f>
        <v>#VALUE!</v>
      </c>
      <c r="R106" s="348" t="e">
        <f ca="1">AO106*'94'!L48</f>
        <v>#VALUE!</v>
      </c>
      <c r="S106" s="348" t="e">
        <f ca="1">AP106*'94'!M48</f>
        <v>#VALUE!</v>
      </c>
      <c r="T106" s="520" t="e">
        <f t="shared" ca="1" si="76"/>
        <v>#VALUE!</v>
      </c>
      <c r="V106" s="31" t="str">
        <f>Lang!$A$170</f>
        <v>Internet 2</v>
      </c>
      <c r="W106" s="349">
        <f>IF('95'!$A$331=1,SUBSTITUTE('94'!F96,".",",")*1,0)</f>
        <v>0</v>
      </c>
      <c r="X106" s="350">
        <f>IF('95'!$A$331=1,SUBSTITUTE('94'!G96,".",",")*1,0)</f>
        <v>0</v>
      </c>
      <c r="Y106" s="350">
        <f>IF('95'!$A$331=1,SUBSTITUTE('94'!H96,".",",")*1,0)</f>
        <v>0</v>
      </c>
      <c r="Z106" s="350">
        <f>IF('95'!$A$331=1,SUBSTITUTE('94'!I96,".",",")*1,0)</f>
        <v>0</v>
      </c>
      <c r="AA106" s="350">
        <f>IF('95'!$A$331=1,SUBSTITUTE('94'!J96,".",",")*1,0)</f>
        <v>0</v>
      </c>
      <c r="AB106" s="350">
        <f>IF('95'!$A$331=1,SUBSTITUTE('94'!K96,".",",")*1,0)</f>
        <v>0</v>
      </c>
      <c r="AC106" s="350">
        <f>IF('95'!$A$331=1,SUBSTITUTE('94'!L96,".",",")*1,0)</f>
        <v>0</v>
      </c>
      <c r="AD106" s="351">
        <f>IF('95'!$A$331=1,SUBSTITUTE('94'!M96,".",",")*1,0)</f>
        <v>0</v>
      </c>
      <c r="AE106" s="335">
        <f t="shared" si="67"/>
        <v>0</v>
      </c>
      <c r="AG106" s="31" t="str">
        <f>Lang!$A$170</f>
        <v>Internet 2</v>
      </c>
      <c r="AH106" s="337" t="e">
        <f ca="1">IF(SUBSTITUTE(OFFSET('94'!E96,,'91'!$O$5),".",",")&gt;0,'92'!W24/SUBSTITUTE(OFFSET('94'!E96,,'91'!$O$5),".",","),0)</f>
        <v>#VALUE!</v>
      </c>
      <c r="AI106" s="352" t="e">
        <f t="shared" ca="1" si="77"/>
        <v>#VALUE!</v>
      </c>
      <c r="AJ106" s="348" t="e">
        <f t="shared" ca="1" si="68"/>
        <v>#VALUE!</v>
      </c>
      <c r="AK106" s="348" t="e">
        <f t="shared" ca="1" si="69"/>
        <v>#VALUE!</v>
      </c>
      <c r="AL106" s="348" t="e">
        <f t="shared" ca="1" si="70"/>
        <v>#VALUE!</v>
      </c>
      <c r="AM106" s="348" t="e">
        <f t="shared" ca="1" si="71"/>
        <v>#VALUE!</v>
      </c>
      <c r="AN106" s="348" t="e">
        <f t="shared" ca="1" si="72"/>
        <v>#VALUE!</v>
      </c>
      <c r="AO106" s="348" t="e">
        <f t="shared" ca="1" si="73"/>
        <v>#VALUE!</v>
      </c>
      <c r="AP106" s="353" t="e">
        <f t="shared" ca="1" si="74"/>
        <v>#VALUE!</v>
      </c>
      <c r="AQ106" s="139" t="e">
        <f t="shared" ca="1" si="75"/>
        <v>#VALUE!</v>
      </c>
      <c r="AR106" s="95"/>
    </row>
    <row r="107" spans="1:44" x14ac:dyDescent="0.25">
      <c r="A107" s="31" t="str">
        <f>Lang!$A$126</f>
        <v>Current liabilities</v>
      </c>
      <c r="B107" s="148">
        <f>'94'!F74</f>
        <v>0</v>
      </c>
      <c r="C107" s="148">
        <f>'94'!G74</f>
        <v>0</v>
      </c>
      <c r="D107" s="148">
        <f>'94'!H74</f>
        <v>0</v>
      </c>
      <c r="E107" s="148">
        <f>'94'!I74</f>
        <v>0</v>
      </c>
      <c r="F107" s="148">
        <f>'94'!J74</f>
        <v>0</v>
      </c>
      <c r="G107" s="148">
        <f>'94'!K74</f>
        <v>0</v>
      </c>
      <c r="H107" s="148">
        <f>'94'!L74</f>
        <v>0</v>
      </c>
      <c r="I107" s="24">
        <f>'94'!M74</f>
        <v>0</v>
      </c>
      <c r="K107" s="347" t="str">
        <f>Lang!$A$171</f>
        <v>Europe 3</v>
      </c>
      <c r="L107" s="348" t="e">
        <f ca="1">AI107*'94'!F49</f>
        <v>#VALUE!</v>
      </c>
      <c r="M107" s="348" t="e">
        <f ca="1">AJ107*'94'!G49</f>
        <v>#VALUE!</v>
      </c>
      <c r="N107" s="348" t="e">
        <f ca="1">AK107*'94'!H49</f>
        <v>#VALUE!</v>
      </c>
      <c r="O107" s="348" t="e">
        <f ca="1">AL107*'94'!I49</f>
        <v>#VALUE!</v>
      </c>
      <c r="P107" s="348" t="e">
        <f ca="1">AM107*'94'!J49</f>
        <v>#VALUE!</v>
      </c>
      <c r="Q107" s="348" t="e">
        <f ca="1">AN107*'94'!K49</f>
        <v>#VALUE!</v>
      </c>
      <c r="R107" s="348" t="e">
        <f ca="1">AO107*'94'!L49</f>
        <v>#VALUE!</v>
      </c>
      <c r="S107" s="348" t="e">
        <f ca="1">AP107*'94'!M49</f>
        <v>#VALUE!</v>
      </c>
      <c r="T107" s="520" t="e">
        <f t="shared" ca="1" si="76"/>
        <v>#VALUE!</v>
      </c>
      <c r="V107" s="347" t="str">
        <f>Lang!$A$171</f>
        <v>Europe 3</v>
      </c>
      <c r="W107" s="349">
        <f>IF('95'!$A$331=1,SUBSTITUTE('94'!F97,".",",")*1,0)</f>
        <v>0</v>
      </c>
      <c r="X107" s="350">
        <f>IF('95'!$A$331=1,SUBSTITUTE('94'!G97,".",",")*1,0)</f>
        <v>0</v>
      </c>
      <c r="Y107" s="350">
        <f>IF('95'!$A$331=1,SUBSTITUTE('94'!H97,".",",")*1,0)</f>
        <v>0</v>
      </c>
      <c r="Z107" s="350">
        <f>IF('95'!$A$331=1,SUBSTITUTE('94'!I97,".",",")*1,0)</f>
        <v>0</v>
      </c>
      <c r="AA107" s="350">
        <f>IF('95'!$A$331=1,SUBSTITUTE('94'!J97,".",",")*1,0)</f>
        <v>0</v>
      </c>
      <c r="AB107" s="350">
        <f>IF('95'!$A$331=1,SUBSTITUTE('94'!K97,".",",")*1,0)</f>
        <v>0</v>
      </c>
      <c r="AC107" s="350">
        <f>IF('95'!$A$331=1,SUBSTITUTE('94'!L97,".",",")*1,0)</f>
        <v>0</v>
      </c>
      <c r="AD107" s="351">
        <f>IF('95'!$A$331=1,SUBSTITUTE('94'!M97,".",",")*1,0)</f>
        <v>0</v>
      </c>
      <c r="AE107" s="335">
        <f t="shared" si="67"/>
        <v>0</v>
      </c>
      <c r="AG107" s="347" t="str">
        <f>Lang!$A$171</f>
        <v>Europe 3</v>
      </c>
      <c r="AH107" s="337" t="e">
        <f ca="1">IF(SUBSTITUTE(OFFSET('94'!E97,,'91'!$O$5),".",",")&gt;0,'92'!Y22/SUBSTITUTE(OFFSET('94'!E97,,'91'!$O$5),".",","),0)</f>
        <v>#VALUE!</v>
      </c>
      <c r="AI107" s="352" t="e">
        <f t="shared" ca="1" si="77"/>
        <v>#VALUE!</v>
      </c>
      <c r="AJ107" s="348" t="e">
        <f t="shared" ca="1" si="68"/>
        <v>#VALUE!</v>
      </c>
      <c r="AK107" s="348" t="e">
        <f t="shared" ca="1" si="69"/>
        <v>#VALUE!</v>
      </c>
      <c r="AL107" s="348" t="e">
        <f t="shared" ca="1" si="70"/>
        <v>#VALUE!</v>
      </c>
      <c r="AM107" s="348" t="e">
        <f t="shared" ca="1" si="71"/>
        <v>#VALUE!</v>
      </c>
      <c r="AN107" s="348" t="e">
        <f t="shared" ca="1" si="72"/>
        <v>#VALUE!</v>
      </c>
      <c r="AO107" s="348" t="e">
        <f t="shared" ca="1" si="73"/>
        <v>#VALUE!</v>
      </c>
      <c r="AP107" s="353" t="e">
        <f t="shared" ca="1" si="74"/>
        <v>#VALUE!</v>
      </c>
      <c r="AQ107" s="139" t="e">
        <f t="shared" ca="1" si="75"/>
        <v>#VALUE!</v>
      </c>
      <c r="AR107" s="95"/>
    </row>
    <row r="108" spans="1:44" x14ac:dyDescent="0.25">
      <c r="A108" s="31" t="str">
        <f>Lang!$A$158</f>
        <v>Bank overdraft</v>
      </c>
      <c r="B108" s="148">
        <f>'94'!F75</f>
        <v>0</v>
      </c>
      <c r="C108" s="148">
        <f>'94'!G75</f>
        <v>0</v>
      </c>
      <c r="D108" s="148">
        <f>'94'!H75</f>
        <v>0</v>
      </c>
      <c r="E108" s="148">
        <f>'94'!I75</f>
        <v>0</v>
      </c>
      <c r="F108" s="148">
        <f>'94'!J75</f>
        <v>0</v>
      </c>
      <c r="G108" s="148">
        <f>'94'!K75</f>
        <v>0</v>
      </c>
      <c r="H108" s="148">
        <f>'94'!L75</f>
        <v>0</v>
      </c>
      <c r="I108" s="24">
        <f>'94'!M75</f>
        <v>0</v>
      </c>
      <c r="K108" s="13" t="str">
        <f>Lang!$A$148</f>
        <v>Nafta 3</v>
      </c>
      <c r="L108" s="348" t="e">
        <f ca="1">AI108*'94'!F50</f>
        <v>#VALUE!</v>
      </c>
      <c r="M108" s="348" t="e">
        <f ca="1">AJ108*'94'!G50</f>
        <v>#VALUE!</v>
      </c>
      <c r="N108" s="348" t="e">
        <f ca="1">AK108*'94'!H50</f>
        <v>#VALUE!</v>
      </c>
      <c r="O108" s="348" t="e">
        <f ca="1">AL108*'94'!I50</f>
        <v>#VALUE!</v>
      </c>
      <c r="P108" s="348" t="e">
        <f ca="1">AM108*'94'!J50</f>
        <v>#VALUE!</v>
      </c>
      <c r="Q108" s="348" t="e">
        <f ca="1">AN108*'94'!K50</f>
        <v>#VALUE!</v>
      </c>
      <c r="R108" s="348" t="e">
        <f ca="1">AO108*'94'!L50</f>
        <v>#VALUE!</v>
      </c>
      <c r="S108" s="348" t="e">
        <f ca="1">AP108*'94'!M50</f>
        <v>#VALUE!</v>
      </c>
      <c r="T108" s="520" t="e">
        <f t="shared" ca="1" si="76"/>
        <v>#VALUE!</v>
      </c>
      <c r="V108" s="13" t="str">
        <f>Lang!$A$148</f>
        <v>Nafta 3</v>
      </c>
      <c r="W108" s="349">
        <f>IF('95'!$A$331=1,SUBSTITUTE('94'!F98,".",",")*1,0)</f>
        <v>0</v>
      </c>
      <c r="X108" s="350">
        <f>IF('95'!$A$331=1,SUBSTITUTE('94'!G98,".",",")*1,0)</f>
        <v>0</v>
      </c>
      <c r="Y108" s="350">
        <f>IF('95'!$A$331=1,SUBSTITUTE('94'!H98,".",",")*1,0)</f>
        <v>0</v>
      </c>
      <c r="Z108" s="350">
        <f>IF('95'!$A$331=1,SUBSTITUTE('94'!I98,".",",")*1,0)</f>
        <v>0</v>
      </c>
      <c r="AA108" s="350">
        <f>IF('95'!$A$331=1,SUBSTITUTE('94'!J98,".",",")*1,0)</f>
        <v>0</v>
      </c>
      <c r="AB108" s="350">
        <f>IF('95'!$A$331=1,SUBSTITUTE('94'!K98,".",",")*1,0)</f>
        <v>0</v>
      </c>
      <c r="AC108" s="350">
        <f>IF('95'!$A$331=1,SUBSTITUTE('94'!L98,".",",")*1,0)</f>
        <v>0</v>
      </c>
      <c r="AD108" s="351">
        <f>IF('95'!$A$331=1,SUBSTITUTE('94'!M98,".",",")*1,0)</f>
        <v>0</v>
      </c>
      <c r="AE108" s="335">
        <f t="shared" si="67"/>
        <v>0</v>
      </c>
      <c r="AG108" s="13" t="str">
        <f>Lang!$A$148</f>
        <v>Nafta 3</v>
      </c>
      <c r="AH108" s="337" t="e">
        <f ca="1">IF(SUBSTITUTE(OFFSET('94'!E98,,'91'!$O$5),".",",")&gt;0,'92'!Y23/SUBSTITUTE(OFFSET('94'!E98,,'91'!$O$5),".",","),0)</f>
        <v>#VALUE!</v>
      </c>
      <c r="AI108" s="352" t="e">
        <f t="shared" ca="1" si="77"/>
        <v>#VALUE!</v>
      </c>
      <c r="AJ108" s="348" t="e">
        <f t="shared" ca="1" si="68"/>
        <v>#VALUE!</v>
      </c>
      <c r="AK108" s="348" t="e">
        <f t="shared" ca="1" si="69"/>
        <v>#VALUE!</v>
      </c>
      <c r="AL108" s="348" t="e">
        <f t="shared" ca="1" si="70"/>
        <v>#VALUE!</v>
      </c>
      <c r="AM108" s="348" t="e">
        <f t="shared" ca="1" si="71"/>
        <v>#VALUE!</v>
      </c>
      <c r="AN108" s="348" t="e">
        <f t="shared" ca="1" si="72"/>
        <v>#VALUE!</v>
      </c>
      <c r="AO108" s="348" t="e">
        <f t="shared" ca="1" si="73"/>
        <v>#VALUE!</v>
      </c>
      <c r="AP108" s="353" t="e">
        <f t="shared" ca="1" si="74"/>
        <v>#VALUE!</v>
      </c>
      <c r="AQ108" s="139" t="e">
        <f t="shared" ca="1" si="75"/>
        <v>#VALUE!</v>
      </c>
      <c r="AR108" s="95"/>
    </row>
    <row r="109" spans="1:44" ht="13.8" thickBot="1" x14ac:dyDescent="0.3">
      <c r="A109" s="31" t="str">
        <f>Lang!$A$159</f>
        <v>Long term loans</v>
      </c>
      <c r="B109" s="6">
        <f>'94'!F77</f>
        <v>0</v>
      </c>
      <c r="C109" s="6">
        <f>'94'!G77</f>
        <v>0</v>
      </c>
      <c r="D109" s="6">
        <f>'94'!H77</f>
        <v>0</v>
      </c>
      <c r="E109" s="6">
        <f>'94'!I77</f>
        <v>0</v>
      </c>
      <c r="F109" s="6">
        <f>'94'!J77</f>
        <v>0</v>
      </c>
      <c r="G109" s="6">
        <f>'94'!K77</f>
        <v>0</v>
      </c>
      <c r="H109" s="6">
        <f>'94'!L77</f>
        <v>0</v>
      </c>
      <c r="I109" s="7">
        <f>'94'!M77</f>
        <v>0</v>
      </c>
      <c r="K109" s="889" t="str">
        <f>Lang!$A$172</f>
        <v>Internet 3</v>
      </c>
      <c r="L109" s="354" t="e">
        <f ca="1">AI109*'94'!F51</f>
        <v>#VALUE!</v>
      </c>
      <c r="M109" s="354" t="e">
        <f ca="1">AJ109*'94'!G51</f>
        <v>#VALUE!</v>
      </c>
      <c r="N109" s="354" t="e">
        <f ca="1">AK109*'94'!H51</f>
        <v>#VALUE!</v>
      </c>
      <c r="O109" s="354" t="e">
        <f ca="1">AL109*'94'!I51</f>
        <v>#VALUE!</v>
      </c>
      <c r="P109" s="354" t="e">
        <f ca="1">AM109*'94'!J51</f>
        <v>#VALUE!</v>
      </c>
      <c r="Q109" s="354" t="e">
        <f ca="1">AN109*'94'!K51</f>
        <v>#VALUE!</v>
      </c>
      <c r="R109" s="354" t="e">
        <f ca="1">AO109*'94'!L51</f>
        <v>#VALUE!</v>
      </c>
      <c r="S109" s="354" t="e">
        <f ca="1">AP109*'94'!M51</f>
        <v>#VALUE!</v>
      </c>
      <c r="T109" s="521" t="e">
        <f t="shared" ca="1" si="76"/>
        <v>#VALUE!</v>
      </c>
      <c r="V109" s="889" t="str">
        <f>Lang!$A$172</f>
        <v>Internet 3</v>
      </c>
      <c r="W109" s="355">
        <f>IF('95'!$A$331=1,SUBSTITUTE('94'!F99,".",",")*1,0)</f>
        <v>0</v>
      </c>
      <c r="X109" s="356">
        <f>IF('95'!$A$331=1,SUBSTITUTE('94'!G99,".",",")*1,0)</f>
        <v>0</v>
      </c>
      <c r="Y109" s="356">
        <f>IF('95'!$A$331=1,SUBSTITUTE('94'!H99,".",",")*1,0)</f>
        <v>0</v>
      </c>
      <c r="Z109" s="356">
        <f>IF('95'!$A$331=1,SUBSTITUTE('94'!I99,".",",")*1,0)</f>
        <v>0</v>
      </c>
      <c r="AA109" s="356">
        <f>IF('95'!$A$331=1,SUBSTITUTE('94'!J99,".",",")*1,0)</f>
        <v>0</v>
      </c>
      <c r="AB109" s="356">
        <f>IF('95'!$A$331=1,SUBSTITUTE('94'!K99,".",",")*1,0)</f>
        <v>0</v>
      </c>
      <c r="AC109" s="356">
        <f>IF('95'!$A$331=1,SUBSTITUTE('94'!L99,".",",")*1,0)</f>
        <v>0</v>
      </c>
      <c r="AD109" s="357">
        <f>IF('95'!$A$331=1,SUBSTITUTE('94'!M99,".",",")*1,0)</f>
        <v>0</v>
      </c>
      <c r="AE109" s="336">
        <f t="shared" si="67"/>
        <v>0</v>
      </c>
      <c r="AG109" s="889" t="str">
        <f>Lang!$A$172</f>
        <v>Internet 3</v>
      </c>
      <c r="AH109" s="338" t="e">
        <f ca="1">IF(SUBSTITUTE(OFFSET('94'!E99,,'91'!$O$5),".",",")&gt;0,'92'!Y24/SUBSTITUTE(OFFSET('94'!E99,,'91'!$O$5),".",","),0)</f>
        <v>#VALUE!</v>
      </c>
      <c r="AI109" s="358" t="e">
        <f t="shared" ca="1" si="77"/>
        <v>#VALUE!</v>
      </c>
      <c r="AJ109" s="354" t="e">
        <f t="shared" ca="1" si="68"/>
        <v>#VALUE!</v>
      </c>
      <c r="AK109" s="354" t="e">
        <f t="shared" ca="1" si="69"/>
        <v>#VALUE!</v>
      </c>
      <c r="AL109" s="354" t="e">
        <f t="shared" ca="1" si="70"/>
        <v>#VALUE!</v>
      </c>
      <c r="AM109" s="354" t="e">
        <f t="shared" ca="1" si="71"/>
        <v>#VALUE!</v>
      </c>
      <c r="AN109" s="354" t="e">
        <f t="shared" ca="1" si="72"/>
        <v>#VALUE!</v>
      </c>
      <c r="AO109" s="354" t="e">
        <f t="shared" ca="1" si="73"/>
        <v>#VALUE!</v>
      </c>
      <c r="AP109" s="359" t="e">
        <f t="shared" ca="1" si="74"/>
        <v>#VALUE!</v>
      </c>
      <c r="AQ109" s="140" t="e">
        <f t="shared" ca="1" si="75"/>
        <v>#VALUE!</v>
      </c>
      <c r="AR109" s="95"/>
    </row>
    <row r="110" spans="1:44" ht="13.8" thickBot="1" x14ac:dyDescent="0.3">
      <c r="A110" s="31" t="str">
        <f>Lang!$A$160</f>
        <v>Share capital</v>
      </c>
      <c r="B110" s="6">
        <f>'94'!F80</f>
        <v>0</v>
      </c>
      <c r="C110" s="6">
        <f>'94'!G80</f>
        <v>0</v>
      </c>
      <c r="D110" s="6">
        <f>'94'!H80</f>
        <v>0</v>
      </c>
      <c r="E110" s="6">
        <f>'94'!I80</f>
        <v>0</v>
      </c>
      <c r="F110" s="6">
        <f>'94'!J80</f>
        <v>0</v>
      </c>
      <c r="G110" s="6">
        <f>'94'!K80</f>
        <v>0</v>
      </c>
      <c r="H110" s="6">
        <f>'94'!L80</f>
        <v>0</v>
      </c>
      <c r="I110" s="7">
        <f>'94'!M80</f>
        <v>0</v>
      </c>
      <c r="T110" s="97"/>
    </row>
    <row r="111" spans="1:44" ht="13.8" thickBot="1" x14ac:dyDescent="0.3">
      <c r="A111" s="879" t="str">
        <f>Lang!$A$161</f>
        <v>Share premium account</v>
      </c>
      <c r="B111" s="6">
        <f>'94'!F81</f>
        <v>0</v>
      </c>
      <c r="C111" s="6">
        <f>'94'!G81</f>
        <v>0</v>
      </c>
      <c r="D111" s="6">
        <f>'94'!H81</f>
        <v>0</v>
      </c>
      <c r="E111" s="6">
        <f>'94'!I81</f>
        <v>0</v>
      </c>
      <c r="F111" s="6">
        <f>'94'!J81</f>
        <v>0</v>
      </c>
      <c r="G111" s="6">
        <f>'94'!K81</f>
        <v>0</v>
      </c>
      <c r="H111" s="6">
        <f>'94'!L81</f>
        <v>0</v>
      </c>
      <c r="I111" s="7">
        <f>'94'!M81</f>
        <v>0</v>
      </c>
      <c r="K111" s="92" t="str">
        <f>Lang!$A$173</f>
        <v>Revenue</v>
      </c>
      <c r="L111" s="93" t="e">
        <f t="shared" ref="L111:S111" ca="1" si="78">B113/AI111</f>
        <v>#VALUE!</v>
      </c>
      <c r="M111" s="93" t="e">
        <f t="shared" ca="1" si="78"/>
        <v>#VALUE!</v>
      </c>
      <c r="N111" s="93" t="e">
        <f t="shared" ca="1" si="78"/>
        <v>#VALUE!</v>
      </c>
      <c r="O111" s="93" t="e">
        <f t="shared" ca="1" si="78"/>
        <v>#VALUE!</v>
      </c>
      <c r="P111" s="93" t="e">
        <f t="shared" ca="1" si="78"/>
        <v>#VALUE!</v>
      </c>
      <c r="Q111" s="93" t="e">
        <f t="shared" ca="1" si="78"/>
        <v>#VALUE!</v>
      </c>
      <c r="R111" s="93" t="e">
        <f t="shared" ca="1" si="78"/>
        <v>#VALUE!</v>
      </c>
      <c r="S111" s="94" t="e">
        <f t="shared" ca="1" si="78"/>
        <v>#VALUE!</v>
      </c>
      <c r="V111" s="147" t="str">
        <f>Lang!$A$174</f>
        <v>Shares</v>
      </c>
      <c r="W111" s="142" t="e">
        <f t="shared" ref="W111:AD111" ca="1" si="79">AVERAGE(SUM(AI101:AI103)/SUM($AQ101:$AQ103),SUM(AI104:AI106)/SUM($AQ104:$AQ106),SUM(AI107:AI109)/SUM($AQ107:$AQ109))*100</f>
        <v>#VALUE!</v>
      </c>
      <c r="X111" s="142" t="e">
        <f t="shared" ca="1" si="79"/>
        <v>#VALUE!</v>
      </c>
      <c r="Y111" s="142" t="e">
        <f t="shared" ca="1" si="79"/>
        <v>#VALUE!</v>
      </c>
      <c r="Z111" s="142" t="e">
        <f t="shared" ca="1" si="79"/>
        <v>#VALUE!</v>
      </c>
      <c r="AA111" s="142" t="e">
        <f t="shared" ca="1" si="79"/>
        <v>#VALUE!</v>
      </c>
      <c r="AB111" s="142" t="e">
        <f t="shared" ca="1" si="79"/>
        <v>#VALUE!</v>
      </c>
      <c r="AC111" s="142" t="e">
        <f t="shared" ca="1" si="79"/>
        <v>#VALUE!</v>
      </c>
      <c r="AD111" s="142" t="e">
        <f t="shared" ca="1" si="79"/>
        <v>#VALUE!</v>
      </c>
      <c r="AE111" s="339" t="e">
        <f ca="1">SUM(W111:AD111)</f>
        <v>#VALUE!</v>
      </c>
      <c r="AG111" s="1144" t="str">
        <f>Lang!$A$175</f>
        <v>Amount</v>
      </c>
      <c r="AH111" s="1145"/>
      <c r="AI111" s="360" t="e">
        <f t="shared" ref="AI111:AP111" ca="1" si="80">AI101+AI102+AI103+AI104*2+AI105*2+AI106*2+AI107*3+AI108*3+AI109*3</f>
        <v>#VALUE!</v>
      </c>
      <c r="AJ111" s="360" t="e">
        <f t="shared" ca="1" si="80"/>
        <v>#VALUE!</v>
      </c>
      <c r="AK111" s="360" t="e">
        <f t="shared" ca="1" si="80"/>
        <v>#VALUE!</v>
      </c>
      <c r="AL111" s="360" t="e">
        <f t="shared" ca="1" si="80"/>
        <v>#VALUE!</v>
      </c>
      <c r="AM111" s="360" t="e">
        <f t="shared" ca="1" si="80"/>
        <v>#VALUE!</v>
      </c>
      <c r="AN111" s="360" t="e">
        <f t="shared" ca="1" si="80"/>
        <v>#VALUE!</v>
      </c>
      <c r="AO111" s="360" t="e">
        <f t="shared" ca="1" si="80"/>
        <v>#VALUE!</v>
      </c>
      <c r="AP111" s="361" t="e">
        <f t="shared" ca="1" si="80"/>
        <v>#VALUE!</v>
      </c>
      <c r="AQ111" s="340" t="e">
        <f ca="1">SUM(AI111:AP111)/AE111*100</f>
        <v>#VALUE!</v>
      </c>
    </row>
    <row r="112" spans="1:44" x14ac:dyDescent="0.25">
      <c r="A112" s="879" t="str">
        <f>Lang!$A$141</f>
        <v xml:space="preserve">Retained earnings </v>
      </c>
      <c r="B112" s="6">
        <f>'94'!F82</f>
        <v>0</v>
      </c>
      <c r="C112" s="6">
        <f>'94'!G82</f>
        <v>0</v>
      </c>
      <c r="D112" s="6">
        <f>'94'!H82</f>
        <v>0</v>
      </c>
      <c r="E112" s="6">
        <f>'94'!I82</f>
        <v>0</v>
      </c>
      <c r="F112" s="6">
        <f>'94'!J82</f>
        <v>0</v>
      </c>
      <c r="G112" s="6">
        <f>'94'!K82</f>
        <v>0</v>
      </c>
      <c r="H112" s="6">
        <f>'94'!L82</f>
        <v>0</v>
      </c>
      <c r="I112" s="7">
        <f>'94'!M82</f>
        <v>0</v>
      </c>
      <c r="K112" s="13" t="str">
        <f>Lang!$A$162</f>
        <v>Expenses</v>
      </c>
      <c r="L112" s="56" t="e">
        <f t="shared" ref="L112:S112" ca="1" si="81">B114/AI111</f>
        <v>#VALUE!</v>
      </c>
      <c r="M112" s="56" t="e">
        <f t="shared" ca="1" si="81"/>
        <v>#VALUE!</v>
      </c>
      <c r="N112" s="56" t="e">
        <f t="shared" ca="1" si="81"/>
        <v>#VALUE!</v>
      </c>
      <c r="O112" s="56" t="e">
        <f t="shared" ca="1" si="81"/>
        <v>#VALUE!</v>
      </c>
      <c r="P112" s="56" t="e">
        <f t="shared" ca="1" si="81"/>
        <v>#VALUE!</v>
      </c>
      <c r="Q112" s="56" t="e">
        <f t="shared" ca="1" si="81"/>
        <v>#VALUE!</v>
      </c>
      <c r="R112" s="56" t="e">
        <f t="shared" ca="1" si="81"/>
        <v>#VALUE!</v>
      </c>
      <c r="S112" s="57" t="e">
        <f t="shared" ca="1" si="81"/>
        <v>#VALUE!</v>
      </c>
    </row>
    <row r="113" spans="1:44" ht="13.8" thickBot="1" x14ac:dyDescent="0.3">
      <c r="A113" s="343" t="str">
        <f>Lang!$A$102</f>
        <v>Sales revenue</v>
      </c>
      <c r="B113" s="148">
        <f t="shared" ref="B113:I113" ca="1" si="82">SUMIF(L101:L109,"&gt;0")</f>
        <v>0</v>
      </c>
      <c r="C113" s="148">
        <f t="shared" ca="1" si="82"/>
        <v>0</v>
      </c>
      <c r="D113" s="148">
        <f t="shared" ca="1" si="82"/>
        <v>0</v>
      </c>
      <c r="E113" s="148">
        <f t="shared" ca="1" si="82"/>
        <v>0</v>
      </c>
      <c r="F113" s="148">
        <f t="shared" ca="1" si="82"/>
        <v>0</v>
      </c>
      <c r="G113" s="148">
        <f t="shared" ca="1" si="82"/>
        <v>0</v>
      </c>
      <c r="H113" s="148">
        <f t="shared" ca="1" si="82"/>
        <v>0</v>
      </c>
      <c r="I113" s="24">
        <f t="shared" ca="1" si="82"/>
        <v>0</v>
      </c>
      <c r="K113" s="15" t="str">
        <f>Lang!$A$145</f>
        <v>Profit</v>
      </c>
      <c r="L113" s="59" t="e">
        <f t="shared" ref="L113:S113" ca="1" si="83">L111-L112</f>
        <v>#VALUE!</v>
      </c>
      <c r="M113" s="59" t="e">
        <f t="shared" ca="1" si="83"/>
        <v>#VALUE!</v>
      </c>
      <c r="N113" s="59" t="e">
        <f t="shared" ca="1" si="83"/>
        <v>#VALUE!</v>
      </c>
      <c r="O113" s="59" t="e">
        <f t="shared" ca="1" si="83"/>
        <v>#VALUE!</v>
      </c>
      <c r="P113" s="59" t="e">
        <f t="shared" ca="1" si="83"/>
        <v>#VALUE!</v>
      </c>
      <c r="Q113" s="59" t="e">
        <f t="shared" ca="1" si="83"/>
        <v>#VALUE!</v>
      </c>
      <c r="R113" s="59" t="e">
        <f t="shared" ca="1" si="83"/>
        <v>#VALUE!</v>
      </c>
      <c r="S113" s="60" t="e">
        <f t="shared" ca="1" si="83"/>
        <v>#VALUE!</v>
      </c>
      <c r="T113" s="155"/>
    </row>
    <row r="114" spans="1:44" x14ac:dyDescent="0.25">
      <c r="A114" s="31" t="str">
        <f>Lang!$A$162</f>
        <v>Expenses</v>
      </c>
      <c r="B114" s="148">
        <f t="shared" ref="B114:I114" ca="1" si="84">B113-B115</f>
        <v>503481.00000000023</v>
      </c>
      <c r="C114" s="148">
        <f t="shared" ca="1" si="84"/>
        <v>-322008.99999999983</v>
      </c>
      <c r="D114" s="148">
        <f t="shared" ca="1" si="84"/>
        <v>-122934.99999999997</v>
      </c>
      <c r="E114" s="148">
        <f t="shared" ca="1" si="84"/>
        <v>34747.999999999854</v>
      </c>
      <c r="F114" s="148">
        <f t="shared" ca="1" si="84"/>
        <v>-195741.99999999974</v>
      </c>
      <c r="G114" s="148">
        <f t="shared" ca="1" si="84"/>
        <v>-91718.000000000116</v>
      </c>
      <c r="H114" s="148">
        <f t="shared" ca="1" si="84"/>
        <v>-61047.999999999774</v>
      </c>
      <c r="I114" s="24" t="e">
        <f t="shared" ca="1" si="84"/>
        <v>#VALUE!</v>
      </c>
    </row>
    <row r="115" spans="1:44" x14ac:dyDescent="0.25">
      <c r="A115" s="31" t="str">
        <f>Lang!$A$145</f>
        <v>Profit</v>
      </c>
      <c r="B115" s="6">
        <f t="shared" ref="B115:I115" si="85">B112-B87+B105+B106-IF(B111=0,IF(B110&lt;B85,(B110-B85)*(B92-100)/100,0),0)</f>
        <v>-503481.00000000023</v>
      </c>
      <c r="C115" s="6">
        <f t="shared" si="85"/>
        <v>322008.99999999983</v>
      </c>
      <c r="D115" s="6">
        <f t="shared" si="85"/>
        <v>122934.99999999997</v>
      </c>
      <c r="E115" s="6">
        <f t="shared" si="85"/>
        <v>-34747.999999999854</v>
      </c>
      <c r="F115" s="6">
        <f t="shared" si="85"/>
        <v>195741.99999999974</v>
      </c>
      <c r="G115" s="6">
        <f t="shared" si="85"/>
        <v>91718.000000000116</v>
      </c>
      <c r="H115" s="6">
        <f t="shared" si="85"/>
        <v>61047.999999999774</v>
      </c>
      <c r="I115" s="7" t="e">
        <f t="shared" si="85"/>
        <v>#VALUE!</v>
      </c>
    </row>
    <row r="116" spans="1:44" x14ac:dyDescent="0.25">
      <c r="A116" s="879" t="str">
        <f>Lang!$A$163</f>
        <v>Investment performance</v>
      </c>
      <c r="B116" s="6" t="e">
        <f>AVERAGEIF('94'!F$39,"&gt;0")</f>
        <v>#DIV/0!</v>
      </c>
      <c r="C116" s="6" t="e">
        <f>AVERAGEIF('94'!G$39,"&gt;0")</f>
        <v>#DIV/0!</v>
      </c>
      <c r="D116" s="6" t="e">
        <f>AVERAGEIF('94'!H$39,"&gt;0")</f>
        <v>#DIV/0!</v>
      </c>
      <c r="E116" s="6" t="e">
        <f>AVERAGEIF('94'!I$39,"&gt;0")</f>
        <v>#DIV/0!</v>
      </c>
      <c r="F116" s="6" t="e">
        <f>AVERAGEIF('94'!J$39,"&gt;0")</f>
        <v>#DIV/0!</v>
      </c>
      <c r="G116" s="6" t="e">
        <f>AVERAGEIF('94'!K$39,"&gt;0")</f>
        <v>#DIV/0!</v>
      </c>
      <c r="H116" s="6" t="e">
        <f>AVERAGEIF('94'!L$39,"&gt;0")</f>
        <v>#DIV/0!</v>
      </c>
      <c r="I116" s="7" t="e">
        <f>AVERAGEIF('94'!M$39,"&gt;0")</f>
        <v>#DIV/0!</v>
      </c>
    </row>
    <row r="117" spans="1:44" x14ac:dyDescent="0.25">
      <c r="A117" s="879" t="str">
        <f>Lang!$A$78</f>
        <v>Share price</v>
      </c>
      <c r="B117" s="28" t="e">
        <f>AVERAGEIF('94'!F$35,"&gt;0")</f>
        <v>#DIV/0!</v>
      </c>
      <c r="C117" s="28" t="e">
        <f>AVERAGEIF('94'!G$35,"&gt;0")</f>
        <v>#DIV/0!</v>
      </c>
      <c r="D117" s="28" t="e">
        <f>AVERAGEIF('94'!H$35,"&gt;0")</f>
        <v>#DIV/0!</v>
      </c>
      <c r="E117" s="28" t="e">
        <f>AVERAGEIF('94'!I$35,"&gt;0")</f>
        <v>#DIV/0!</v>
      </c>
      <c r="F117" s="28" t="e">
        <f>AVERAGEIF('94'!J$35,"&gt;0")</f>
        <v>#DIV/0!</v>
      </c>
      <c r="G117" s="28" t="e">
        <f>AVERAGEIF('94'!K$35,"&gt;0")</f>
        <v>#DIV/0!</v>
      </c>
      <c r="H117" s="28" t="e">
        <f>AVERAGEIF('94'!L$35,"&gt;0")</f>
        <v>#DIV/0!</v>
      </c>
      <c r="I117" s="341" t="e">
        <f>AVERAGEIF('94'!M$35,"&gt;0")</f>
        <v>#DIV/0!</v>
      </c>
      <c r="M117" s="23"/>
      <c r="N117" s="23"/>
      <c r="O117" s="23"/>
      <c r="P117" s="23"/>
      <c r="Q117" s="23"/>
      <c r="R117" s="23"/>
    </row>
    <row r="118" spans="1:44" x14ac:dyDescent="0.25">
      <c r="A118" s="879" t="str">
        <f>Lang!$A$164</f>
        <v>Goodwill</v>
      </c>
      <c r="B118" s="28" t="e">
        <f t="shared" ref="B118:I118" si="86">B117/(B100/B110)</f>
        <v>#DIV/0!</v>
      </c>
      <c r="C118" s="28" t="e">
        <f t="shared" si="86"/>
        <v>#DIV/0!</v>
      </c>
      <c r="D118" s="28" t="e">
        <f t="shared" si="86"/>
        <v>#DIV/0!</v>
      </c>
      <c r="E118" s="28" t="e">
        <f>E117/(E100/E110)</f>
        <v>#DIV/0!</v>
      </c>
      <c r="F118" s="28" t="e">
        <f t="shared" si="86"/>
        <v>#DIV/0!</v>
      </c>
      <c r="G118" s="28" t="e">
        <f t="shared" si="86"/>
        <v>#DIV/0!</v>
      </c>
      <c r="H118" s="28" t="e">
        <f t="shared" si="86"/>
        <v>#DIV/0!</v>
      </c>
      <c r="I118" s="341" t="e">
        <f t="shared" si="86"/>
        <v>#DIV/0!</v>
      </c>
      <c r="L118" s="155"/>
      <c r="M118" s="155"/>
      <c r="N118" s="155"/>
      <c r="O118" s="155"/>
      <c r="P118" s="155"/>
      <c r="Q118" s="155"/>
      <c r="R118" s="155"/>
      <c r="S118" s="155"/>
      <c r="T118" s="155"/>
    </row>
    <row r="119" spans="1:44" x14ac:dyDescent="0.25">
      <c r="A119" s="879" t="str">
        <f>Lang!$A$84</f>
        <v>Market shares</v>
      </c>
      <c r="B119" s="143" t="e">
        <f t="shared" ref="B119:I119" ca="1" si="87">AVERAGEIF(W111,"&gt;0")</f>
        <v>#DIV/0!</v>
      </c>
      <c r="C119" s="143" t="e">
        <f t="shared" ca="1" si="87"/>
        <v>#DIV/0!</v>
      </c>
      <c r="D119" s="143" t="e">
        <f t="shared" ca="1" si="87"/>
        <v>#DIV/0!</v>
      </c>
      <c r="E119" s="143" t="e">
        <f t="shared" ca="1" si="87"/>
        <v>#DIV/0!</v>
      </c>
      <c r="F119" s="143" t="e">
        <f t="shared" ca="1" si="87"/>
        <v>#DIV/0!</v>
      </c>
      <c r="G119" s="143" t="e">
        <f t="shared" ca="1" si="87"/>
        <v>#DIV/0!</v>
      </c>
      <c r="H119" s="143" t="e">
        <f t="shared" ca="1" si="87"/>
        <v>#DIV/0!</v>
      </c>
      <c r="I119" s="144" t="e">
        <f t="shared" ca="1" si="87"/>
        <v>#DIV/0!</v>
      </c>
      <c r="L119" s="155"/>
      <c r="M119" s="155"/>
      <c r="N119" s="155"/>
      <c r="Q119" s="155"/>
      <c r="R119" s="155"/>
      <c r="S119" s="155"/>
      <c r="T119" s="155"/>
    </row>
    <row r="120" spans="1:44" x14ac:dyDescent="0.25">
      <c r="A120" s="879" t="str">
        <f>Lang!$A$74</f>
        <v>Prices</v>
      </c>
      <c r="B120" s="63" t="e">
        <f>AVERAGEIF('94'!F$43:F$51,"&gt;0")/AVERAGEIF('94'!$F$43:$M$51,"&gt;0")-1</f>
        <v>#DIV/0!</v>
      </c>
      <c r="C120" s="63" t="e">
        <f>AVERAGEIF('94'!G$43:G$51,"&gt;0")/AVERAGEIF('94'!$F$43:$M$51,"&gt;0")-1</f>
        <v>#DIV/0!</v>
      </c>
      <c r="D120" s="63" t="e">
        <f>AVERAGEIF('94'!H$43:H$51,"&gt;0")/AVERAGEIF('94'!$F$43:$M$51,"&gt;0")-1</f>
        <v>#DIV/0!</v>
      </c>
      <c r="E120" s="63" t="e">
        <f>AVERAGEIF('94'!I$43:I$51,"&gt;0")/AVERAGEIF('94'!$F$43:$M$51,"&gt;0")-1</f>
        <v>#DIV/0!</v>
      </c>
      <c r="F120" s="63" t="e">
        <f>AVERAGEIF('94'!J$43:J$51,"&gt;0")/AVERAGEIF('94'!$F$43:$M$51,"&gt;0")-1</f>
        <v>#DIV/0!</v>
      </c>
      <c r="G120" s="63" t="e">
        <f>AVERAGEIF('94'!K$43:K$51,"&gt;0")/AVERAGEIF('94'!$F$43:$M$51,"&gt;0")-1</f>
        <v>#DIV/0!</v>
      </c>
      <c r="H120" s="63" t="e">
        <f>AVERAGEIF('94'!L$43:L$51,"&gt;0")/AVERAGEIF('94'!$F$43:$M$51,"&gt;0")-1</f>
        <v>#DIV/0!</v>
      </c>
      <c r="I120" s="64" t="e">
        <f>AVERAGEIF('94'!M$43:M$51,"&gt;0")/AVERAGEIF('94'!$F$43:$M$51,"&gt;0")-1</f>
        <v>#DIV/0!</v>
      </c>
      <c r="L120" s="155"/>
      <c r="M120" s="155"/>
      <c r="N120" s="155"/>
      <c r="O120" s="155"/>
      <c r="P120" s="155"/>
      <c r="Q120" s="155"/>
      <c r="R120" s="155"/>
      <c r="S120" s="155"/>
      <c r="T120" s="155"/>
    </row>
    <row r="121" spans="1:44" x14ac:dyDescent="0.25">
      <c r="A121" s="879" t="str">
        <f>Lang!$A$38</f>
        <v>Advertising</v>
      </c>
      <c r="B121" s="63" t="e">
        <f>AVERAGEIF('94'!F$104,"&gt;0")/AVERAGEIF('94'!$F$104:$M$104,"&gt;0")-1</f>
        <v>#DIV/0!</v>
      </c>
      <c r="C121" s="63" t="e">
        <f>AVERAGEIF('94'!G$104,"&gt;0")/AVERAGEIF('94'!$F$104:$M$104,"&gt;0")-1</f>
        <v>#DIV/0!</v>
      </c>
      <c r="D121" s="63" t="e">
        <f>AVERAGEIF('94'!H$104,"&gt;0")/AVERAGEIF('94'!$F$104:$M$104,"&gt;0")-1</f>
        <v>#DIV/0!</v>
      </c>
      <c r="E121" s="63" t="e">
        <f>AVERAGEIF('94'!I$104,"&gt;0")/AVERAGEIF('94'!$F$104:$M$104,"&gt;0")-1</f>
        <v>#DIV/0!</v>
      </c>
      <c r="F121" s="63" t="e">
        <f>AVERAGEIF('94'!J$104,"&gt;0")/AVERAGEIF('94'!$F$104:$M$104,"&gt;0")-1</f>
        <v>#DIV/0!</v>
      </c>
      <c r="G121" s="63" t="e">
        <f>AVERAGEIF('94'!K$104,"&gt;0")/AVERAGEIF('94'!$F$104:$M$104,"&gt;0")-1</f>
        <v>#DIV/0!</v>
      </c>
      <c r="H121" s="63" t="e">
        <f>AVERAGEIF('94'!L$104,"&gt;0")/AVERAGEIF('94'!$F$104:$M$104,"&gt;0")-1</f>
        <v>#DIV/0!</v>
      </c>
      <c r="I121" s="64" t="e">
        <f>AVERAGEIF('94'!M$104,"&gt;0")/AVERAGEIF('94'!$F$104:$M$104,"&gt;0")-1</f>
        <v>#DIV/0!</v>
      </c>
      <c r="K121" s="25"/>
      <c r="L121" s="25"/>
      <c r="M121" s="25"/>
      <c r="N121" s="25"/>
      <c r="O121" s="25"/>
      <c r="P121" s="25"/>
      <c r="Q121" s="25"/>
      <c r="R121" s="25"/>
    </row>
    <row r="122" spans="1:44" x14ac:dyDescent="0.25">
      <c r="A122" s="879" t="str">
        <f>Lang!$A$176</f>
        <v>Workers</v>
      </c>
      <c r="B122" s="118">
        <f>'94'!F$53-'92'!$O$7-'92'!$O$8+'92'!$O$10</f>
        <v>0</v>
      </c>
      <c r="C122" s="118">
        <f>'94'!G$53-'92'!$O$7-'92'!$O$8+'92'!$O$10</f>
        <v>0</v>
      </c>
      <c r="D122" s="118">
        <f>'94'!H$53-'92'!$O$7-'92'!$O$8+'92'!$O$10</f>
        <v>0</v>
      </c>
      <c r="E122" s="118">
        <f>'94'!I$53-'92'!$O$7-'92'!$O$8+'92'!$O$10</f>
        <v>0</v>
      </c>
      <c r="F122" s="118">
        <f>'94'!J$53-'92'!$O$7-'92'!$O$8+'92'!$O$10</f>
        <v>0</v>
      </c>
      <c r="G122" s="118">
        <f>'94'!K$53-'92'!$O$7-'92'!$O$8+'92'!$O$10</f>
        <v>0</v>
      </c>
      <c r="H122" s="118">
        <f>'94'!L$53-'92'!$O$7-'92'!$O$8+'92'!$O$10</f>
        <v>0</v>
      </c>
      <c r="I122" s="118">
        <f>'94'!M$53-'92'!$O$7-'92'!$O$8+'92'!$O$10</f>
        <v>0</v>
      </c>
      <c r="K122" s="122"/>
      <c r="L122" s="122"/>
      <c r="M122" s="122"/>
      <c r="N122" s="122"/>
      <c r="O122" s="122"/>
      <c r="P122" s="122"/>
      <c r="Q122" s="122"/>
      <c r="R122" s="122"/>
    </row>
    <row r="123" spans="1:44" ht="13.8" thickBot="1" x14ac:dyDescent="0.3">
      <c r="A123" s="67" t="str">
        <f>Lang!$A$59</f>
        <v>Workers wage rate</v>
      </c>
      <c r="B123" s="863">
        <f>'94'!F54</f>
        <v>0</v>
      </c>
      <c r="C123" s="863">
        <f>'94'!G54</f>
        <v>0</v>
      </c>
      <c r="D123" s="863">
        <f>'94'!H54</f>
        <v>0</v>
      </c>
      <c r="E123" s="863">
        <f>'94'!I54</f>
        <v>0</v>
      </c>
      <c r="F123" s="863">
        <f>'94'!J54</f>
        <v>0</v>
      </c>
      <c r="G123" s="863">
        <f>'94'!K54</f>
        <v>0</v>
      </c>
      <c r="H123" s="863">
        <f>'94'!L54</f>
        <v>0</v>
      </c>
      <c r="I123" s="864">
        <f>'94'!M54</f>
        <v>0</v>
      </c>
    </row>
    <row r="124" spans="1:44" ht="13.8" thickBot="1" x14ac:dyDescent="0.3">
      <c r="A124" s="98">
        <f>IF(A99=4,1,A99+1)</f>
        <v>3</v>
      </c>
      <c r="B124" s="99">
        <f t="shared" ref="B124:I124" si="88">B99</f>
        <v>0</v>
      </c>
      <c r="C124" s="99">
        <f t="shared" si="88"/>
        <v>0</v>
      </c>
      <c r="D124" s="99">
        <f t="shared" si="88"/>
        <v>0</v>
      </c>
      <c r="E124" s="99">
        <f t="shared" si="88"/>
        <v>0</v>
      </c>
      <c r="F124" s="99">
        <f t="shared" si="88"/>
        <v>0</v>
      </c>
      <c r="G124" s="99">
        <f t="shared" si="88"/>
        <v>0</v>
      </c>
      <c r="H124" s="99">
        <f t="shared" si="88"/>
        <v>0</v>
      </c>
      <c r="I124" s="99">
        <f t="shared" si="88"/>
        <v>0</v>
      </c>
    </row>
    <row r="125" spans="1:44" x14ac:dyDescent="0.25">
      <c r="A125" s="342" t="str">
        <f>Lang!$A$134</f>
        <v>Net assets</v>
      </c>
      <c r="B125" s="26">
        <f>'104'!F83</f>
        <v>0</v>
      </c>
      <c r="C125" s="26">
        <f>'104'!G83</f>
        <v>0</v>
      </c>
      <c r="D125" s="26">
        <f>'104'!H83</f>
        <v>0</v>
      </c>
      <c r="E125" s="26">
        <f>'104'!I83</f>
        <v>0</v>
      </c>
      <c r="F125" s="26">
        <f>'104'!J83</f>
        <v>0</v>
      </c>
      <c r="G125" s="26">
        <f>'104'!K83</f>
        <v>0</v>
      </c>
      <c r="H125" s="26">
        <f>'104'!L83</f>
        <v>0</v>
      </c>
      <c r="I125" s="27">
        <f>'104'!M83</f>
        <v>0</v>
      </c>
      <c r="J125" s="23"/>
      <c r="K125" s="1146" t="str">
        <f>Lang!$A$102</f>
        <v>Sales revenue</v>
      </c>
      <c r="L125" s="1147"/>
      <c r="M125" s="1147"/>
      <c r="N125" s="1147"/>
      <c r="O125" s="1147"/>
      <c r="P125" s="1147"/>
      <c r="Q125" s="1147"/>
      <c r="R125" s="1147"/>
      <c r="S125" s="1147"/>
      <c r="T125" s="522" t="e">
        <f ca="1">SUM(T126:T134)</f>
        <v>#VALUE!</v>
      </c>
      <c r="V125" s="1146" t="str">
        <f>Lang!$A$84</f>
        <v>Market shares</v>
      </c>
      <c r="W125" s="1147"/>
      <c r="X125" s="1147"/>
      <c r="Y125" s="1147"/>
      <c r="Z125" s="1147"/>
      <c r="AA125" s="1147"/>
      <c r="AB125" s="1147"/>
      <c r="AC125" s="1147"/>
      <c r="AD125" s="1148"/>
      <c r="AE125" s="880" t="str">
        <f>Lang!$A$165</f>
        <v>Market</v>
      </c>
      <c r="AG125" s="1146" t="str">
        <f>Lang!$A$166</f>
        <v>Sales</v>
      </c>
      <c r="AH125" s="1147"/>
      <c r="AI125" s="1147"/>
      <c r="AJ125" s="1147"/>
      <c r="AK125" s="1147"/>
      <c r="AL125" s="1147"/>
      <c r="AM125" s="1147"/>
      <c r="AN125" s="1147"/>
      <c r="AO125" s="1147"/>
      <c r="AP125" s="1148"/>
      <c r="AQ125" s="880" t="str">
        <f>Lang!$A$165</f>
        <v>Market</v>
      </c>
    </row>
    <row r="126" spans="1:44" x14ac:dyDescent="0.25">
      <c r="A126" s="31" t="str">
        <f>Lang!$A$153</f>
        <v>Non-current assets</v>
      </c>
      <c r="B126" s="6">
        <f>'104'!F67</f>
        <v>0</v>
      </c>
      <c r="C126" s="6">
        <f>'104'!G67</f>
        <v>0</v>
      </c>
      <c r="D126" s="6">
        <f>'104'!H67</f>
        <v>0</v>
      </c>
      <c r="E126" s="6">
        <f>'104'!I67</f>
        <v>0</v>
      </c>
      <c r="F126" s="6">
        <f>'104'!J67</f>
        <v>0</v>
      </c>
      <c r="G126" s="6">
        <f>'104'!K67</f>
        <v>0</v>
      </c>
      <c r="H126" s="6">
        <f>'104'!L67</f>
        <v>0</v>
      </c>
      <c r="I126" s="7">
        <f>'104'!M67</f>
        <v>0</v>
      </c>
      <c r="J126" s="23"/>
      <c r="K126" s="347" t="str">
        <f>Lang!$A$167</f>
        <v>Europe 1</v>
      </c>
      <c r="L126" s="348" t="e">
        <f ca="1">AI126*'104'!F43</f>
        <v>#VALUE!</v>
      </c>
      <c r="M126" s="348" t="e">
        <f ca="1">AJ126*'104'!G43</f>
        <v>#VALUE!</v>
      </c>
      <c r="N126" s="348" t="e">
        <f ca="1">AK126*'104'!H43</f>
        <v>#VALUE!</v>
      </c>
      <c r="O126" s="348" t="e">
        <f ca="1">AL126*'104'!I43</f>
        <v>#VALUE!</v>
      </c>
      <c r="P126" s="348" t="e">
        <f ca="1">AM126*'104'!J43</f>
        <v>#VALUE!</v>
      </c>
      <c r="Q126" s="348" t="e">
        <f ca="1">AN126*'104'!K43</f>
        <v>#VALUE!</v>
      </c>
      <c r="R126" s="348" t="e">
        <f ca="1">AO126*'104'!L43</f>
        <v>#VALUE!</v>
      </c>
      <c r="S126" s="348" t="e">
        <f ca="1">AP126*'104'!M43</f>
        <v>#VALUE!</v>
      </c>
      <c r="T126" s="520" t="e">
        <f ca="1">SUM(L126:S126)</f>
        <v>#VALUE!</v>
      </c>
      <c r="V126" s="347" t="str">
        <f>Lang!$A$167</f>
        <v>Europe 1</v>
      </c>
      <c r="W126" s="349">
        <f>IF('105'!$A$331=1,SUBSTITUTE('104'!F91,".",",")*1,0)</f>
        <v>0</v>
      </c>
      <c r="X126" s="350">
        <f>IF('105'!$A$331=1,SUBSTITUTE('104'!G91,".",",")*1,0)</f>
        <v>0</v>
      </c>
      <c r="Y126" s="350">
        <f>IF('105'!$A$331=1,SUBSTITUTE('104'!H91,".",",")*1,0)</f>
        <v>0</v>
      </c>
      <c r="Z126" s="350">
        <f>IF('105'!$A$331=1,SUBSTITUTE('104'!I91,".",",")*1,0)</f>
        <v>0</v>
      </c>
      <c r="AA126" s="350">
        <f>IF('105'!$A$331=1,SUBSTITUTE('104'!J91,".",",")*1,0)</f>
        <v>0</v>
      </c>
      <c r="AB126" s="350">
        <f>IF('105'!$A$331=1,SUBSTITUTE('104'!K91,".",",")*1,0)</f>
        <v>0</v>
      </c>
      <c r="AC126" s="350">
        <f>IF('105'!$A$331=1,SUBSTITUTE('104'!L91,".",",")*1,0)</f>
        <v>0</v>
      </c>
      <c r="AD126" s="351">
        <f>IF('105'!$A$331=1,SUBSTITUTE('104'!M91,".",",")*1,0)</f>
        <v>0</v>
      </c>
      <c r="AE126" s="334">
        <f t="shared" ref="AE126:AE134" si="89">SUM(W126:AD126)</f>
        <v>0</v>
      </c>
      <c r="AG126" s="347" t="str">
        <f>Lang!$A$167</f>
        <v>Europe 1</v>
      </c>
      <c r="AH126" s="337" t="e">
        <f ca="1">IF(SUBSTITUTE(OFFSET('104'!E91,,'101'!$O$5),".",",")&gt;0,'102'!U22/SUBSTITUTE(OFFSET('104'!E91,,'101'!$O$5),".",","),0)</f>
        <v>#VALUE!</v>
      </c>
      <c r="AI126" s="352" t="e">
        <f ca="1">$AH126*W126</f>
        <v>#VALUE!</v>
      </c>
      <c r="AJ126" s="348" t="e">
        <f t="shared" ref="AJ126:AJ134" ca="1" si="90">$AH126*X126</f>
        <v>#VALUE!</v>
      </c>
      <c r="AK126" s="348" t="e">
        <f t="shared" ref="AK126:AK134" ca="1" si="91">$AH126*Y126</f>
        <v>#VALUE!</v>
      </c>
      <c r="AL126" s="348" t="e">
        <f t="shared" ref="AL126:AL134" ca="1" si="92">$AH126*Z126</f>
        <v>#VALUE!</v>
      </c>
      <c r="AM126" s="348" t="e">
        <f t="shared" ref="AM126:AM134" ca="1" si="93">$AH126*AA126</f>
        <v>#VALUE!</v>
      </c>
      <c r="AN126" s="348" t="e">
        <f t="shared" ref="AN126:AN134" ca="1" si="94">$AH126*AB126</f>
        <v>#VALUE!</v>
      </c>
      <c r="AO126" s="348" t="e">
        <f t="shared" ref="AO126:AO134" ca="1" si="95">$AH126*AC126</f>
        <v>#VALUE!</v>
      </c>
      <c r="AP126" s="353" t="e">
        <f t="shared" ref="AP126:AP134" ca="1" si="96">$AH126*AD126</f>
        <v>#VALUE!</v>
      </c>
      <c r="AQ126" s="141" t="e">
        <f t="shared" ref="AQ126:AQ134" ca="1" si="97">SUM(AI126:AP126)/AE126*100</f>
        <v>#VALUE!</v>
      </c>
      <c r="AR126" s="95"/>
    </row>
    <row r="127" spans="1:44" x14ac:dyDescent="0.25">
      <c r="A127" s="13" t="str">
        <f>Lang!$A$154</f>
        <v>Inventories</v>
      </c>
      <c r="B127" s="6">
        <f>'104'!F68</f>
        <v>0</v>
      </c>
      <c r="C127" s="6">
        <f>'104'!G68</f>
        <v>0</v>
      </c>
      <c r="D127" s="6">
        <f>'104'!H68</f>
        <v>0</v>
      </c>
      <c r="E127" s="6">
        <f>'104'!I68</f>
        <v>0</v>
      </c>
      <c r="F127" s="6">
        <f>'104'!J68</f>
        <v>0</v>
      </c>
      <c r="G127" s="6">
        <f>'104'!K68</f>
        <v>0</v>
      </c>
      <c r="H127" s="6">
        <f>'104'!L68</f>
        <v>0</v>
      </c>
      <c r="I127" s="7">
        <f>'104'!M68</f>
        <v>0</v>
      </c>
      <c r="K127" s="13" t="str">
        <f>Lang!$A$146</f>
        <v>Nafta 1</v>
      </c>
      <c r="L127" s="348" t="e">
        <f ca="1">AI127*'104'!F44</f>
        <v>#VALUE!</v>
      </c>
      <c r="M127" s="348" t="e">
        <f ca="1">AJ127*'104'!G44</f>
        <v>#VALUE!</v>
      </c>
      <c r="N127" s="348" t="e">
        <f ca="1">AK127*'104'!H44</f>
        <v>#VALUE!</v>
      </c>
      <c r="O127" s="348" t="e">
        <f ca="1">AL127*'104'!I44</f>
        <v>#VALUE!</v>
      </c>
      <c r="P127" s="348" t="e">
        <f ca="1">AM127*'104'!J44</f>
        <v>#VALUE!</v>
      </c>
      <c r="Q127" s="348" t="e">
        <f ca="1">AN127*'104'!K44</f>
        <v>#VALUE!</v>
      </c>
      <c r="R127" s="348" t="e">
        <f ca="1">AO127*'104'!L44</f>
        <v>#VALUE!</v>
      </c>
      <c r="S127" s="348" t="e">
        <f ca="1">AP127*'104'!M44</f>
        <v>#VALUE!</v>
      </c>
      <c r="T127" s="520" t="e">
        <f t="shared" ref="T127:T134" ca="1" si="98">SUM(L127:S127)</f>
        <v>#VALUE!</v>
      </c>
      <c r="V127" s="13" t="str">
        <f>Lang!$A$146</f>
        <v>Nafta 1</v>
      </c>
      <c r="W127" s="349">
        <f>IF('105'!$A$331=1,SUBSTITUTE('104'!F92,".",",")*1,0)</f>
        <v>0</v>
      </c>
      <c r="X127" s="350">
        <f>IF('105'!$A$331=1,SUBSTITUTE('104'!G92,".",",")*1,0)</f>
        <v>0</v>
      </c>
      <c r="Y127" s="350">
        <f>IF('105'!$A$331=1,SUBSTITUTE('104'!H92,".",",")*1,0)</f>
        <v>0</v>
      </c>
      <c r="Z127" s="350">
        <f>IF('105'!$A$331=1,SUBSTITUTE('104'!I92,".",",")*1,0)</f>
        <v>0</v>
      </c>
      <c r="AA127" s="350">
        <f>IF('105'!$A$331=1,SUBSTITUTE('104'!J92,".",",")*1,0)</f>
        <v>0</v>
      </c>
      <c r="AB127" s="350">
        <f>IF('105'!$A$331=1,SUBSTITUTE('104'!K92,".",",")*1,0)</f>
        <v>0</v>
      </c>
      <c r="AC127" s="350">
        <f>IF('105'!$A$331=1,SUBSTITUTE('104'!L92,".",",")*1,0)</f>
        <v>0</v>
      </c>
      <c r="AD127" s="351">
        <f>IF('105'!$A$331=1,SUBSTITUTE('104'!M92,".",",")*1,0)</f>
        <v>0</v>
      </c>
      <c r="AE127" s="335">
        <f t="shared" si="89"/>
        <v>0</v>
      </c>
      <c r="AG127" s="13" t="str">
        <f>Lang!$A$146</f>
        <v>Nafta 1</v>
      </c>
      <c r="AH127" s="337" t="e">
        <f ca="1">IF(SUBSTITUTE(OFFSET('104'!E92,,'101'!$O$5),".",",")&gt;0,'102'!U23/SUBSTITUTE(OFFSET('104'!E92,,'101'!$O$5),".",","),0)</f>
        <v>#VALUE!</v>
      </c>
      <c r="AI127" s="352" t="e">
        <f t="shared" ref="AI127:AI134" ca="1" si="99">$AH127*W127</f>
        <v>#VALUE!</v>
      </c>
      <c r="AJ127" s="348" t="e">
        <f t="shared" ca="1" si="90"/>
        <v>#VALUE!</v>
      </c>
      <c r="AK127" s="348" t="e">
        <f t="shared" ca="1" si="91"/>
        <v>#VALUE!</v>
      </c>
      <c r="AL127" s="348" t="e">
        <f t="shared" ca="1" si="92"/>
        <v>#VALUE!</v>
      </c>
      <c r="AM127" s="348" t="e">
        <f t="shared" ca="1" si="93"/>
        <v>#VALUE!</v>
      </c>
      <c r="AN127" s="348" t="e">
        <f t="shared" ca="1" si="94"/>
        <v>#VALUE!</v>
      </c>
      <c r="AO127" s="348" t="e">
        <f t="shared" ca="1" si="95"/>
        <v>#VALUE!</v>
      </c>
      <c r="AP127" s="353" t="e">
        <f t="shared" ca="1" si="96"/>
        <v>#VALUE!</v>
      </c>
      <c r="AQ127" s="139" t="e">
        <f t="shared" ca="1" si="97"/>
        <v>#VALUE!</v>
      </c>
      <c r="AR127" s="95"/>
    </row>
    <row r="128" spans="1:44" x14ac:dyDescent="0.25">
      <c r="A128" s="13" t="str">
        <f>Lang!$A$155</f>
        <v>Trade receivables</v>
      </c>
      <c r="B128" s="6">
        <f>'104'!F69</f>
        <v>0</v>
      </c>
      <c r="C128" s="6">
        <f>'104'!G69</f>
        <v>0</v>
      </c>
      <c r="D128" s="6">
        <f>'104'!H69</f>
        <v>0</v>
      </c>
      <c r="E128" s="6">
        <f>'104'!I69</f>
        <v>0</v>
      </c>
      <c r="F128" s="6">
        <f>'104'!J69</f>
        <v>0</v>
      </c>
      <c r="G128" s="6">
        <f>'104'!K69</f>
        <v>0</v>
      </c>
      <c r="H128" s="6">
        <f>'104'!L69</f>
        <v>0</v>
      </c>
      <c r="I128" s="7">
        <f>'104'!M69</f>
        <v>0</v>
      </c>
      <c r="K128" s="31" t="str">
        <f>Lang!$A$168</f>
        <v>Internet 1</v>
      </c>
      <c r="L128" s="348" t="e">
        <f ca="1">AI128*'104'!F45</f>
        <v>#VALUE!</v>
      </c>
      <c r="M128" s="348" t="e">
        <f ca="1">AJ128*'104'!G45</f>
        <v>#VALUE!</v>
      </c>
      <c r="N128" s="348" t="e">
        <f ca="1">AK128*'104'!H45</f>
        <v>#VALUE!</v>
      </c>
      <c r="O128" s="348" t="e">
        <f ca="1">AL128*'104'!I45</f>
        <v>#VALUE!</v>
      </c>
      <c r="P128" s="348" t="e">
        <f ca="1">AM128*'104'!J45</f>
        <v>#VALUE!</v>
      </c>
      <c r="Q128" s="348" t="e">
        <f ca="1">AN128*'104'!K45</f>
        <v>#VALUE!</v>
      </c>
      <c r="R128" s="348" t="e">
        <f ca="1">AO128*'104'!L45</f>
        <v>#VALUE!</v>
      </c>
      <c r="S128" s="348" t="e">
        <f ca="1">AP128*'104'!M45</f>
        <v>#VALUE!</v>
      </c>
      <c r="T128" s="520" t="e">
        <f t="shared" ca="1" si="98"/>
        <v>#VALUE!</v>
      </c>
      <c r="V128" s="31" t="str">
        <f>Lang!$A$168</f>
        <v>Internet 1</v>
      </c>
      <c r="W128" s="349">
        <f>IF('105'!$A$331=1,SUBSTITUTE('104'!F93,".",",")*1,0)</f>
        <v>0</v>
      </c>
      <c r="X128" s="350">
        <f>IF('105'!$A$331=1,SUBSTITUTE('104'!G93,".",",")*1,0)</f>
        <v>0</v>
      </c>
      <c r="Y128" s="350">
        <f>IF('105'!$A$331=1,SUBSTITUTE('104'!H93,".",",")*1,0)</f>
        <v>0</v>
      </c>
      <c r="Z128" s="350">
        <f>IF('105'!$A$331=1,SUBSTITUTE('104'!I93,".",",")*1,0)</f>
        <v>0</v>
      </c>
      <c r="AA128" s="350">
        <f>IF('105'!$A$331=1,SUBSTITUTE('104'!J93,".",",")*1,0)</f>
        <v>0</v>
      </c>
      <c r="AB128" s="350">
        <f>IF('105'!$A$331=1,SUBSTITUTE('104'!K93,".",",")*1,0)</f>
        <v>0</v>
      </c>
      <c r="AC128" s="350">
        <f>IF('105'!$A$331=1,SUBSTITUTE('104'!L93,".",",")*1,0)</f>
        <v>0</v>
      </c>
      <c r="AD128" s="351">
        <f>IF('105'!$A$331=1,SUBSTITUTE('104'!M93,".",",")*1,0)</f>
        <v>0</v>
      </c>
      <c r="AE128" s="335">
        <f t="shared" si="89"/>
        <v>0</v>
      </c>
      <c r="AG128" s="31" t="str">
        <f>Lang!$A$168</f>
        <v>Internet 1</v>
      </c>
      <c r="AH128" s="337" t="e">
        <f ca="1">IF(SUBSTITUTE(OFFSET('104'!E93,,'101'!$O$5),".",",")&gt;0,'102'!U24/SUBSTITUTE(OFFSET('104'!E93,,'101'!$O$5),".",","),0)</f>
        <v>#VALUE!</v>
      </c>
      <c r="AI128" s="352" t="e">
        <f t="shared" ca="1" si="99"/>
        <v>#VALUE!</v>
      </c>
      <c r="AJ128" s="348" t="e">
        <f t="shared" ca="1" si="90"/>
        <v>#VALUE!</v>
      </c>
      <c r="AK128" s="348" t="e">
        <f t="shared" ca="1" si="91"/>
        <v>#VALUE!</v>
      </c>
      <c r="AL128" s="348" t="e">
        <f t="shared" ca="1" si="92"/>
        <v>#VALUE!</v>
      </c>
      <c r="AM128" s="348" t="e">
        <f t="shared" ca="1" si="93"/>
        <v>#VALUE!</v>
      </c>
      <c r="AN128" s="348" t="e">
        <f t="shared" ca="1" si="94"/>
        <v>#VALUE!</v>
      </c>
      <c r="AO128" s="348" t="e">
        <f t="shared" ca="1" si="95"/>
        <v>#VALUE!</v>
      </c>
      <c r="AP128" s="353" t="e">
        <f t="shared" ca="1" si="96"/>
        <v>#VALUE!</v>
      </c>
      <c r="AQ128" s="139" t="e">
        <f t="shared" ca="1" si="97"/>
        <v>#VALUE!</v>
      </c>
      <c r="AR128" s="95"/>
    </row>
    <row r="129" spans="1:44" x14ac:dyDescent="0.25">
      <c r="A129" s="13" t="str">
        <f>Lang!$A$156</f>
        <v>Cash and cash equivalents</v>
      </c>
      <c r="B129" s="6">
        <f>'104'!F70</f>
        <v>0</v>
      </c>
      <c r="C129" s="6">
        <f>'104'!G70</f>
        <v>0</v>
      </c>
      <c r="D129" s="6">
        <f>'104'!H70</f>
        <v>0</v>
      </c>
      <c r="E129" s="6">
        <f>'104'!I70</f>
        <v>0</v>
      </c>
      <c r="F129" s="6">
        <f>'104'!J70</f>
        <v>0</v>
      </c>
      <c r="G129" s="6">
        <f>'104'!K70</f>
        <v>0</v>
      </c>
      <c r="H129" s="6">
        <f>'104'!L70</f>
        <v>0</v>
      </c>
      <c r="I129" s="7">
        <f>'104'!M70</f>
        <v>0</v>
      </c>
      <c r="K129" s="347" t="str">
        <f>Lang!$A$169</f>
        <v>Europe 2</v>
      </c>
      <c r="L129" s="348" t="e">
        <f ca="1">AI129*'104'!F46</f>
        <v>#VALUE!</v>
      </c>
      <c r="M129" s="348" t="e">
        <f ca="1">AJ129*'104'!G46</f>
        <v>#VALUE!</v>
      </c>
      <c r="N129" s="348" t="e">
        <f ca="1">AK129*'104'!H46</f>
        <v>#VALUE!</v>
      </c>
      <c r="O129" s="348" t="e">
        <f ca="1">AL129*'104'!I46</f>
        <v>#VALUE!</v>
      </c>
      <c r="P129" s="348" t="e">
        <f ca="1">AM129*'104'!J46</f>
        <v>#VALUE!</v>
      </c>
      <c r="Q129" s="348" t="e">
        <f ca="1">AN129*'104'!K46</f>
        <v>#VALUE!</v>
      </c>
      <c r="R129" s="348" t="e">
        <f ca="1">AO129*'104'!L46</f>
        <v>#VALUE!</v>
      </c>
      <c r="S129" s="348" t="e">
        <f ca="1">AP129*'104'!M46</f>
        <v>#VALUE!</v>
      </c>
      <c r="T129" s="520" t="e">
        <f t="shared" ca="1" si="98"/>
        <v>#VALUE!</v>
      </c>
      <c r="V129" s="347" t="str">
        <f>Lang!$A$169</f>
        <v>Europe 2</v>
      </c>
      <c r="W129" s="349">
        <f>IF('105'!$A$331=1,SUBSTITUTE('104'!F94,".",",")*1,0)</f>
        <v>0</v>
      </c>
      <c r="X129" s="350">
        <f>IF('105'!$A$331=1,SUBSTITUTE('104'!G94,".",",")*1,0)</f>
        <v>0</v>
      </c>
      <c r="Y129" s="350">
        <f>IF('105'!$A$331=1,SUBSTITUTE('104'!H94,".",",")*1,0)</f>
        <v>0</v>
      </c>
      <c r="Z129" s="350">
        <f>IF('105'!$A$331=1,SUBSTITUTE('104'!I94,".",",")*1,0)</f>
        <v>0</v>
      </c>
      <c r="AA129" s="350">
        <f>IF('105'!$A$331=1,SUBSTITUTE('104'!J94,".",",")*1,0)</f>
        <v>0</v>
      </c>
      <c r="AB129" s="350">
        <f>IF('105'!$A$331=1,SUBSTITUTE('104'!K94,".",",")*1,0)</f>
        <v>0</v>
      </c>
      <c r="AC129" s="350">
        <f>IF('105'!$A$331=1,SUBSTITUTE('104'!L94,".",",")*1,0)</f>
        <v>0</v>
      </c>
      <c r="AD129" s="351">
        <f>IF('105'!$A$331=1,SUBSTITUTE('104'!M94,".",",")*1,0)</f>
        <v>0</v>
      </c>
      <c r="AE129" s="335">
        <f t="shared" si="89"/>
        <v>0</v>
      </c>
      <c r="AG129" s="347" t="str">
        <f>Lang!$A$169</f>
        <v>Europe 2</v>
      </c>
      <c r="AH129" s="337" t="e">
        <f ca="1">IF(SUBSTITUTE(OFFSET('104'!E94,,'101'!$O$5),".",",")&gt;0,'102'!W22/SUBSTITUTE(OFFSET('104'!E94,,'101'!$O$5),".",","),0)</f>
        <v>#VALUE!</v>
      </c>
      <c r="AI129" s="352" t="e">
        <f t="shared" ca="1" si="99"/>
        <v>#VALUE!</v>
      </c>
      <c r="AJ129" s="348" t="e">
        <f t="shared" ca="1" si="90"/>
        <v>#VALUE!</v>
      </c>
      <c r="AK129" s="348" t="e">
        <f t="shared" ca="1" si="91"/>
        <v>#VALUE!</v>
      </c>
      <c r="AL129" s="348" t="e">
        <f t="shared" ca="1" si="92"/>
        <v>#VALUE!</v>
      </c>
      <c r="AM129" s="348" t="e">
        <f t="shared" ca="1" si="93"/>
        <v>#VALUE!</v>
      </c>
      <c r="AN129" s="348" t="e">
        <f t="shared" ca="1" si="94"/>
        <v>#VALUE!</v>
      </c>
      <c r="AO129" s="348" t="e">
        <f t="shared" ca="1" si="95"/>
        <v>#VALUE!</v>
      </c>
      <c r="AP129" s="353" t="e">
        <f t="shared" ca="1" si="96"/>
        <v>#VALUE!</v>
      </c>
      <c r="AQ129" s="139" t="e">
        <f t="shared" ca="1" si="97"/>
        <v>#VALUE!</v>
      </c>
      <c r="AR129" s="95"/>
    </row>
    <row r="130" spans="1:44" x14ac:dyDescent="0.25">
      <c r="A130" s="31" t="str">
        <f>Lang!$A$85</f>
        <v>Dividends</v>
      </c>
      <c r="B130" s="6">
        <f>'104'!F38*B110/100</f>
        <v>0</v>
      </c>
      <c r="C130" s="6">
        <f>'104'!G38*C110/100</f>
        <v>0</v>
      </c>
      <c r="D130" s="6">
        <f>'104'!H38*D110/100</f>
        <v>0</v>
      </c>
      <c r="E130" s="6">
        <f>'104'!I38*E110/100</f>
        <v>0</v>
      </c>
      <c r="F130" s="6">
        <f>'104'!J38*F110/100</f>
        <v>0</v>
      </c>
      <c r="G130" s="6">
        <f>'104'!K38*G110/100</f>
        <v>0</v>
      </c>
      <c r="H130" s="6">
        <f>'104'!L38*H110/100</f>
        <v>0</v>
      </c>
      <c r="I130" s="7">
        <f>'104'!M38*I110/100</f>
        <v>0</v>
      </c>
      <c r="K130" s="13" t="str">
        <f>Lang!$A$147</f>
        <v>Nafta 2</v>
      </c>
      <c r="L130" s="348" t="e">
        <f ca="1">AI130*'104'!F47</f>
        <v>#VALUE!</v>
      </c>
      <c r="M130" s="348" t="e">
        <f ca="1">AJ130*'104'!G47</f>
        <v>#VALUE!</v>
      </c>
      <c r="N130" s="348" t="e">
        <f ca="1">AK130*'104'!H47</f>
        <v>#VALUE!</v>
      </c>
      <c r="O130" s="348" t="e">
        <f ca="1">AL130*'104'!I47</f>
        <v>#VALUE!</v>
      </c>
      <c r="P130" s="348" t="e">
        <f ca="1">AM130*'104'!J47</f>
        <v>#VALUE!</v>
      </c>
      <c r="Q130" s="348" t="e">
        <f ca="1">AN130*'104'!K47</f>
        <v>#VALUE!</v>
      </c>
      <c r="R130" s="348" t="e">
        <f ca="1">AO130*'104'!L47</f>
        <v>#VALUE!</v>
      </c>
      <c r="S130" s="348" t="e">
        <f ca="1">AP130*'104'!M47</f>
        <v>#VALUE!</v>
      </c>
      <c r="T130" s="520" t="e">
        <f t="shared" ca="1" si="98"/>
        <v>#VALUE!</v>
      </c>
      <c r="V130" s="13" t="str">
        <f>Lang!$A$147</f>
        <v>Nafta 2</v>
      </c>
      <c r="W130" s="349">
        <f>IF('105'!$A$331=1,SUBSTITUTE('104'!F95,".",",")*1,0)</f>
        <v>0</v>
      </c>
      <c r="X130" s="350">
        <f>IF('105'!$A$331=1,SUBSTITUTE('104'!G95,".",",")*1,0)</f>
        <v>0</v>
      </c>
      <c r="Y130" s="350">
        <f>IF('105'!$A$331=1,SUBSTITUTE('104'!H95,".",",")*1,0)</f>
        <v>0</v>
      </c>
      <c r="Z130" s="350">
        <f>IF('105'!$A$331=1,SUBSTITUTE('104'!I95,".",",")*1,0)</f>
        <v>0</v>
      </c>
      <c r="AA130" s="350">
        <f>IF('105'!$A$331=1,SUBSTITUTE('104'!J95,".",",")*1,0)</f>
        <v>0</v>
      </c>
      <c r="AB130" s="350">
        <f>IF('105'!$A$331=1,SUBSTITUTE('104'!K95,".",",")*1,0)</f>
        <v>0</v>
      </c>
      <c r="AC130" s="350">
        <f>IF('105'!$A$331=1,SUBSTITUTE('104'!L95,".",",")*1,0)</f>
        <v>0</v>
      </c>
      <c r="AD130" s="351">
        <f>IF('105'!$A$331=1,SUBSTITUTE('104'!M95,".",",")*1,0)</f>
        <v>0</v>
      </c>
      <c r="AE130" s="335">
        <f t="shared" si="89"/>
        <v>0</v>
      </c>
      <c r="AG130" s="13" t="str">
        <f>Lang!$A$147</f>
        <v>Nafta 2</v>
      </c>
      <c r="AH130" s="337" t="e">
        <f ca="1">IF(SUBSTITUTE(OFFSET('104'!E95,,'101'!$O$5),".",",")&gt;0,'102'!W23/SUBSTITUTE(OFFSET('104'!E95,,'101'!$O$5),".",","),0)</f>
        <v>#VALUE!</v>
      </c>
      <c r="AI130" s="352" t="e">
        <f t="shared" ca="1" si="99"/>
        <v>#VALUE!</v>
      </c>
      <c r="AJ130" s="348" t="e">
        <f t="shared" ca="1" si="90"/>
        <v>#VALUE!</v>
      </c>
      <c r="AK130" s="348" t="e">
        <f t="shared" ca="1" si="91"/>
        <v>#VALUE!</v>
      </c>
      <c r="AL130" s="348" t="e">
        <f t="shared" ca="1" si="92"/>
        <v>#VALUE!</v>
      </c>
      <c r="AM130" s="348" t="e">
        <f t="shared" ca="1" si="93"/>
        <v>#VALUE!</v>
      </c>
      <c r="AN130" s="348" t="e">
        <f t="shared" ca="1" si="94"/>
        <v>#VALUE!</v>
      </c>
      <c r="AO130" s="348" t="e">
        <f t="shared" ca="1" si="95"/>
        <v>#VALUE!</v>
      </c>
      <c r="AP130" s="353" t="e">
        <f t="shared" ca="1" si="96"/>
        <v>#VALUE!</v>
      </c>
      <c r="AQ130" s="139" t="e">
        <f t="shared" ca="1" si="97"/>
        <v>#VALUE!</v>
      </c>
      <c r="AR130" s="95"/>
    </row>
    <row r="131" spans="1:44" x14ac:dyDescent="0.25">
      <c r="A131" s="31" t="str">
        <f>Lang!$A$157</f>
        <v>Tax assessed and due</v>
      </c>
      <c r="B131" s="6">
        <f>IF($A124=4,'104'!F$73,0)</f>
        <v>0</v>
      </c>
      <c r="C131" s="6">
        <f>IF($A124=4,'104'!G$73,0)</f>
        <v>0</v>
      </c>
      <c r="D131" s="6">
        <f>IF($A124=4,'104'!H$73,0)</f>
        <v>0</v>
      </c>
      <c r="E131" s="6">
        <f>IF($A124=4,'104'!I$73,0)</f>
        <v>0</v>
      </c>
      <c r="F131" s="6">
        <f>IF($A124=4,'104'!J$73,0)</f>
        <v>0</v>
      </c>
      <c r="G131" s="6">
        <f>IF($A124=4,'104'!K$73,0)</f>
        <v>0</v>
      </c>
      <c r="H131" s="6">
        <f>IF($A124=4,'104'!L$73,0)</f>
        <v>0</v>
      </c>
      <c r="I131" s="7">
        <f>IF($A124=4,'104'!M$73,0)</f>
        <v>0</v>
      </c>
      <c r="K131" s="31" t="str">
        <f>Lang!$A$170</f>
        <v>Internet 2</v>
      </c>
      <c r="L131" s="348" t="e">
        <f ca="1">AI131*'104'!F48</f>
        <v>#VALUE!</v>
      </c>
      <c r="M131" s="348" t="e">
        <f ca="1">AJ131*'104'!G48</f>
        <v>#VALUE!</v>
      </c>
      <c r="N131" s="348" t="e">
        <f ca="1">AK131*'104'!H48</f>
        <v>#VALUE!</v>
      </c>
      <c r="O131" s="348" t="e">
        <f ca="1">AL131*'104'!I48</f>
        <v>#VALUE!</v>
      </c>
      <c r="P131" s="348" t="e">
        <f ca="1">AM131*'104'!J48</f>
        <v>#VALUE!</v>
      </c>
      <c r="Q131" s="348" t="e">
        <f ca="1">AN131*'104'!K48</f>
        <v>#VALUE!</v>
      </c>
      <c r="R131" s="348" t="e">
        <f ca="1">AO131*'104'!L48</f>
        <v>#VALUE!</v>
      </c>
      <c r="S131" s="348" t="e">
        <f ca="1">AP131*'104'!M48</f>
        <v>#VALUE!</v>
      </c>
      <c r="T131" s="520" t="e">
        <f t="shared" ca="1" si="98"/>
        <v>#VALUE!</v>
      </c>
      <c r="V131" s="31" t="str">
        <f>Lang!$A$170</f>
        <v>Internet 2</v>
      </c>
      <c r="W131" s="349">
        <f>IF('105'!$A$331=1,SUBSTITUTE('104'!F96,".",",")*1,0)</f>
        <v>0</v>
      </c>
      <c r="X131" s="350">
        <f>IF('105'!$A$331=1,SUBSTITUTE('104'!G96,".",",")*1,0)</f>
        <v>0</v>
      </c>
      <c r="Y131" s="350">
        <f>IF('105'!$A$331=1,SUBSTITUTE('104'!H96,".",",")*1,0)</f>
        <v>0</v>
      </c>
      <c r="Z131" s="350">
        <f>IF('105'!$A$331=1,SUBSTITUTE('104'!I96,".",",")*1,0)</f>
        <v>0</v>
      </c>
      <c r="AA131" s="350">
        <f>IF('105'!$A$331=1,SUBSTITUTE('104'!J96,".",",")*1,0)</f>
        <v>0</v>
      </c>
      <c r="AB131" s="350">
        <f>IF('105'!$A$331=1,SUBSTITUTE('104'!K96,".",",")*1,0)</f>
        <v>0</v>
      </c>
      <c r="AC131" s="350">
        <f>IF('105'!$A$331=1,SUBSTITUTE('104'!L96,".",",")*1,0)</f>
        <v>0</v>
      </c>
      <c r="AD131" s="351">
        <f>IF('105'!$A$331=1,SUBSTITUTE('104'!M96,".",",")*1,0)</f>
        <v>0</v>
      </c>
      <c r="AE131" s="335">
        <f t="shared" si="89"/>
        <v>0</v>
      </c>
      <c r="AG131" s="31" t="str">
        <f>Lang!$A$170</f>
        <v>Internet 2</v>
      </c>
      <c r="AH131" s="337" t="e">
        <f ca="1">IF(SUBSTITUTE(OFFSET('104'!E96,,'101'!$O$5),".",",")&gt;0,'102'!W24/SUBSTITUTE(OFFSET('104'!E96,,'101'!$O$5),".",","),0)</f>
        <v>#VALUE!</v>
      </c>
      <c r="AI131" s="352" t="e">
        <f t="shared" ca="1" si="99"/>
        <v>#VALUE!</v>
      </c>
      <c r="AJ131" s="348" t="e">
        <f t="shared" ca="1" si="90"/>
        <v>#VALUE!</v>
      </c>
      <c r="AK131" s="348" t="e">
        <f t="shared" ca="1" si="91"/>
        <v>#VALUE!</v>
      </c>
      <c r="AL131" s="348" t="e">
        <f t="shared" ca="1" si="92"/>
        <v>#VALUE!</v>
      </c>
      <c r="AM131" s="348" t="e">
        <f t="shared" ca="1" si="93"/>
        <v>#VALUE!</v>
      </c>
      <c r="AN131" s="348" t="e">
        <f t="shared" ca="1" si="94"/>
        <v>#VALUE!</v>
      </c>
      <c r="AO131" s="348" t="e">
        <f t="shared" ca="1" si="95"/>
        <v>#VALUE!</v>
      </c>
      <c r="AP131" s="353" t="e">
        <f t="shared" ca="1" si="96"/>
        <v>#VALUE!</v>
      </c>
      <c r="AQ131" s="139" t="e">
        <f t="shared" ca="1" si="97"/>
        <v>#VALUE!</v>
      </c>
      <c r="AR131" s="95"/>
    </row>
    <row r="132" spans="1:44" x14ac:dyDescent="0.25">
      <c r="A132" s="31" t="str">
        <f>Lang!$A$126</f>
        <v>Current liabilities</v>
      </c>
      <c r="B132" s="148">
        <f>'104'!F74</f>
        <v>0</v>
      </c>
      <c r="C132" s="148">
        <f>'104'!G74</f>
        <v>0</v>
      </c>
      <c r="D132" s="148">
        <f>'104'!H74</f>
        <v>0</v>
      </c>
      <c r="E132" s="148">
        <f>'104'!I74</f>
        <v>0</v>
      </c>
      <c r="F132" s="148">
        <f>'104'!J74</f>
        <v>0</v>
      </c>
      <c r="G132" s="148">
        <f>'104'!K74</f>
        <v>0</v>
      </c>
      <c r="H132" s="148">
        <f>'104'!L74</f>
        <v>0</v>
      </c>
      <c r="I132" s="24">
        <f>'104'!M74</f>
        <v>0</v>
      </c>
      <c r="K132" s="347" t="str">
        <f>Lang!$A$171</f>
        <v>Europe 3</v>
      </c>
      <c r="L132" s="348" t="e">
        <f ca="1">AI132*'104'!F49</f>
        <v>#VALUE!</v>
      </c>
      <c r="M132" s="348" t="e">
        <f ca="1">AJ132*'104'!G49</f>
        <v>#VALUE!</v>
      </c>
      <c r="N132" s="348" t="e">
        <f ca="1">AK132*'104'!H49</f>
        <v>#VALUE!</v>
      </c>
      <c r="O132" s="348" t="e">
        <f ca="1">AL132*'104'!I49</f>
        <v>#VALUE!</v>
      </c>
      <c r="P132" s="348" t="e">
        <f ca="1">AM132*'104'!J49</f>
        <v>#VALUE!</v>
      </c>
      <c r="Q132" s="348" t="e">
        <f ca="1">AN132*'104'!K49</f>
        <v>#VALUE!</v>
      </c>
      <c r="R132" s="348" t="e">
        <f ca="1">AO132*'104'!L49</f>
        <v>#VALUE!</v>
      </c>
      <c r="S132" s="348" t="e">
        <f ca="1">AP132*'104'!M49</f>
        <v>#VALUE!</v>
      </c>
      <c r="T132" s="520" t="e">
        <f t="shared" ca="1" si="98"/>
        <v>#VALUE!</v>
      </c>
      <c r="V132" s="347" t="str">
        <f>Lang!$A$171</f>
        <v>Europe 3</v>
      </c>
      <c r="W132" s="349">
        <f>IF('105'!$A$331=1,SUBSTITUTE('104'!F97,".",",")*1,0)</f>
        <v>0</v>
      </c>
      <c r="X132" s="350">
        <f>IF('105'!$A$331=1,SUBSTITUTE('104'!G97,".",",")*1,0)</f>
        <v>0</v>
      </c>
      <c r="Y132" s="350">
        <f>IF('105'!$A$331=1,SUBSTITUTE('104'!H97,".",",")*1,0)</f>
        <v>0</v>
      </c>
      <c r="Z132" s="350">
        <f>IF('105'!$A$331=1,SUBSTITUTE('104'!I97,".",",")*1,0)</f>
        <v>0</v>
      </c>
      <c r="AA132" s="350">
        <f>IF('105'!$A$331=1,SUBSTITUTE('104'!J97,".",",")*1,0)</f>
        <v>0</v>
      </c>
      <c r="AB132" s="350">
        <f>IF('105'!$A$331=1,SUBSTITUTE('104'!K97,".",",")*1,0)</f>
        <v>0</v>
      </c>
      <c r="AC132" s="350">
        <f>IF('105'!$A$331=1,SUBSTITUTE('104'!L97,".",",")*1,0)</f>
        <v>0</v>
      </c>
      <c r="AD132" s="351">
        <f>IF('105'!$A$331=1,SUBSTITUTE('104'!M97,".",",")*1,0)</f>
        <v>0</v>
      </c>
      <c r="AE132" s="335">
        <f t="shared" si="89"/>
        <v>0</v>
      </c>
      <c r="AG132" s="347" t="str">
        <f>Lang!$A$171</f>
        <v>Europe 3</v>
      </c>
      <c r="AH132" s="337" t="e">
        <f ca="1">IF(SUBSTITUTE(OFFSET('104'!E97,,'101'!$O$5),".",",")&gt;0,'102'!Y22/SUBSTITUTE(OFFSET('104'!E97,,'101'!$O$5),".",","),0)</f>
        <v>#VALUE!</v>
      </c>
      <c r="AI132" s="352" t="e">
        <f t="shared" ca="1" si="99"/>
        <v>#VALUE!</v>
      </c>
      <c r="AJ132" s="348" t="e">
        <f t="shared" ca="1" si="90"/>
        <v>#VALUE!</v>
      </c>
      <c r="AK132" s="348" t="e">
        <f t="shared" ca="1" si="91"/>
        <v>#VALUE!</v>
      </c>
      <c r="AL132" s="348" t="e">
        <f t="shared" ca="1" si="92"/>
        <v>#VALUE!</v>
      </c>
      <c r="AM132" s="348" t="e">
        <f t="shared" ca="1" si="93"/>
        <v>#VALUE!</v>
      </c>
      <c r="AN132" s="348" t="e">
        <f t="shared" ca="1" si="94"/>
        <v>#VALUE!</v>
      </c>
      <c r="AO132" s="348" t="e">
        <f t="shared" ca="1" si="95"/>
        <v>#VALUE!</v>
      </c>
      <c r="AP132" s="353" t="e">
        <f t="shared" ca="1" si="96"/>
        <v>#VALUE!</v>
      </c>
      <c r="AQ132" s="139" t="e">
        <f t="shared" ca="1" si="97"/>
        <v>#VALUE!</v>
      </c>
      <c r="AR132" s="95"/>
    </row>
    <row r="133" spans="1:44" x14ac:dyDescent="0.25">
      <c r="A133" s="31" t="str">
        <f>Lang!$A$158</f>
        <v>Bank overdraft</v>
      </c>
      <c r="B133" s="148">
        <f>'104'!F75</f>
        <v>0</v>
      </c>
      <c r="C133" s="148">
        <f>'104'!G75</f>
        <v>0</v>
      </c>
      <c r="D133" s="148">
        <f>'104'!H75</f>
        <v>0</v>
      </c>
      <c r="E133" s="148">
        <f>'104'!I75</f>
        <v>0</v>
      </c>
      <c r="F133" s="148">
        <f>'104'!J75</f>
        <v>0</v>
      </c>
      <c r="G133" s="148">
        <f>'104'!K75</f>
        <v>0</v>
      </c>
      <c r="H133" s="148">
        <f>'104'!L75</f>
        <v>0</v>
      </c>
      <c r="I133" s="24">
        <f>'104'!M75</f>
        <v>0</v>
      </c>
      <c r="K133" s="13" t="str">
        <f>Lang!$A$148</f>
        <v>Nafta 3</v>
      </c>
      <c r="L133" s="348" t="e">
        <f ca="1">AI133*'104'!F50</f>
        <v>#VALUE!</v>
      </c>
      <c r="M133" s="348" t="e">
        <f ca="1">AJ133*'104'!G50</f>
        <v>#VALUE!</v>
      </c>
      <c r="N133" s="348" t="e">
        <f ca="1">AK133*'104'!H50</f>
        <v>#VALUE!</v>
      </c>
      <c r="O133" s="348" t="e">
        <f ca="1">AL133*'104'!I50</f>
        <v>#VALUE!</v>
      </c>
      <c r="P133" s="348" t="e">
        <f ca="1">AM133*'104'!J50</f>
        <v>#VALUE!</v>
      </c>
      <c r="Q133" s="348" t="e">
        <f ca="1">AN133*'104'!K50</f>
        <v>#VALUE!</v>
      </c>
      <c r="R133" s="348" t="e">
        <f ca="1">AO133*'104'!L50</f>
        <v>#VALUE!</v>
      </c>
      <c r="S133" s="348" t="e">
        <f ca="1">AP133*'104'!M50</f>
        <v>#VALUE!</v>
      </c>
      <c r="T133" s="520" t="e">
        <f t="shared" ca="1" si="98"/>
        <v>#VALUE!</v>
      </c>
      <c r="V133" s="13" t="str">
        <f>Lang!$A$148</f>
        <v>Nafta 3</v>
      </c>
      <c r="W133" s="349">
        <f>IF('105'!$A$331=1,SUBSTITUTE('104'!F98,".",",")*1,0)</f>
        <v>0</v>
      </c>
      <c r="X133" s="350">
        <f>IF('105'!$A$331=1,SUBSTITUTE('104'!G98,".",",")*1,0)</f>
        <v>0</v>
      </c>
      <c r="Y133" s="350">
        <f>IF('105'!$A$331=1,SUBSTITUTE('104'!H98,".",",")*1,0)</f>
        <v>0</v>
      </c>
      <c r="Z133" s="350">
        <f>IF('105'!$A$331=1,SUBSTITUTE('104'!I98,".",",")*1,0)</f>
        <v>0</v>
      </c>
      <c r="AA133" s="350">
        <f>IF('105'!$A$331=1,SUBSTITUTE('104'!J98,".",",")*1,0)</f>
        <v>0</v>
      </c>
      <c r="AB133" s="350">
        <f>IF('105'!$A$331=1,SUBSTITUTE('104'!K98,".",",")*1,0)</f>
        <v>0</v>
      </c>
      <c r="AC133" s="350">
        <f>IF('105'!$A$331=1,SUBSTITUTE('104'!L98,".",",")*1,0)</f>
        <v>0</v>
      </c>
      <c r="AD133" s="351">
        <f>IF('105'!$A$331=1,SUBSTITUTE('104'!M98,".",",")*1,0)</f>
        <v>0</v>
      </c>
      <c r="AE133" s="335">
        <f t="shared" si="89"/>
        <v>0</v>
      </c>
      <c r="AG133" s="13" t="str">
        <f>Lang!$A$148</f>
        <v>Nafta 3</v>
      </c>
      <c r="AH133" s="337" t="e">
        <f ca="1">IF(SUBSTITUTE(OFFSET('104'!E98,,'101'!$O$5),".",",")&gt;0,'102'!Y23/SUBSTITUTE(OFFSET('104'!E98,,'101'!$O$5),".",","),0)</f>
        <v>#VALUE!</v>
      </c>
      <c r="AI133" s="352" t="e">
        <f t="shared" ca="1" si="99"/>
        <v>#VALUE!</v>
      </c>
      <c r="AJ133" s="348" t="e">
        <f t="shared" ca="1" si="90"/>
        <v>#VALUE!</v>
      </c>
      <c r="AK133" s="348" t="e">
        <f t="shared" ca="1" si="91"/>
        <v>#VALUE!</v>
      </c>
      <c r="AL133" s="348" t="e">
        <f t="shared" ca="1" si="92"/>
        <v>#VALUE!</v>
      </c>
      <c r="AM133" s="348" t="e">
        <f t="shared" ca="1" si="93"/>
        <v>#VALUE!</v>
      </c>
      <c r="AN133" s="348" t="e">
        <f t="shared" ca="1" si="94"/>
        <v>#VALUE!</v>
      </c>
      <c r="AO133" s="348" t="e">
        <f t="shared" ca="1" si="95"/>
        <v>#VALUE!</v>
      </c>
      <c r="AP133" s="353" t="e">
        <f t="shared" ca="1" si="96"/>
        <v>#VALUE!</v>
      </c>
      <c r="AQ133" s="139" t="e">
        <f t="shared" ca="1" si="97"/>
        <v>#VALUE!</v>
      </c>
      <c r="AR133" s="95"/>
    </row>
    <row r="134" spans="1:44" ht="13.8" thickBot="1" x14ac:dyDescent="0.3">
      <c r="A134" s="31" t="str">
        <f>Lang!$A$159</f>
        <v>Long term loans</v>
      </c>
      <c r="B134" s="6">
        <f>'104'!F77</f>
        <v>0</v>
      </c>
      <c r="C134" s="6">
        <f>'104'!G77</f>
        <v>0</v>
      </c>
      <c r="D134" s="6">
        <f>'104'!H77</f>
        <v>0</v>
      </c>
      <c r="E134" s="6">
        <f>'104'!I77</f>
        <v>0</v>
      </c>
      <c r="F134" s="6">
        <f>'104'!J77</f>
        <v>0</v>
      </c>
      <c r="G134" s="6">
        <f>'104'!K77</f>
        <v>0</v>
      </c>
      <c r="H134" s="6">
        <f>'104'!L77</f>
        <v>0</v>
      </c>
      <c r="I134" s="7">
        <f>'104'!M77</f>
        <v>0</v>
      </c>
      <c r="K134" s="889" t="str">
        <f>Lang!$A$172</f>
        <v>Internet 3</v>
      </c>
      <c r="L134" s="354" t="e">
        <f ca="1">AI134*'104'!F51</f>
        <v>#VALUE!</v>
      </c>
      <c r="M134" s="354" t="e">
        <f ca="1">AJ134*'104'!G51</f>
        <v>#VALUE!</v>
      </c>
      <c r="N134" s="354" t="e">
        <f ca="1">AK134*'104'!H51</f>
        <v>#VALUE!</v>
      </c>
      <c r="O134" s="354" t="e">
        <f ca="1">AL134*'104'!I51</f>
        <v>#VALUE!</v>
      </c>
      <c r="P134" s="354" t="e">
        <f ca="1">AM134*'104'!J51</f>
        <v>#VALUE!</v>
      </c>
      <c r="Q134" s="354" t="e">
        <f ca="1">AN134*'104'!K51</f>
        <v>#VALUE!</v>
      </c>
      <c r="R134" s="354" t="e">
        <f ca="1">AO134*'104'!L51</f>
        <v>#VALUE!</v>
      </c>
      <c r="S134" s="354" t="e">
        <f ca="1">AP134*'104'!M51</f>
        <v>#VALUE!</v>
      </c>
      <c r="T134" s="521" t="e">
        <f t="shared" ca="1" si="98"/>
        <v>#VALUE!</v>
      </c>
      <c r="V134" s="889" t="str">
        <f>Lang!$A$172</f>
        <v>Internet 3</v>
      </c>
      <c r="W134" s="355">
        <f>IF('105'!$A$331=1,SUBSTITUTE('104'!F99,".",",")*1,0)</f>
        <v>0</v>
      </c>
      <c r="X134" s="356">
        <f>IF('105'!$A$331=1,SUBSTITUTE('104'!G99,".",",")*1,0)</f>
        <v>0</v>
      </c>
      <c r="Y134" s="356">
        <f>IF('105'!$A$331=1,SUBSTITUTE('104'!H99,".",",")*1,0)</f>
        <v>0</v>
      </c>
      <c r="Z134" s="356">
        <f>IF('105'!$A$331=1,SUBSTITUTE('104'!I99,".",",")*1,0)</f>
        <v>0</v>
      </c>
      <c r="AA134" s="356">
        <f>IF('105'!$A$331=1,SUBSTITUTE('104'!J99,".",",")*1,0)</f>
        <v>0</v>
      </c>
      <c r="AB134" s="356">
        <f>IF('105'!$A$331=1,SUBSTITUTE('104'!K99,".",",")*1,0)</f>
        <v>0</v>
      </c>
      <c r="AC134" s="356">
        <f>IF('105'!$A$331=1,SUBSTITUTE('104'!L99,".",",")*1,0)</f>
        <v>0</v>
      </c>
      <c r="AD134" s="357">
        <f>IF('105'!$A$331=1,SUBSTITUTE('104'!M99,".",",")*1,0)</f>
        <v>0</v>
      </c>
      <c r="AE134" s="336">
        <f t="shared" si="89"/>
        <v>0</v>
      </c>
      <c r="AG134" s="889" t="str">
        <f>Lang!$A$172</f>
        <v>Internet 3</v>
      </c>
      <c r="AH134" s="338" t="e">
        <f ca="1">IF(SUBSTITUTE(OFFSET('104'!E99,,'101'!$O$5),".",",")&gt;0,'102'!Y24/SUBSTITUTE(OFFSET('104'!E99,,'101'!$O$5),".",","),0)</f>
        <v>#VALUE!</v>
      </c>
      <c r="AI134" s="358" t="e">
        <f t="shared" ca="1" si="99"/>
        <v>#VALUE!</v>
      </c>
      <c r="AJ134" s="354" t="e">
        <f t="shared" ca="1" si="90"/>
        <v>#VALUE!</v>
      </c>
      <c r="AK134" s="354" t="e">
        <f t="shared" ca="1" si="91"/>
        <v>#VALUE!</v>
      </c>
      <c r="AL134" s="354" t="e">
        <f t="shared" ca="1" si="92"/>
        <v>#VALUE!</v>
      </c>
      <c r="AM134" s="354" t="e">
        <f t="shared" ca="1" si="93"/>
        <v>#VALUE!</v>
      </c>
      <c r="AN134" s="354" t="e">
        <f t="shared" ca="1" si="94"/>
        <v>#VALUE!</v>
      </c>
      <c r="AO134" s="354" t="e">
        <f t="shared" ca="1" si="95"/>
        <v>#VALUE!</v>
      </c>
      <c r="AP134" s="359" t="e">
        <f t="shared" ca="1" si="96"/>
        <v>#VALUE!</v>
      </c>
      <c r="AQ134" s="140" t="e">
        <f t="shared" ca="1" si="97"/>
        <v>#VALUE!</v>
      </c>
      <c r="AR134" s="95"/>
    </row>
    <row r="135" spans="1:44" ht="13.8" thickBot="1" x14ac:dyDescent="0.3">
      <c r="A135" s="31" t="str">
        <f>Lang!$A$160</f>
        <v>Share capital</v>
      </c>
      <c r="B135" s="6">
        <f>'104'!F80</f>
        <v>0</v>
      </c>
      <c r="C135" s="6">
        <f>'104'!G80</f>
        <v>0</v>
      </c>
      <c r="D135" s="6">
        <f>'104'!H80</f>
        <v>0</v>
      </c>
      <c r="E135" s="6">
        <f>'104'!I80</f>
        <v>0</v>
      </c>
      <c r="F135" s="6">
        <f>'104'!J80</f>
        <v>0</v>
      </c>
      <c r="G135" s="6">
        <f>'104'!K80</f>
        <v>0</v>
      </c>
      <c r="H135" s="6">
        <f>'104'!L80</f>
        <v>0</v>
      </c>
      <c r="I135" s="7">
        <f>'104'!M80</f>
        <v>0</v>
      </c>
      <c r="T135" s="97"/>
    </row>
    <row r="136" spans="1:44" ht="13.8" thickBot="1" x14ac:dyDescent="0.3">
      <c r="A136" s="879" t="str">
        <f>Lang!$A$161</f>
        <v>Share premium account</v>
      </c>
      <c r="B136" s="6">
        <f>'104'!F81</f>
        <v>0</v>
      </c>
      <c r="C136" s="6">
        <f>'104'!G81</f>
        <v>0</v>
      </c>
      <c r="D136" s="6">
        <f>'104'!H81</f>
        <v>0</v>
      </c>
      <c r="E136" s="6">
        <f>'104'!I81</f>
        <v>0</v>
      </c>
      <c r="F136" s="6">
        <f>'104'!J81</f>
        <v>0</v>
      </c>
      <c r="G136" s="6">
        <f>'104'!K81</f>
        <v>0</v>
      </c>
      <c r="H136" s="6">
        <f>'104'!L81</f>
        <v>0</v>
      </c>
      <c r="I136" s="7">
        <f>'104'!M81</f>
        <v>0</v>
      </c>
      <c r="K136" s="92" t="str">
        <f>Lang!$A$173</f>
        <v>Revenue</v>
      </c>
      <c r="L136" s="93" t="e">
        <f t="shared" ref="L136:S136" ca="1" si="100">B138/AI136</f>
        <v>#VALUE!</v>
      </c>
      <c r="M136" s="93" t="e">
        <f t="shared" ca="1" si="100"/>
        <v>#VALUE!</v>
      </c>
      <c r="N136" s="93" t="e">
        <f t="shared" ca="1" si="100"/>
        <v>#VALUE!</v>
      </c>
      <c r="O136" s="93" t="e">
        <f t="shared" ca="1" si="100"/>
        <v>#VALUE!</v>
      </c>
      <c r="P136" s="93" t="e">
        <f t="shared" ca="1" si="100"/>
        <v>#VALUE!</v>
      </c>
      <c r="Q136" s="93" t="e">
        <f t="shared" ca="1" si="100"/>
        <v>#VALUE!</v>
      </c>
      <c r="R136" s="93" t="e">
        <f t="shared" ca="1" si="100"/>
        <v>#VALUE!</v>
      </c>
      <c r="S136" s="94" t="e">
        <f t="shared" ca="1" si="100"/>
        <v>#VALUE!</v>
      </c>
      <c r="V136" s="147" t="str">
        <f>Lang!$A$174</f>
        <v>Shares</v>
      </c>
      <c r="W136" s="142" t="e">
        <f t="shared" ref="W136:AD136" ca="1" si="101">AVERAGE(SUM(AI126:AI128)/SUM($AQ126:$AQ128),SUM(AI129:AI131)/SUM($AQ129:$AQ131),SUM(AI132:AI134)/SUM($AQ132:$AQ134))*100</f>
        <v>#VALUE!</v>
      </c>
      <c r="X136" s="142" t="e">
        <f t="shared" ca="1" si="101"/>
        <v>#VALUE!</v>
      </c>
      <c r="Y136" s="142" t="e">
        <f t="shared" ca="1" si="101"/>
        <v>#VALUE!</v>
      </c>
      <c r="Z136" s="142" t="e">
        <f t="shared" ca="1" si="101"/>
        <v>#VALUE!</v>
      </c>
      <c r="AA136" s="142" t="e">
        <f t="shared" ca="1" si="101"/>
        <v>#VALUE!</v>
      </c>
      <c r="AB136" s="142" t="e">
        <f t="shared" ca="1" si="101"/>
        <v>#VALUE!</v>
      </c>
      <c r="AC136" s="142" t="e">
        <f t="shared" ca="1" si="101"/>
        <v>#VALUE!</v>
      </c>
      <c r="AD136" s="142" t="e">
        <f t="shared" ca="1" si="101"/>
        <v>#VALUE!</v>
      </c>
      <c r="AE136" s="339" t="e">
        <f ca="1">SUM(W136:AD136)</f>
        <v>#VALUE!</v>
      </c>
      <c r="AG136" s="1144" t="str">
        <f>Lang!$A$175</f>
        <v>Amount</v>
      </c>
      <c r="AH136" s="1145"/>
      <c r="AI136" s="360" t="e">
        <f t="shared" ref="AI136:AP136" ca="1" si="102">AI126+AI127+AI128+AI129*2+AI130*2+AI131*2+AI132*3+AI133*3+AI134*3</f>
        <v>#VALUE!</v>
      </c>
      <c r="AJ136" s="360" t="e">
        <f t="shared" ca="1" si="102"/>
        <v>#VALUE!</v>
      </c>
      <c r="AK136" s="360" t="e">
        <f t="shared" ca="1" si="102"/>
        <v>#VALUE!</v>
      </c>
      <c r="AL136" s="360" t="e">
        <f t="shared" ca="1" si="102"/>
        <v>#VALUE!</v>
      </c>
      <c r="AM136" s="360" t="e">
        <f t="shared" ca="1" si="102"/>
        <v>#VALUE!</v>
      </c>
      <c r="AN136" s="360" t="e">
        <f t="shared" ca="1" si="102"/>
        <v>#VALUE!</v>
      </c>
      <c r="AO136" s="360" t="e">
        <f t="shared" ca="1" si="102"/>
        <v>#VALUE!</v>
      </c>
      <c r="AP136" s="361" t="e">
        <f t="shared" ca="1" si="102"/>
        <v>#VALUE!</v>
      </c>
      <c r="AQ136" s="340" t="e">
        <f ca="1">SUM(AI136:AP136)/AE136*100</f>
        <v>#VALUE!</v>
      </c>
    </row>
    <row r="137" spans="1:44" x14ac:dyDescent="0.25">
      <c r="A137" s="879" t="str">
        <f>Lang!$A$141</f>
        <v xml:space="preserve">Retained earnings </v>
      </c>
      <c r="B137" s="6">
        <f>'104'!F82</f>
        <v>0</v>
      </c>
      <c r="C137" s="6">
        <f>'104'!G82</f>
        <v>0</v>
      </c>
      <c r="D137" s="6">
        <f>'104'!H82</f>
        <v>0</v>
      </c>
      <c r="E137" s="6">
        <f>'104'!I82</f>
        <v>0</v>
      </c>
      <c r="F137" s="6">
        <f>'104'!J82</f>
        <v>0</v>
      </c>
      <c r="G137" s="6">
        <f>'104'!K82</f>
        <v>0</v>
      </c>
      <c r="H137" s="6">
        <f>'104'!L82</f>
        <v>0</v>
      </c>
      <c r="I137" s="7">
        <f>'104'!M82</f>
        <v>0</v>
      </c>
      <c r="K137" s="13" t="str">
        <f>Lang!$A$162</f>
        <v>Expenses</v>
      </c>
      <c r="L137" s="56" t="e">
        <f t="shared" ref="L137:S137" ca="1" si="103">B139/AI136</f>
        <v>#VALUE!</v>
      </c>
      <c r="M137" s="56" t="e">
        <f t="shared" ca="1" si="103"/>
        <v>#VALUE!</v>
      </c>
      <c r="N137" s="56" t="e">
        <f t="shared" ca="1" si="103"/>
        <v>#VALUE!</v>
      </c>
      <c r="O137" s="56" t="e">
        <f t="shared" ca="1" si="103"/>
        <v>#VALUE!</v>
      </c>
      <c r="P137" s="56" t="e">
        <f t="shared" ca="1" si="103"/>
        <v>#VALUE!</v>
      </c>
      <c r="Q137" s="56" t="e">
        <f t="shared" ca="1" si="103"/>
        <v>#VALUE!</v>
      </c>
      <c r="R137" s="56" t="e">
        <f t="shared" ca="1" si="103"/>
        <v>#VALUE!</v>
      </c>
      <c r="S137" s="57" t="e">
        <f t="shared" ca="1" si="103"/>
        <v>#VALUE!</v>
      </c>
    </row>
    <row r="138" spans="1:44" ht="13.8" thickBot="1" x14ac:dyDescent="0.3">
      <c r="A138" s="343" t="str">
        <f>Lang!$A$102</f>
        <v>Sales revenue</v>
      </c>
      <c r="B138" s="148">
        <f ca="1">SUMIF(L126:L134,"&gt;0")</f>
        <v>0</v>
      </c>
      <c r="C138" s="148">
        <f t="shared" ref="C138:I138" ca="1" si="104">SUMIF(M126:M134,"&gt;0")</f>
        <v>0</v>
      </c>
      <c r="D138" s="148">
        <f t="shared" ca="1" si="104"/>
        <v>0</v>
      </c>
      <c r="E138" s="148">
        <f t="shared" ca="1" si="104"/>
        <v>0</v>
      </c>
      <c r="F138" s="148">
        <f t="shared" ca="1" si="104"/>
        <v>0</v>
      </c>
      <c r="G138" s="148">
        <f t="shared" ca="1" si="104"/>
        <v>0</v>
      </c>
      <c r="H138" s="148">
        <f t="shared" ca="1" si="104"/>
        <v>0</v>
      </c>
      <c r="I138" s="24">
        <f t="shared" ca="1" si="104"/>
        <v>0</v>
      </c>
      <c r="K138" s="15" t="str">
        <f>Lang!$A$145</f>
        <v>Profit</v>
      </c>
      <c r="L138" s="59" t="e">
        <f t="shared" ref="L138:S138" ca="1" si="105">L136-L137</f>
        <v>#VALUE!</v>
      </c>
      <c r="M138" s="59" t="e">
        <f t="shared" ca="1" si="105"/>
        <v>#VALUE!</v>
      </c>
      <c r="N138" s="59" t="e">
        <f t="shared" ca="1" si="105"/>
        <v>#VALUE!</v>
      </c>
      <c r="O138" s="59" t="e">
        <f t="shared" ca="1" si="105"/>
        <v>#VALUE!</v>
      </c>
      <c r="P138" s="59" t="e">
        <f t="shared" ca="1" si="105"/>
        <v>#VALUE!</v>
      </c>
      <c r="Q138" s="59" t="e">
        <f t="shared" ca="1" si="105"/>
        <v>#VALUE!</v>
      </c>
      <c r="R138" s="59" t="e">
        <f t="shared" ca="1" si="105"/>
        <v>#VALUE!</v>
      </c>
      <c r="S138" s="60" t="e">
        <f t="shared" ca="1" si="105"/>
        <v>#VALUE!</v>
      </c>
      <c r="T138" s="155"/>
    </row>
    <row r="139" spans="1:44" x14ac:dyDescent="0.25">
      <c r="A139" s="31" t="str">
        <f>Lang!$A$162</f>
        <v>Expenses</v>
      </c>
      <c r="B139" s="148">
        <f t="shared" ref="B139:I139" ca="1" si="106">B138-B140</f>
        <v>0</v>
      </c>
      <c r="C139" s="148">
        <f t="shared" ca="1" si="106"/>
        <v>0</v>
      </c>
      <c r="D139" s="148">
        <f t="shared" ca="1" si="106"/>
        <v>0</v>
      </c>
      <c r="E139" s="148">
        <f t="shared" ca="1" si="106"/>
        <v>0</v>
      </c>
      <c r="F139" s="148">
        <f t="shared" ca="1" si="106"/>
        <v>0</v>
      </c>
      <c r="G139" s="148">
        <f t="shared" ca="1" si="106"/>
        <v>0</v>
      </c>
      <c r="H139" s="148">
        <f t="shared" ca="1" si="106"/>
        <v>0</v>
      </c>
      <c r="I139" s="24">
        <f t="shared" ca="1" si="106"/>
        <v>0</v>
      </c>
    </row>
    <row r="140" spans="1:44" x14ac:dyDescent="0.25">
      <c r="A140" s="31" t="str">
        <f>Lang!$A$145</f>
        <v>Profit</v>
      </c>
      <c r="B140" s="6">
        <f t="shared" ref="B140:I140" si="107">B137-B112+B130+B131-IF(B136=0,IF(B135&lt;B110,(B135-B110)*(B117-100)/100,0),0)</f>
        <v>0</v>
      </c>
      <c r="C140" s="6">
        <f t="shared" si="107"/>
        <v>0</v>
      </c>
      <c r="D140" s="6">
        <f t="shared" si="107"/>
        <v>0</v>
      </c>
      <c r="E140" s="6">
        <f t="shared" si="107"/>
        <v>0</v>
      </c>
      <c r="F140" s="6">
        <f t="shared" si="107"/>
        <v>0</v>
      </c>
      <c r="G140" s="6">
        <f t="shared" si="107"/>
        <v>0</v>
      </c>
      <c r="H140" s="6">
        <f t="shared" si="107"/>
        <v>0</v>
      </c>
      <c r="I140" s="7">
        <f t="shared" si="107"/>
        <v>0</v>
      </c>
    </row>
    <row r="141" spans="1:44" x14ac:dyDescent="0.25">
      <c r="A141" s="879" t="str">
        <f>Lang!$A$163</f>
        <v>Investment performance</v>
      </c>
      <c r="B141" s="6" t="e">
        <f>AVERAGEIF('104'!F$39,"&gt;0")</f>
        <v>#DIV/0!</v>
      </c>
      <c r="C141" s="6" t="e">
        <f>AVERAGEIF('104'!G$39,"&gt;0")</f>
        <v>#DIV/0!</v>
      </c>
      <c r="D141" s="6" t="e">
        <f>AVERAGEIF('104'!H$39,"&gt;0")</f>
        <v>#DIV/0!</v>
      </c>
      <c r="E141" s="6" t="e">
        <f>AVERAGEIF('104'!I$39,"&gt;0")</f>
        <v>#DIV/0!</v>
      </c>
      <c r="F141" s="6" t="e">
        <f>AVERAGEIF('104'!J$39,"&gt;0")</f>
        <v>#DIV/0!</v>
      </c>
      <c r="G141" s="6" t="e">
        <f>AVERAGEIF('104'!K$39,"&gt;0")</f>
        <v>#DIV/0!</v>
      </c>
      <c r="H141" s="6" t="e">
        <f>AVERAGEIF('104'!L$39,"&gt;0")</f>
        <v>#DIV/0!</v>
      </c>
      <c r="I141" s="7" t="e">
        <f>AVERAGEIF('104'!M$39,"&gt;0")</f>
        <v>#DIV/0!</v>
      </c>
    </row>
    <row r="142" spans="1:44" x14ac:dyDescent="0.25">
      <c r="A142" s="879" t="str">
        <f>Lang!$A$78</f>
        <v>Share price</v>
      </c>
      <c r="B142" s="28" t="e">
        <f>AVERAGEIF('104'!F$35,"&gt;0")</f>
        <v>#DIV/0!</v>
      </c>
      <c r="C142" s="28" t="e">
        <f>AVERAGEIF('104'!G$35,"&gt;0")</f>
        <v>#DIV/0!</v>
      </c>
      <c r="D142" s="28" t="e">
        <f>AVERAGEIF('104'!H$35,"&gt;0")</f>
        <v>#DIV/0!</v>
      </c>
      <c r="E142" s="28" t="e">
        <f>AVERAGEIF('104'!I$35,"&gt;0")</f>
        <v>#DIV/0!</v>
      </c>
      <c r="F142" s="28" t="e">
        <f>AVERAGEIF('104'!J$35,"&gt;0")</f>
        <v>#DIV/0!</v>
      </c>
      <c r="G142" s="28" t="e">
        <f>AVERAGEIF('104'!K$35,"&gt;0")</f>
        <v>#DIV/0!</v>
      </c>
      <c r="H142" s="28" t="e">
        <f>AVERAGEIF('104'!L$35,"&gt;0")</f>
        <v>#DIV/0!</v>
      </c>
      <c r="I142" s="341" t="e">
        <f>AVERAGEIF('104'!M$35,"&gt;0")</f>
        <v>#DIV/0!</v>
      </c>
      <c r="M142" s="23"/>
      <c r="N142" s="23"/>
      <c r="O142" s="23"/>
      <c r="P142" s="23"/>
      <c r="Q142" s="23"/>
      <c r="R142" s="23"/>
    </row>
    <row r="143" spans="1:44" x14ac:dyDescent="0.25">
      <c r="A143" s="879" t="str">
        <f>Lang!$A$164</f>
        <v>Goodwill</v>
      </c>
      <c r="B143" s="28" t="e">
        <f t="shared" ref="B143:I143" si="108">B142/(B125/B135)</f>
        <v>#DIV/0!</v>
      </c>
      <c r="C143" s="28" t="e">
        <f t="shared" si="108"/>
        <v>#DIV/0!</v>
      </c>
      <c r="D143" s="28" t="e">
        <f t="shared" si="108"/>
        <v>#DIV/0!</v>
      </c>
      <c r="E143" s="28" t="e">
        <f t="shared" si="108"/>
        <v>#DIV/0!</v>
      </c>
      <c r="F143" s="28" t="e">
        <f t="shared" si="108"/>
        <v>#DIV/0!</v>
      </c>
      <c r="G143" s="28" t="e">
        <f t="shared" si="108"/>
        <v>#DIV/0!</v>
      </c>
      <c r="H143" s="28" t="e">
        <f t="shared" si="108"/>
        <v>#DIV/0!</v>
      </c>
      <c r="I143" s="341" t="e">
        <f t="shared" si="108"/>
        <v>#DIV/0!</v>
      </c>
      <c r="L143" s="155"/>
      <c r="M143" s="155"/>
      <c r="N143" s="155"/>
      <c r="O143" s="155"/>
      <c r="P143" s="155"/>
      <c r="Q143" s="155"/>
      <c r="R143" s="155"/>
      <c r="S143" s="155"/>
      <c r="T143" s="155"/>
    </row>
    <row r="144" spans="1:44" x14ac:dyDescent="0.25">
      <c r="A144" s="879" t="str">
        <f>Lang!$A$84</f>
        <v>Market shares</v>
      </c>
      <c r="B144" s="143" t="e">
        <f t="shared" ref="B144:I144" ca="1" si="109">AVERAGEIF(W136,"&gt;0")</f>
        <v>#DIV/0!</v>
      </c>
      <c r="C144" s="143" t="e">
        <f t="shared" ca="1" si="109"/>
        <v>#DIV/0!</v>
      </c>
      <c r="D144" s="143" t="e">
        <f t="shared" ca="1" si="109"/>
        <v>#DIV/0!</v>
      </c>
      <c r="E144" s="143" t="e">
        <f t="shared" ca="1" si="109"/>
        <v>#DIV/0!</v>
      </c>
      <c r="F144" s="143" t="e">
        <f t="shared" ca="1" si="109"/>
        <v>#DIV/0!</v>
      </c>
      <c r="G144" s="143" t="e">
        <f t="shared" ca="1" si="109"/>
        <v>#DIV/0!</v>
      </c>
      <c r="H144" s="143" t="e">
        <f t="shared" ca="1" si="109"/>
        <v>#DIV/0!</v>
      </c>
      <c r="I144" s="144" t="e">
        <f t="shared" ca="1" si="109"/>
        <v>#DIV/0!</v>
      </c>
      <c r="L144" s="155"/>
      <c r="M144" s="155"/>
      <c r="N144" s="155"/>
      <c r="Q144" s="155"/>
      <c r="R144" s="155"/>
      <c r="S144" s="155"/>
      <c r="T144" s="155"/>
    </row>
    <row r="145" spans="1:20" x14ac:dyDescent="0.25">
      <c r="A145" s="879" t="str">
        <f>Lang!$A$74</f>
        <v>Prices</v>
      </c>
      <c r="B145" s="63" t="e">
        <f>AVERAGEIF('104'!F$43:F$51,"&gt;0")/AVERAGEIF('104'!$F$43:$M$51,"&gt;0")-1</f>
        <v>#DIV/0!</v>
      </c>
      <c r="C145" s="63" t="e">
        <f>AVERAGEIF('104'!G$43:G$51,"&gt;0")/AVERAGEIF('104'!$F$43:$M$51,"&gt;0")-1</f>
        <v>#DIV/0!</v>
      </c>
      <c r="D145" s="63" t="e">
        <f>AVERAGEIF('104'!H$43:H$51,"&gt;0")/AVERAGEIF('104'!$F$43:$M$51,"&gt;0")-1</f>
        <v>#DIV/0!</v>
      </c>
      <c r="E145" s="63" t="e">
        <f>AVERAGEIF('104'!I$43:I$51,"&gt;0")/AVERAGEIF('104'!$F$43:$M$51,"&gt;0")-1</f>
        <v>#DIV/0!</v>
      </c>
      <c r="F145" s="63" t="e">
        <f>AVERAGEIF('104'!J$43:J$51,"&gt;0")/AVERAGEIF('104'!$F$43:$M$51,"&gt;0")-1</f>
        <v>#DIV/0!</v>
      </c>
      <c r="G145" s="63" t="e">
        <f>AVERAGEIF('104'!K$43:K$51,"&gt;0")/AVERAGEIF('104'!$F$43:$M$51,"&gt;0")-1</f>
        <v>#DIV/0!</v>
      </c>
      <c r="H145" s="63" t="e">
        <f>AVERAGEIF('104'!L$43:L$51,"&gt;0")/AVERAGEIF('104'!$F$43:$M$51,"&gt;0")-1</f>
        <v>#DIV/0!</v>
      </c>
      <c r="I145" s="64" t="e">
        <f>AVERAGEIF('104'!M$43:M$51,"&gt;0")/AVERAGEIF('104'!$F$43:$M$51,"&gt;0")-1</f>
        <v>#DIV/0!</v>
      </c>
      <c r="L145" s="155"/>
      <c r="M145" s="155"/>
      <c r="N145" s="155"/>
      <c r="O145" s="155"/>
      <c r="P145" s="155"/>
      <c r="Q145" s="155"/>
      <c r="R145" s="155"/>
      <c r="S145" s="155"/>
      <c r="T145" s="155"/>
    </row>
    <row r="146" spans="1:20" x14ac:dyDescent="0.25">
      <c r="A146" s="879" t="str">
        <f>Lang!$A$38</f>
        <v>Advertising</v>
      </c>
      <c r="B146" s="63" t="e">
        <f>AVERAGEIF('104'!F$104,"&gt;0")/AVERAGEIF('104'!$F$104:$M$104,"&gt;0")-1</f>
        <v>#DIV/0!</v>
      </c>
      <c r="C146" s="63" t="e">
        <f>AVERAGEIF('104'!G$104,"&gt;0")/AVERAGEIF('104'!$F$104:$M$104,"&gt;0")-1</f>
        <v>#DIV/0!</v>
      </c>
      <c r="D146" s="63" t="e">
        <f>AVERAGEIF('104'!H$104,"&gt;0")/AVERAGEIF('104'!$F$104:$M$104,"&gt;0")-1</f>
        <v>#DIV/0!</v>
      </c>
      <c r="E146" s="63" t="e">
        <f>AVERAGEIF('104'!I$104,"&gt;0")/AVERAGEIF('104'!$F$104:$M$104,"&gt;0")-1</f>
        <v>#DIV/0!</v>
      </c>
      <c r="F146" s="63" t="e">
        <f>AVERAGEIF('104'!J$104,"&gt;0")/AVERAGEIF('104'!$F$104:$M$104,"&gt;0")-1</f>
        <v>#DIV/0!</v>
      </c>
      <c r="G146" s="63" t="e">
        <f>AVERAGEIF('104'!K$104,"&gt;0")/AVERAGEIF('104'!$F$104:$M$104,"&gt;0")-1</f>
        <v>#DIV/0!</v>
      </c>
      <c r="H146" s="63" t="e">
        <f>AVERAGEIF('104'!L$104,"&gt;0")/AVERAGEIF('104'!$F$104:$M$104,"&gt;0")-1</f>
        <v>#DIV/0!</v>
      </c>
      <c r="I146" s="64" t="e">
        <f>AVERAGEIF('104'!M$104,"&gt;0")/AVERAGEIF('104'!$F$104:$M$104,"&gt;0")-1</f>
        <v>#DIV/0!</v>
      </c>
      <c r="K146" s="25"/>
      <c r="L146" s="25"/>
      <c r="M146" s="25"/>
      <c r="N146" s="25"/>
      <c r="O146" s="25"/>
      <c r="P146" s="25"/>
      <c r="Q146" s="25"/>
      <c r="R146" s="25"/>
    </row>
    <row r="147" spans="1:20" x14ac:dyDescent="0.25">
      <c r="A147" s="879" t="str">
        <f>Lang!$A$176</f>
        <v>Workers</v>
      </c>
      <c r="B147" s="118">
        <f>'104'!F$53-'102'!$O$7-'102'!$O$8+'102'!$O$10</f>
        <v>0</v>
      </c>
      <c r="C147" s="118">
        <f>'104'!G$53-'102'!$O$7-'102'!$O$8+'102'!$O$10</f>
        <v>0</v>
      </c>
      <c r="D147" s="118">
        <f>'104'!H$53-'102'!$O$7-'102'!$O$8+'102'!$O$10</f>
        <v>0</v>
      </c>
      <c r="E147" s="118">
        <f>'104'!I$53-'102'!$O$7-'102'!$O$8+'102'!$O$10</f>
        <v>0</v>
      </c>
      <c r="F147" s="118">
        <f>'104'!J$53-'102'!$O$7-'102'!$O$8+'102'!$O$10</f>
        <v>0</v>
      </c>
      <c r="G147" s="118">
        <f>'104'!K$53-'102'!$O$7-'102'!$O$8+'102'!$O$10</f>
        <v>0</v>
      </c>
      <c r="H147" s="118">
        <f>'104'!L$53-'102'!$O$7-'102'!$O$8+'102'!$O$10</f>
        <v>0</v>
      </c>
      <c r="I147" s="118">
        <f>'104'!M$53-'102'!$O$7-'102'!$O$8+'102'!$O$10</f>
        <v>0</v>
      </c>
      <c r="K147" s="122"/>
      <c r="L147" s="122"/>
      <c r="M147" s="122"/>
      <c r="N147" s="122"/>
      <c r="O147" s="122"/>
      <c r="P147" s="122"/>
      <c r="Q147" s="122"/>
      <c r="R147" s="122"/>
    </row>
    <row r="148" spans="1:20" ht="13.8" thickBot="1" x14ac:dyDescent="0.3">
      <c r="A148" s="67" t="str">
        <f>Lang!$A$59</f>
        <v>Workers wage rate</v>
      </c>
      <c r="B148" s="863">
        <f>'104'!F54</f>
        <v>0</v>
      </c>
      <c r="C148" s="863">
        <f>'104'!G54</f>
        <v>0</v>
      </c>
      <c r="D148" s="863">
        <f>'104'!H54</f>
        <v>0</v>
      </c>
      <c r="E148" s="863">
        <f>'104'!I54</f>
        <v>0</v>
      </c>
      <c r="F148" s="863">
        <f>'104'!J54</f>
        <v>0</v>
      </c>
      <c r="G148" s="863">
        <f>'104'!K54</f>
        <v>0</v>
      </c>
      <c r="H148" s="863">
        <f>'104'!L54</f>
        <v>0</v>
      </c>
      <c r="I148" s="864">
        <f>'104'!M54</f>
        <v>0</v>
      </c>
    </row>
    <row r="150" spans="1:20" x14ac:dyDescent="0.25">
      <c r="B150" s="25"/>
      <c r="C150" s="25"/>
      <c r="D150" s="25"/>
      <c r="E150" s="25"/>
      <c r="F150" s="25"/>
      <c r="G150" s="25"/>
      <c r="H150" s="25"/>
      <c r="I150" s="25"/>
    </row>
    <row r="151" spans="1:20" x14ac:dyDescent="0.25">
      <c r="B151" s="25"/>
      <c r="C151" s="25"/>
      <c r="D151" s="25"/>
      <c r="E151" s="25"/>
      <c r="F151" s="25"/>
      <c r="G151" s="25"/>
      <c r="H151" s="25"/>
      <c r="I151" s="25"/>
    </row>
    <row r="152" spans="1:20" x14ac:dyDescent="0.25">
      <c r="B152" s="8"/>
      <c r="C152" s="8"/>
      <c r="D152" s="8"/>
      <c r="E152" s="8"/>
      <c r="G152" s="8"/>
    </row>
    <row r="157" spans="1:20" x14ac:dyDescent="0.25">
      <c r="C157" s="25"/>
    </row>
  </sheetData>
  <mergeCells count="20">
    <mergeCell ref="AG136:AH136"/>
    <mergeCell ref="K125:S125"/>
    <mergeCell ref="AG125:AP125"/>
    <mergeCell ref="K100:S100"/>
    <mergeCell ref="AG100:AP100"/>
    <mergeCell ref="AG111:AH111"/>
    <mergeCell ref="V125:AD125"/>
    <mergeCell ref="V100:AD100"/>
    <mergeCell ref="AG86:AH86"/>
    <mergeCell ref="AG61:AH61"/>
    <mergeCell ref="AG36:AH36"/>
    <mergeCell ref="AG25:AP25"/>
    <mergeCell ref="K25:S25"/>
    <mergeCell ref="K75:S75"/>
    <mergeCell ref="AG75:AP75"/>
    <mergeCell ref="AG50:AP50"/>
    <mergeCell ref="K50:S50"/>
    <mergeCell ref="V25:AD25"/>
    <mergeCell ref="V50:AD50"/>
    <mergeCell ref="V75:AD75"/>
  </mergeCells>
  <conditionalFormatting sqref="L26:S26">
    <cfRule type="colorScale" priority="895">
      <colorScale>
        <cfvo type="min"/>
        <cfvo type="percentile" val="50"/>
        <cfvo type="max"/>
        <color rgb="FFF8696B"/>
        <color rgb="FFFFEB84"/>
        <color rgb="FF63BE7B"/>
      </colorScale>
    </cfRule>
  </conditionalFormatting>
  <conditionalFormatting sqref="L27:S27">
    <cfRule type="colorScale" priority="894">
      <colorScale>
        <cfvo type="min"/>
        <cfvo type="percentile" val="50"/>
        <cfvo type="max"/>
        <color rgb="FFF8696B"/>
        <color rgb="FFFFEB84"/>
        <color rgb="FF63BE7B"/>
      </colorScale>
    </cfRule>
  </conditionalFormatting>
  <conditionalFormatting sqref="L28:S28">
    <cfRule type="colorScale" priority="893">
      <colorScale>
        <cfvo type="min"/>
        <cfvo type="percentile" val="50"/>
        <cfvo type="max"/>
        <color rgb="FFF8696B"/>
        <color rgb="FFFFEB84"/>
        <color rgb="FF63BE7B"/>
      </colorScale>
    </cfRule>
  </conditionalFormatting>
  <conditionalFormatting sqref="L29:S29">
    <cfRule type="colorScale" priority="892">
      <colorScale>
        <cfvo type="min"/>
        <cfvo type="percentile" val="50"/>
        <cfvo type="max"/>
        <color rgb="FFF8696B"/>
        <color rgb="FFFFEB84"/>
        <color rgb="FF63BE7B"/>
      </colorScale>
    </cfRule>
  </conditionalFormatting>
  <conditionalFormatting sqref="L30:S30">
    <cfRule type="colorScale" priority="891">
      <colorScale>
        <cfvo type="min"/>
        <cfvo type="percentile" val="50"/>
        <cfvo type="max"/>
        <color rgb="FFF8696B"/>
        <color rgb="FFFFEB84"/>
        <color rgb="FF63BE7B"/>
      </colorScale>
    </cfRule>
  </conditionalFormatting>
  <conditionalFormatting sqref="L31:S31">
    <cfRule type="colorScale" priority="890">
      <colorScale>
        <cfvo type="min"/>
        <cfvo type="percentile" val="50"/>
        <cfvo type="max"/>
        <color rgb="FFF8696B"/>
        <color rgb="FFFFEB84"/>
        <color rgb="FF63BE7B"/>
      </colorScale>
    </cfRule>
  </conditionalFormatting>
  <conditionalFormatting sqref="L32:S32">
    <cfRule type="colorScale" priority="889">
      <colorScale>
        <cfvo type="min"/>
        <cfvo type="percentile" val="50"/>
        <cfvo type="max"/>
        <color rgb="FFF8696B"/>
        <color rgb="FFFFEB84"/>
        <color rgb="FF63BE7B"/>
      </colorScale>
    </cfRule>
  </conditionalFormatting>
  <conditionalFormatting sqref="L33:S33">
    <cfRule type="colorScale" priority="888">
      <colorScale>
        <cfvo type="min"/>
        <cfvo type="percentile" val="50"/>
        <cfvo type="max"/>
        <color rgb="FFF8696B"/>
        <color rgb="FFFFEB84"/>
        <color rgb="FF63BE7B"/>
      </colorScale>
    </cfRule>
  </conditionalFormatting>
  <conditionalFormatting sqref="L34:S34">
    <cfRule type="colorScale" priority="887">
      <colorScale>
        <cfvo type="min"/>
        <cfvo type="percentile" val="50"/>
        <cfvo type="max"/>
        <color rgb="FFF8696B"/>
        <color rgb="FFFFEB84"/>
        <color rgb="FF63BE7B"/>
      </colorScale>
    </cfRule>
  </conditionalFormatting>
  <conditionalFormatting sqref="B45:I45">
    <cfRule type="colorScale" priority="818">
      <colorScale>
        <cfvo type="min"/>
        <cfvo type="percentile" val="50"/>
        <cfvo type="max"/>
        <color rgb="FFF8696B"/>
        <color rgb="FFFFEB84"/>
        <color rgb="FF63BE7B"/>
      </colorScale>
    </cfRule>
  </conditionalFormatting>
  <conditionalFormatting sqref="B40:I40">
    <cfRule type="colorScale" priority="790">
      <colorScale>
        <cfvo type="min"/>
        <cfvo type="percentile" val="50"/>
        <cfvo type="max"/>
        <color rgb="FFF8696B"/>
        <color rgb="FFFFEB84"/>
        <color rgb="FF63BE7B"/>
      </colorScale>
    </cfRule>
  </conditionalFormatting>
  <conditionalFormatting sqref="B43:I43">
    <cfRule type="colorScale" priority="786">
      <colorScale>
        <cfvo type="min"/>
        <cfvo type="percentile" val="50"/>
        <cfvo type="max"/>
        <color rgb="FFF8696B"/>
        <color rgb="FFFFEB84"/>
        <color rgb="FF63BE7B"/>
      </colorScale>
    </cfRule>
  </conditionalFormatting>
  <conditionalFormatting sqref="L37:S37">
    <cfRule type="colorScale" priority="751">
      <colorScale>
        <cfvo type="min"/>
        <cfvo type="percentile" val="50"/>
        <cfvo type="max"/>
        <color rgb="FFF8696B"/>
        <color rgb="FFFFEB84"/>
        <color rgb="FF63BE7B"/>
      </colorScale>
    </cfRule>
  </conditionalFormatting>
  <conditionalFormatting sqref="L36:S36">
    <cfRule type="colorScale" priority="750">
      <colorScale>
        <cfvo type="min"/>
        <cfvo type="percentile" val="50"/>
        <cfvo type="max"/>
        <color rgb="FFF8696B"/>
        <color rgb="FFFFEB84"/>
        <color rgb="FF63BE7B"/>
      </colorScale>
    </cfRule>
  </conditionalFormatting>
  <conditionalFormatting sqref="L38:S38">
    <cfRule type="colorScale" priority="749">
      <colorScale>
        <cfvo type="min"/>
        <cfvo type="percentile" val="50"/>
        <cfvo type="max"/>
        <color rgb="FFF8696B"/>
        <color rgb="FFFFEB84"/>
        <color rgb="FF63BE7B"/>
      </colorScale>
    </cfRule>
  </conditionalFormatting>
  <conditionalFormatting sqref="W36:AD36">
    <cfRule type="colorScale" priority="719">
      <colorScale>
        <cfvo type="min"/>
        <cfvo type="percentile" val="50"/>
        <cfvo type="max"/>
        <color rgb="FFF8696B"/>
        <color rgb="FFFFEB84"/>
        <color rgb="FF63BE7B"/>
      </colorScale>
    </cfRule>
  </conditionalFormatting>
  <conditionalFormatting sqref="B26:I26">
    <cfRule type="colorScale" priority="696">
      <colorScale>
        <cfvo type="min"/>
        <cfvo type="percentile" val="50"/>
        <cfvo type="max"/>
        <color rgb="FFF8696B"/>
        <color rgb="FFFFEB84"/>
        <color rgb="FF63BE7B"/>
      </colorScale>
    </cfRule>
  </conditionalFormatting>
  <conditionalFormatting sqref="AI36:AP36">
    <cfRule type="colorScale" priority="663">
      <colorScale>
        <cfvo type="min"/>
        <cfvo type="percentile" val="50"/>
        <cfvo type="max"/>
        <color rgb="FFF8696B"/>
        <color rgb="FFFFEB84"/>
        <color rgb="FF63BE7B"/>
      </colorScale>
    </cfRule>
  </conditionalFormatting>
  <conditionalFormatting sqref="L51:S51">
    <cfRule type="colorScale" priority="575">
      <colorScale>
        <cfvo type="min"/>
        <cfvo type="percentile" val="50"/>
        <cfvo type="max"/>
        <color rgb="FFF8696B"/>
        <color rgb="FFFFEB84"/>
        <color rgb="FF63BE7B"/>
      </colorScale>
    </cfRule>
  </conditionalFormatting>
  <conditionalFormatting sqref="L52:S52">
    <cfRule type="colorScale" priority="574">
      <colorScale>
        <cfvo type="min"/>
        <cfvo type="percentile" val="50"/>
        <cfvo type="max"/>
        <color rgb="FFF8696B"/>
        <color rgb="FFFFEB84"/>
        <color rgb="FF63BE7B"/>
      </colorScale>
    </cfRule>
  </conditionalFormatting>
  <conditionalFormatting sqref="L53:S53">
    <cfRule type="colorScale" priority="573">
      <colorScale>
        <cfvo type="min"/>
        <cfvo type="percentile" val="50"/>
        <cfvo type="max"/>
        <color rgb="FFF8696B"/>
        <color rgb="FFFFEB84"/>
        <color rgb="FF63BE7B"/>
      </colorScale>
    </cfRule>
  </conditionalFormatting>
  <conditionalFormatting sqref="L54:S54">
    <cfRule type="colorScale" priority="572">
      <colorScale>
        <cfvo type="min"/>
        <cfvo type="percentile" val="50"/>
        <cfvo type="max"/>
        <color rgb="FFF8696B"/>
        <color rgb="FFFFEB84"/>
        <color rgb="FF63BE7B"/>
      </colorScale>
    </cfRule>
  </conditionalFormatting>
  <conditionalFormatting sqref="L55:S55">
    <cfRule type="colorScale" priority="571">
      <colorScale>
        <cfvo type="min"/>
        <cfvo type="percentile" val="50"/>
        <cfvo type="max"/>
        <color rgb="FFF8696B"/>
        <color rgb="FFFFEB84"/>
        <color rgb="FF63BE7B"/>
      </colorScale>
    </cfRule>
  </conditionalFormatting>
  <conditionalFormatting sqref="L56:S56">
    <cfRule type="colorScale" priority="570">
      <colorScale>
        <cfvo type="min"/>
        <cfvo type="percentile" val="50"/>
        <cfvo type="max"/>
        <color rgb="FFF8696B"/>
        <color rgb="FFFFEB84"/>
        <color rgb="FF63BE7B"/>
      </colorScale>
    </cfRule>
  </conditionalFormatting>
  <conditionalFormatting sqref="L57:S57">
    <cfRule type="colorScale" priority="569">
      <colorScale>
        <cfvo type="min"/>
        <cfvo type="percentile" val="50"/>
        <cfvo type="max"/>
        <color rgb="FFF8696B"/>
        <color rgb="FFFFEB84"/>
        <color rgb="FF63BE7B"/>
      </colorScale>
    </cfRule>
  </conditionalFormatting>
  <conditionalFormatting sqref="L58:S58">
    <cfRule type="colorScale" priority="568">
      <colorScale>
        <cfvo type="min"/>
        <cfvo type="percentile" val="50"/>
        <cfvo type="max"/>
        <color rgb="FFF8696B"/>
        <color rgb="FFFFEB84"/>
        <color rgb="FF63BE7B"/>
      </colorScale>
    </cfRule>
  </conditionalFormatting>
  <conditionalFormatting sqref="L59:S59">
    <cfRule type="colorScale" priority="567">
      <colorScale>
        <cfvo type="min"/>
        <cfvo type="percentile" val="50"/>
        <cfvo type="max"/>
        <color rgb="FFF8696B"/>
        <color rgb="FFFFEB84"/>
        <color rgb="FF63BE7B"/>
      </colorScale>
    </cfRule>
  </conditionalFormatting>
  <conditionalFormatting sqref="L62:S62">
    <cfRule type="colorScale" priority="551">
      <colorScale>
        <cfvo type="min"/>
        <cfvo type="percentile" val="50"/>
        <cfvo type="max"/>
        <color rgb="FFF8696B"/>
        <color rgb="FFFFEB84"/>
        <color rgb="FF63BE7B"/>
      </colorScale>
    </cfRule>
  </conditionalFormatting>
  <conditionalFormatting sqref="L61:S61">
    <cfRule type="colorScale" priority="550">
      <colorScale>
        <cfvo type="min"/>
        <cfvo type="percentile" val="50"/>
        <cfvo type="max"/>
        <color rgb="FFF8696B"/>
        <color rgb="FFFFEB84"/>
        <color rgb="FF63BE7B"/>
      </colorScale>
    </cfRule>
  </conditionalFormatting>
  <conditionalFormatting sqref="L63:S63">
    <cfRule type="colorScale" priority="549">
      <colorScale>
        <cfvo type="min"/>
        <cfvo type="percentile" val="50"/>
        <cfvo type="max"/>
        <color rgb="FFF8696B"/>
        <color rgb="FFFFEB84"/>
        <color rgb="FF63BE7B"/>
      </colorScale>
    </cfRule>
  </conditionalFormatting>
  <conditionalFormatting sqref="W61:AD61">
    <cfRule type="colorScale" priority="548">
      <colorScale>
        <cfvo type="min"/>
        <cfvo type="percentile" val="50"/>
        <cfvo type="max"/>
        <color rgb="FFF8696B"/>
        <color rgb="FFFFEB84"/>
        <color rgb="FF63BE7B"/>
      </colorScale>
    </cfRule>
  </conditionalFormatting>
  <conditionalFormatting sqref="AI61:AP61">
    <cfRule type="colorScale" priority="535">
      <colorScale>
        <cfvo type="min"/>
        <cfvo type="percentile" val="50"/>
        <cfvo type="max"/>
        <color rgb="FFF8696B"/>
        <color rgb="FFFFEB84"/>
        <color rgb="FF63BE7B"/>
      </colorScale>
    </cfRule>
  </conditionalFormatting>
  <conditionalFormatting sqref="B67:I67">
    <cfRule type="colorScale" priority="576">
      <colorScale>
        <cfvo type="min"/>
        <cfvo type="percentile" val="50"/>
        <cfvo type="max"/>
        <color rgb="FFF8696B"/>
        <color rgb="FFFFEB84"/>
        <color rgb="FF63BE7B"/>
      </colorScale>
    </cfRule>
  </conditionalFormatting>
  <conditionalFormatting sqref="B69:I69">
    <cfRule type="colorScale" priority="555">
      <colorScale>
        <cfvo type="min"/>
        <cfvo type="percentile" val="50"/>
        <cfvo type="max"/>
        <color rgb="FFF8696B"/>
        <color rgb="FFFFEB84"/>
        <color rgb="FF63BE7B"/>
      </colorScale>
    </cfRule>
  </conditionalFormatting>
  <conditionalFormatting sqref="B51:I51">
    <cfRule type="colorScale" priority="547">
      <colorScale>
        <cfvo type="min"/>
        <cfvo type="percentile" val="50"/>
        <cfvo type="max"/>
        <color rgb="FFF8696B"/>
        <color rgb="FFFFEB84"/>
        <color rgb="FF63BE7B"/>
      </colorScale>
    </cfRule>
  </conditionalFormatting>
  <conditionalFormatting sqref="L77:N77 P77:S77">
    <cfRule type="colorScale" priority="488">
      <colorScale>
        <cfvo type="min"/>
        <cfvo type="percentile" val="50"/>
        <cfvo type="max"/>
        <color rgb="FFF8696B"/>
        <color rgb="FFFFEB84"/>
        <color rgb="FF63BE7B"/>
      </colorScale>
    </cfRule>
  </conditionalFormatting>
  <conditionalFormatting sqref="L78:N78 P78:S78">
    <cfRule type="colorScale" priority="487">
      <colorScale>
        <cfvo type="min"/>
        <cfvo type="percentile" val="50"/>
        <cfvo type="max"/>
        <color rgb="FFF8696B"/>
        <color rgb="FFFFEB84"/>
        <color rgb="FF63BE7B"/>
      </colorScale>
    </cfRule>
  </conditionalFormatting>
  <conditionalFormatting sqref="L79:S79 O77:O78">
    <cfRule type="colorScale" priority="486">
      <colorScale>
        <cfvo type="min"/>
        <cfvo type="percentile" val="50"/>
        <cfvo type="max"/>
        <color rgb="FFF8696B"/>
        <color rgb="FFFFEB84"/>
        <color rgb="FF63BE7B"/>
      </colorScale>
    </cfRule>
  </conditionalFormatting>
  <conditionalFormatting sqref="L80:S80">
    <cfRule type="colorScale" priority="485">
      <colorScale>
        <cfvo type="min"/>
        <cfvo type="percentile" val="50"/>
        <cfvo type="max"/>
        <color rgb="FFF8696B"/>
        <color rgb="FFFFEB84"/>
        <color rgb="FF63BE7B"/>
      </colorScale>
    </cfRule>
  </conditionalFormatting>
  <conditionalFormatting sqref="L81:S81">
    <cfRule type="colorScale" priority="484">
      <colorScale>
        <cfvo type="min"/>
        <cfvo type="percentile" val="50"/>
        <cfvo type="max"/>
        <color rgb="FFF8696B"/>
        <color rgb="FFFFEB84"/>
        <color rgb="FF63BE7B"/>
      </colorScale>
    </cfRule>
  </conditionalFormatting>
  <conditionalFormatting sqref="L82:S82">
    <cfRule type="colorScale" priority="483">
      <colorScale>
        <cfvo type="min"/>
        <cfvo type="percentile" val="50"/>
        <cfvo type="max"/>
        <color rgb="FFF8696B"/>
        <color rgb="FFFFEB84"/>
        <color rgb="FF63BE7B"/>
      </colorScale>
    </cfRule>
  </conditionalFormatting>
  <conditionalFormatting sqref="L83:S83">
    <cfRule type="colorScale" priority="482">
      <colorScale>
        <cfvo type="min"/>
        <cfvo type="percentile" val="50"/>
        <cfvo type="max"/>
        <color rgb="FFF8696B"/>
        <color rgb="FFFFEB84"/>
        <color rgb="FF63BE7B"/>
      </colorScale>
    </cfRule>
  </conditionalFormatting>
  <conditionalFormatting sqref="L84:S84">
    <cfRule type="colorScale" priority="481">
      <colorScale>
        <cfvo type="min"/>
        <cfvo type="percentile" val="50"/>
        <cfvo type="max"/>
        <color rgb="FFF8696B"/>
        <color rgb="FFFFEB84"/>
        <color rgb="FF63BE7B"/>
      </colorScale>
    </cfRule>
  </conditionalFormatting>
  <conditionalFormatting sqref="AI77:AP77">
    <cfRule type="colorScale" priority="479">
      <colorScale>
        <cfvo type="min"/>
        <cfvo type="percentile" val="50"/>
        <cfvo type="max"/>
        <color rgb="FFF8696B"/>
        <color rgb="FFFFEB84"/>
        <color rgb="FF63BE7B"/>
      </colorScale>
    </cfRule>
  </conditionalFormatting>
  <conditionalFormatting sqref="AI78:AP78">
    <cfRule type="colorScale" priority="478">
      <colorScale>
        <cfvo type="min"/>
        <cfvo type="percentile" val="50"/>
        <cfvo type="max"/>
        <color rgb="FFF8696B"/>
        <color rgb="FFFFEB84"/>
        <color rgb="FF63BE7B"/>
      </colorScale>
    </cfRule>
  </conditionalFormatting>
  <conditionalFormatting sqref="AI79:AP79">
    <cfRule type="colorScale" priority="477">
      <colorScale>
        <cfvo type="min"/>
        <cfvo type="percentile" val="50"/>
        <cfvo type="max"/>
        <color rgb="FFF8696B"/>
        <color rgb="FFFFEB84"/>
        <color rgb="FF63BE7B"/>
      </colorScale>
    </cfRule>
  </conditionalFormatting>
  <conditionalFormatting sqref="AI80:AP80">
    <cfRule type="colorScale" priority="476">
      <colorScale>
        <cfvo type="min"/>
        <cfvo type="percentile" val="50"/>
        <cfvo type="max"/>
        <color rgb="FFF8696B"/>
        <color rgb="FFFFEB84"/>
        <color rgb="FF63BE7B"/>
      </colorScale>
    </cfRule>
  </conditionalFormatting>
  <conditionalFormatting sqref="AI81:AP81">
    <cfRule type="colorScale" priority="475">
      <colorScale>
        <cfvo type="min"/>
        <cfvo type="percentile" val="50"/>
        <cfvo type="max"/>
        <color rgb="FFF8696B"/>
        <color rgb="FFFFEB84"/>
        <color rgb="FF63BE7B"/>
      </colorScale>
    </cfRule>
  </conditionalFormatting>
  <conditionalFormatting sqref="AI82:AP82">
    <cfRule type="colorScale" priority="474">
      <colorScale>
        <cfvo type="min"/>
        <cfvo type="percentile" val="50"/>
        <cfvo type="max"/>
        <color rgb="FFF8696B"/>
        <color rgb="FFFFEB84"/>
        <color rgb="FF63BE7B"/>
      </colorScale>
    </cfRule>
  </conditionalFormatting>
  <conditionalFormatting sqref="AI83:AP83">
    <cfRule type="colorScale" priority="473">
      <colorScale>
        <cfvo type="min"/>
        <cfvo type="percentile" val="50"/>
        <cfvo type="max"/>
        <color rgb="FFF8696B"/>
        <color rgb="FFFFEB84"/>
        <color rgb="FF63BE7B"/>
      </colorScale>
    </cfRule>
  </conditionalFormatting>
  <conditionalFormatting sqref="AI84:AP84">
    <cfRule type="colorScale" priority="472">
      <colorScale>
        <cfvo type="min"/>
        <cfvo type="percentile" val="50"/>
        <cfvo type="max"/>
        <color rgb="FFF8696B"/>
        <color rgb="FFFFEB84"/>
        <color rgb="FF63BE7B"/>
      </colorScale>
    </cfRule>
  </conditionalFormatting>
  <conditionalFormatting sqref="L87:S87">
    <cfRule type="colorScale" priority="465">
      <colorScale>
        <cfvo type="min"/>
        <cfvo type="percentile" val="50"/>
        <cfvo type="max"/>
        <color rgb="FFF8696B"/>
        <color rgb="FFFFEB84"/>
        <color rgb="FF63BE7B"/>
      </colorScale>
    </cfRule>
  </conditionalFormatting>
  <conditionalFormatting sqref="L86:S86">
    <cfRule type="colorScale" priority="464">
      <colorScale>
        <cfvo type="min"/>
        <cfvo type="percentile" val="50"/>
        <cfvo type="max"/>
        <color rgb="FFF8696B"/>
        <color rgb="FFFFEB84"/>
        <color rgb="FF63BE7B"/>
      </colorScale>
    </cfRule>
  </conditionalFormatting>
  <conditionalFormatting sqref="L88:S88">
    <cfRule type="colorScale" priority="463">
      <colorScale>
        <cfvo type="min"/>
        <cfvo type="percentile" val="50"/>
        <cfvo type="max"/>
        <color rgb="FFF8696B"/>
        <color rgb="FFFFEB84"/>
        <color rgb="FF63BE7B"/>
      </colorScale>
    </cfRule>
  </conditionalFormatting>
  <conditionalFormatting sqref="AI86:AP86">
    <cfRule type="colorScale" priority="449">
      <colorScale>
        <cfvo type="min"/>
        <cfvo type="percentile" val="50"/>
        <cfvo type="max"/>
        <color rgb="FFF8696B"/>
        <color rgb="FFFFEB84"/>
        <color rgb="FF63BE7B"/>
      </colorScale>
    </cfRule>
  </conditionalFormatting>
  <conditionalFormatting sqref="B76:I76">
    <cfRule type="colorScale" priority="461">
      <colorScale>
        <cfvo type="min"/>
        <cfvo type="percentile" val="50"/>
        <cfvo type="max"/>
        <color rgb="FFF8696B"/>
        <color rgb="FFFFEB84"/>
        <color rgb="FF63BE7B"/>
      </colorScale>
    </cfRule>
  </conditionalFormatting>
  <conditionalFormatting sqref="L101:S101">
    <cfRule type="colorScale" priority="446">
      <colorScale>
        <cfvo type="min"/>
        <cfvo type="percentile" val="50"/>
        <cfvo type="max"/>
        <color rgb="FFF8696B"/>
        <color rgb="FFFFEB84"/>
        <color rgb="FF63BE7B"/>
      </colorScale>
    </cfRule>
  </conditionalFormatting>
  <conditionalFormatting sqref="L102:S102">
    <cfRule type="colorScale" priority="445">
      <colorScale>
        <cfvo type="min"/>
        <cfvo type="percentile" val="50"/>
        <cfvo type="max"/>
        <color rgb="FFF8696B"/>
        <color rgb="FFFFEB84"/>
        <color rgb="FF63BE7B"/>
      </colorScale>
    </cfRule>
  </conditionalFormatting>
  <conditionalFormatting sqref="L103:S103">
    <cfRule type="colorScale" priority="444">
      <colorScale>
        <cfvo type="min"/>
        <cfvo type="percentile" val="50"/>
        <cfvo type="max"/>
        <color rgb="FFF8696B"/>
        <color rgb="FFFFEB84"/>
        <color rgb="FF63BE7B"/>
      </colorScale>
    </cfRule>
  </conditionalFormatting>
  <conditionalFormatting sqref="L104:S104">
    <cfRule type="colorScale" priority="443">
      <colorScale>
        <cfvo type="min"/>
        <cfvo type="percentile" val="50"/>
        <cfvo type="max"/>
        <color rgb="FFF8696B"/>
        <color rgb="FFFFEB84"/>
        <color rgb="FF63BE7B"/>
      </colorScale>
    </cfRule>
  </conditionalFormatting>
  <conditionalFormatting sqref="L105:S105">
    <cfRule type="colorScale" priority="442">
      <colorScale>
        <cfvo type="min"/>
        <cfvo type="percentile" val="50"/>
        <cfvo type="max"/>
        <color rgb="FFF8696B"/>
        <color rgb="FFFFEB84"/>
        <color rgb="FF63BE7B"/>
      </colorScale>
    </cfRule>
  </conditionalFormatting>
  <conditionalFormatting sqref="L106:S106">
    <cfRule type="colorScale" priority="441">
      <colorScale>
        <cfvo type="min"/>
        <cfvo type="percentile" val="50"/>
        <cfvo type="max"/>
        <color rgb="FFF8696B"/>
        <color rgb="FFFFEB84"/>
        <color rgb="FF63BE7B"/>
      </colorScale>
    </cfRule>
  </conditionalFormatting>
  <conditionalFormatting sqref="L107:S107">
    <cfRule type="colorScale" priority="440">
      <colorScale>
        <cfvo type="min"/>
        <cfvo type="percentile" val="50"/>
        <cfvo type="max"/>
        <color rgb="FFF8696B"/>
        <color rgb="FFFFEB84"/>
        <color rgb="FF63BE7B"/>
      </colorScale>
    </cfRule>
  </conditionalFormatting>
  <conditionalFormatting sqref="L108:S108">
    <cfRule type="colorScale" priority="439">
      <colorScale>
        <cfvo type="min"/>
        <cfvo type="percentile" val="50"/>
        <cfvo type="max"/>
        <color rgb="FFF8696B"/>
        <color rgb="FFFFEB84"/>
        <color rgb="FF63BE7B"/>
      </colorScale>
    </cfRule>
  </conditionalFormatting>
  <conditionalFormatting sqref="L109:S109">
    <cfRule type="colorScale" priority="438">
      <colorScale>
        <cfvo type="min"/>
        <cfvo type="percentile" val="50"/>
        <cfvo type="max"/>
        <color rgb="FFF8696B"/>
        <color rgb="FFFFEB84"/>
        <color rgb="FF63BE7B"/>
      </colorScale>
    </cfRule>
  </conditionalFormatting>
  <conditionalFormatting sqref="L112:S112">
    <cfRule type="colorScale" priority="422">
      <colorScale>
        <cfvo type="min"/>
        <cfvo type="percentile" val="50"/>
        <cfvo type="max"/>
        <color rgb="FFF8696B"/>
        <color rgb="FFFFEB84"/>
        <color rgb="FF63BE7B"/>
      </colorScale>
    </cfRule>
  </conditionalFormatting>
  <conditionalFormatting sqref="L111:S111">
    <cfRule type="colorScale" priority="421">
      <colorScale>
        <cfvo type="min"/>
        <cfvo type="percentile" val="50"/>
        <cfvo type="max"/>
        <color rgb="FFF8696B"/>
        <color rgb="FFFFEB84"/>
        <color rgb="FF63BE7B"/>
      </colorScale>
    </cfRule>
  </conditionalFormatting>
  <conditionalFormatting sqref="L113:S113">
    <cfRule type="colorScale" priority="420">
      <colorScale>
        <cfvo type="min"/>
        <cfvo type="percentile" val="50"/>
        <cfvo type="max"/>
        <color rgb="FFF8696B"/>
        <color rgb="FFFFEB84"/>
        <color rgb="FF63BE7B"/>
      </colorScale>
    </cfRule>
  </conditionalFormatting>
  <conditionalFormatting sqref="W111:AD111">
    <cfRule type="colorScale" priority="419">
      <colorScale>
        <cfvo type="min"/>
        <cfvo type="percentile" val="50"/>
        <cfvo type="max"/>
        <color rgb="FFF8696B"/>
        <color rgb="FFFFEB84"/>
        <color rgb="FF63BE7B"/>
      </colorScale>
    </cfRule>
  </conditionalFormatting>
  <conditionalFormatting sqref="AI111:AP111">
    <cfRule type="colorScale" priority="406">
      <colorScale>
        <cfvo type="min"/>
        <cfvo type="percentile" val="50"/>
        <cfvo type="max"/>
        <color rgb="FFF8696B"/>
        <color rgb="FFFFEB84"/>
        <color rgb="FF63BE7B"/>
      </colorScale>
    </cfRule>
  </conditionalFormatting>
  <conditionalFormatting sqref="B101:I101">
    <cfRule type="colorScale" priority="418">
      <colorScale>
        <cfvo type="min"/>
        <cfvo type="percentile" val="50"/>
        <cfvo type="max"/>
        <color rgb="FFF8696B"/>
        <color rgb="FFFFEB84"/>
        <color rgb="FF63BE7B"/>
      </colorScale>
    </cfRule>
  </conditionalFormatting>
  <conditionalFormatting sqref="L126:S126">
    <cfRule type="colorScale" priority="403">
      <colorScale>
        <cfvo type="min"/>
        <cfvo type="percentile" val="50"/>
        <cfvo type="max"/>
        <color rgb="FFF8696B"/>
        <color rgb="FFFFEB84"/>
        <color rgb="FF63BE7B"/>
      </colorScale>
    </cfRule>
  </conditionalFormatting>
  <conditionalFormatting sqref="L127:S127">
    <cfRule type="colorScale" priority="402">
      <colorScale>
        <cfvo type="min"/>
        <cfvo type="percentile" val="50"/>
        <cfvo type="max"/>
        <color rgb="FFF8696B"/>
        <color rgb="FFFFEB84"/>
        <color rgb="FF63BE7B"/>
      </colorScale>
    </cfRule>
  </conditionalFormatting>
  <conditionalFormatting sqref="L128:S128">
    <cfRule type="colorScale" priority="401">
      <colorScale>
        <cfvo type="min"/>
        <cfvo type="percentile" val="50"/>
        <cfvo type="max"/>
        <color rgb="FFF8696B"/>
        <color rgb="FFFFEB84"/>
        <color rgb="FF63BE7B"/>
      </colorScale>
    </cfRule>
  </conditionalFormatting>
  <conditionalFormatting sqref="L129:S129">
    <cfRule type="colorScale" priority="400">
      <colorScale>
        <cfvo type="min"/>
        <cfvo type="percentile" val="50"/>
        <cfvo type="max"/>
        <color rgb="FFF8696B"/>
        <color rgb="FFFFEB84"/>
        <color rgb="FF63BE7B"/>
      </colorScale>
    </cfRule>
  </conditionalFormatting>
  <conditionalFormatting sqref="L130:S130">
    <cfRule type="colorScale" priority="399">
      <colorScale>
        <cfvo type="min"/>
        <cfvo type="percentile" val="50"/>
        <cfvo type="max"/>
        <color rgb="FFF8696B"/>
        <color rgb="FFFFEB84"/>
        <color rgb="FF63BE7B"/>
      </colorScale>
    </cfRule>
  </conditionalFormatting>
  <conditionalFormatting sqref="L131:S131">
    <cfRule type="colorScale" priority="398">
      <colorScale>
        <cfvo type="min"/>
        <cfvo type="percentile" val="50"/>
        <cfvo type="max"/>
        <color rgb="FFF8696B"/>
        <color rgb="FFFFEB84"/>
        <color rgb="FF63BE7B"/>
      </colorScale>
    </cfRule>
  </conditionalFormatting>
  <conditionalFormatting sqref="L132:S132">
    <cfRule type="colorScale" priority="397">
      <colorScale>
        <cfvo type="min"/>
        <cfvo type="percentile" val="50"/>
        <cfvo type="max"/>
        <color rgb="FFF8696B"/>
        <color rgb="FFFFEB84"/>
        <color rgb="FF63BE7B"/>
      </colorScale>
    </cfRule>
  </conditionalFormatting>
  <conditionalFormatting sqref="L133:S133">
    <cfRule type="colorScale" priority="396">
      <colorScale>
        <cfvo type="min"/>
        <cfvo type="percentile" val="50"/>
        <cfvo type="max"/>
        <color rgb="FFF8696B"/>
        <color rgb="FFFFEB84"/>
        <color rgb="FF63BE7B"/>
      </colorScale>
    </cfRule>
  </conditionalFormatting>
  <conditionalFormatting sqref="L134:S134">
    <cfRule type="colorScale" priority="395">
      <colorScale>
        <cfvo type="min"/>
        <cfvo type="percentile" val="50"/>
        <cfvo type="max"/>
        <color rgb="FFF8696B"/>
        <color rgb="FFFFEB84"/>
        <color rgb="FF63BE7B"/>
      </colorScale>
    </cfRule>
  </conditionalFormatting>
  <conditionalFormatting sqref="L137:S137">
    <cfRule type="colorScale" priority="379">
      <colorScale>
        <cfvo type="min"/>
        <cfvo type="percentile" val="50"/>
        <cfvo type="max"/>
        <color rgb="FFF8696B"/>
        <color rgb="FFFFEB84"/>
        <color rgb="FF63BE7B"/>
      </colorScale>
    </cfRule>
  </conditionalFormatting>
  <conditionalFormatting sqref="L136:S136">
    <cfRule type="colorScale" priority="378">
      <colorScale>
        <cfvo type="min"/>
        <cfvo type="percentile" val="50"/>
        <cfvo type="max"/>
        <color rgb="FFF8696B"/>
        <color rgb="FFFFEB84"/>
        <color rgb="FF63BE7B"/>
      </colorScale>
    </cfRule>
  </conditionalFormatting>
  <conditionalFormatting sqref="L138:S138">
    <cfRule type="colorScale" priority="377">
      <colorScale>
        <cfvo type="min"/>
        <cfvo type="percentile" val="50"/>
        <cfvo type="max"/>
        <color rgb="FFF8696B"/>
        <color rgb="FFFFEB84"/>
        <color rgb="FF63BE7B"/>
      </colorScale>
    </cfRule>
  </conditionalFormatting>
  <conditionalFormatting sqref="W136:AD136">
    <cfRule type="colorScale" priority="376">
      <colorScale>
        <cfvo type="min"/>
        <cfvo type="percentile" val="50"/>
        <cfvo type="max"/>
        <color rgb="FFF8696B"/>
        <color rgb="FFFFEB84"/>
        <color rgb="FF63BE7B"/>
      </colorScale>
    </cfRule>
  </conditionalFormatting>
  <conditionalFormatting sqref="W126:AD126">
    <cfRule type="colorScale" priority="372">
      <colorScale>
        <cfvo type="min"/>
        <cfvo type="percentile" val="50"/>
        <cfvo type="max"/>
        <color rgb="FFF8696B"/>
        <color rgb="FFFFEB84"/>
        <color rgb="FF63BE7B"/>
      </colorScale>
    </cfRule>
  </conditionalFormatting>
  <conditionalFormatting sqref="W127:AD127">
    <cfRule type="colorScale" priority="371">
      <colorScale>
        <cfvo type="min"/>
        <cfvo type="percentile" val="50"/>
        <cfvo type="max"/>
        <color rgb="FFF8696B"/>
        <color rgb="FFFFEB84"/>
        <color rgb="FF63BE7B"/>
      </colorScale>
    </cfRule>
  </conditionalFormatting>
  <conditionalFormatting sqref="W128:AD128">
    <cfRule type="colorScale" priority="370">
      <colorScale>
        <cfvo type="min"/>
        <cfvo type="percentile" val="50"/>
        <cfvo type="max"/>
        <color rgb="FFF8696B"/>
        <color rgb="FFFFEB84"/>
        <color rgb="FF63BE7B"/>
      </colorScale>
    </cfRule>
  </conditionalFormatting>
  <conditionalFormatting sqref="W129:AD129">
    <cfRule type="colorScale" priority="369">
      <colorScale>
        <cfvo type="min"/>
        <cfvo type="percentile" val="50"/>
        <cfvo type="max"/>
        <color rgb="FFF8696B"/>
        <color rgb="FFFFEB84"/>
        <color rgb="FF63BE7B"/>
      </colorScale>
    </cfRule>
  </conditionalFormatting>
  <conditionalFormatting sqref="W130:AD130">
    <cfRule type="colorScale" priority="368">
      <colorScale>
        <cfvo type="min"/>
        <cfvo type="percentile" val="50"/>
        <cfvo type="max"/>
        <color rgb="FFF8696B"/>
        <color rgb="FFFFEB84"/>
        <color rgb="FF63BE7B"/>
      </colorScale>
    </cfRule>
  </conditionalFormatting>
  <conditionalFormatting sqref="W131:AD131">
    <cfRule type="colorScale" priority="367">
      <colorScale>
        <cfvo type="min"/>
        <cfvo type="percentile" val="50"/>
        <cfvo type="max"/>
        <color rgb="FFF8696B"/>
        <color rgb="FFFFEB84"/>
        <color rgb="FF63BE7B"/>
      </colorScale>
    </cfRule>
  </conditionalFormatting>
  <conditionalFormatting sqref="W132:AD132">
    <cfRule type="colorScale" priority="366">
      <colorScale>
        <cfvo type="min"/>
        <cfvo type="percentile" val="50"/>
        <cfvo type="max"/>
        <color rgb="FFF8696B"/>
        <color rgb="FFFFEB84"/>
        <color rgb="FF63BE7B"/>
      </colorScale>
    </cfRule>
  </conditionalFormatting>
  <conditionalFormatting sqref="W133:AD133">
    <cfRule type="colorScale" priority="365">
      <colorScale>
        <cfvo type="min"/>
        <cfvo type="percentile" val="50"/>
        <cfvo type="max"/>
        <color rgb="FFF8696B"/>
        <color rgb="FFFFEB84"/>
        <color rgb="FF63BE7B"/>
      </colorScale>
    </cfRule>
  </conditionalFormatting>
  <conditionalFormatting sqref="W134:AD134">
    <cfRule type="colorScale" priority="364">
      <colorScale>
        <cfvo type="min"/>
        <cfvo type="percentile" val="50"/>
        <cfvo type="max"/>
        <color rgb="FFF8696B"/>
        <color rgb="FFFFEB84"/>
        <color rgb="FF63BE7B"/>
      </colorScale>
    </cfRule>
  </conditionalFormatting>
  <conditionalFormatting sqref="AI136:AP136">
    <cfRule type="colorScale" priority="363">
      <colorScale>
        <cfvo type="min"/>
        <cfvo type="percentile" val="50"/>
        <cfvo type="max"/>
        <color rgb="FFF8696B"/>
        <color rgb="FFFFEB84"/>
        <color rgb="FF63BE7B"/>
      </colorScale>
    </cfRule>
  </conditionalFormatting>
  <conditionalFormatting sqref="B126:I126">
    <cfRule type="colorScale" priority="375">
      <colorScale>
        <cfvo type="min"/>
        <cfvo type="percentile" val="50"/>
        <cfvo type="max"/>
        <color rgb="FFF8696B"/>
        <color rgb="FFFFEB84"/>
        <color rgb="FF63BE7B"/>
      </colorScale>
    </cfRule>
  </conditionalFormatting>
  <conditionalFormatting sqref="B68:I68">
    <cfRule type="colorScale" priority="344">
      <colorScale>
        <cfvo type="min"/>
        <cfvo type="percentile" val="50"/>
        <cfvo type="max"/>
        <color rgb="FFF8696B"/>
        <color rgb="FFFFEB84"/>
        <color rgb="FF63BE7B"/>
      </colorScale>
    </cfRule>
  </conditionalFormatting>
  <conditionalFormatting sqref="B93:I93">
    <cfRule type="colorScale" priority="343">
      <colorScale>
        <cfvo type="min"/>
        <cfvo type="percentile" val="50"/>
        <cfvo type="max"/>
        <color rgb="FFF8696B"/>
        <color rgb="FFFFEB84"/>
        <color rgb="FF63BE7B"/>
      </colorScale>
    </cfRule>
  </conditionalFormatting>
  <conditionalFormatting sqref="B118:I118">
    <cfRule type="colorScale" priority="342">
      <colorScale>
        <cfvo type="min"/>
        <cfvo type="percentile" val="50"/>
        <cfvo type="max"/>
        <color rgb="FFF8696B"/>
        <color rgb="FFFFEB84"/>
        <color rgb="FF63BE7B"/>
      </colorScale>
    </cfRule>
  </conditionalFormatting>
  <conditionalFormatting sqref="B143:I143">
    <cfRule type="colorScale" priority="341">
      <colorScale>
        <cfvo type="min"/>
        <cfvo type="percentile" val="50"/>
        <cfvo type="max"/>
        <color rgb="FFF8696B"/>
        <color rgb="FFFFEB84"/>
        <color rgb="FF63BE7B"/>
      </colorScale>
    </cfRule>
  </conditionalFormatting>
  <conditionalFormatting sqref="A1:F1">
    <cfRule type="expression" dxfId="320" priority="340">
      <formula>#REF!=1</formula>
    </cfRule>
  </conditionalFormatting>
  <conditionalFormatting sqref="AI76:AP76">
    <cfRule type="colorScale" priority="327">
      <colorScale>
        <cfvo type="min"/>
        <cfvo type="percentile" val="50"/>
        <cfvo type="max"/>
        <color rgb="FFF8696B"/>
        <color rgb="FFFFEB84"/>
        <color rgb="FF63BE7B"/>
      </colorScale>
    </cfRule>
  </conditionalFormatting>
  <conditionalFormatting sqref="W86:AD86">
    <cfRule type="colorScale" priority="326">
      <colorScale>
        <cfvo type="min"/>
        <cfvo type="percentile" val="50"/>
        <cfvo type="max"/>
        <color rgb="FFF8696B"/>
        <color rgb="FFFFEB84"/>
        <color rgb="FF63BE7B"/>
      </colorScale>
    </cfRule>
  </conditionalFormatting>
  <conditionalFormatting sqref="L76:S76">
    <cfRule type="colorScale" priority="325">
      <colorScale>
        <cfvo type="min"/>
        <cfvo type="percentile" val="50"/>
        <cfvo type="max"/>
        <color rgb="FFF8696B"/>
        <color rgb="FFFFEB84"/>
        <color rgb="FF63BE7B"/>
      </colorScale>
    </cfRule>
  </conditionalFormatting>
  <conditionalFormatting sqref="AI52:AP52">
    <cfRule type="colorScale" priority="324">
      <colorScale>
        <cfvo type="min"/>
        <cfvo type="percentile" val="50"/>
        <cfvo type="max"/>
        <color rgb="FFF8696B"/>
        <color rgb="FFFFEB84"/>
        <color rgb="FF63BE7B"/>
      </colorScale>
    </cfRule>
  </conditionalFormatting>
  <conditionalFormatting sqref="AI53:AP53">
    <cfRule type="colorScale" priority="323">
      <colorScale>
        <cfvo type="min"/>
        <cfvo type="percentile" val="50"/>
        <cfvo type="max"/>
        <color rgb="FFF8696B"/>
        <color rgb="FFFFEB84"/>
        <color rgb="FF63BE7B"/>
      </colorScale>
    </cfRule>
  </conditionalFormatting>
  <conditionalFormatting sqref="AI54:AP54">
    <cfRule type="colorScale" priority="322">
      <colorScale>
        <cfvo type="min"/>
        <cfvo type="percentile" val="50"/>
        <cfvo type="max"/>
        <color rgb="FFF8696B"/>
        <color rgb="FFFFEB84"/>
        <color rgb="FF63BE7B"/>
      </colorScale>
    </cfRule>
  </conditionalFormatting>
  <conditionalFormatting sqref="AI55:AP55">
    <cfRule type="colorScale" priority="321">
      <colorScale>
        <cfvo type="min"/>
        <cfvo type="percentile" val="50"/>
        <cfvo type="max"/>
        <color rgb="FFF8696B"/>
        <color rgb="FFFFEB84"/>
        <color rgb="FF63BE7B"/>
      </colorScale>
    </cfRule>
  </conditionalFormatting>
  <conditionalFormatting sqref="AI56:AP56">
    <cfRule type="colorScale" priority="320">
      <colorScale>
        <cfvo type="min"/>
        <cfvo type="percentile" val="50"/>
        <cfvo type="max"/>
        <color rgb="FFF8696B"/>
        <color rgb="FFFFEB84"/>
        <color rgb="FF63BE7B"/>
      </colorScale>
    </cfRule>
  </conditionalFormatting>
  <conditionalFormatting sqref="AI57:AP57">
    <cfRule type="colorScale" priority="319">
      <colorScale>
        <cfvo type="min"/>
        <cfvo type="percentile" val="50"/>
        <cfvo type="max"/>
        <color rgb="FFF8696B"/>
        <color rgb="FFFFEB84"/>
        <color rgb="FF63BE7B"/>
      </colorScale>
    </cfRule>
  </conditionalFormatting>
  <conditionalFormatting sqref="AI58:AP58">
    <cfRule type="colorScale" priority="318">
      <colorScale>
        <cfvo type="min"/>
        <cfvo type="percentile" val="50"/>
        <cfvo type="max"/>
        <color rgb="FFF8696B"/>
        <color rgb="FFFFEB84"/>
        <color rgb="FF63BE7B"/>
      </colorScale>
    </cfRule>
  </conditionalFormatting>
  <conditionalFormatting sqref="AI59:AP59">
    <cfRule type="colorScale" priority="317">
      <colorScale>
        <cfvo type="min"/>
        <cfvo type="percentile" val="50"/>
        <cfvo type="max"/>
        <color rgb="FFF8696B"/>
        <color rgb="FFFFEB84"/>
        <color rgb="FF63BE7B"/>
      </colorScale>
    </cfRule>
  </conditionalFormatting>
  <conditionalFormatting sqref="AI51:AP51">
    <cfRule type="colorScale" priority="316">
      <colorScale>
        <cfvo type="min"/>
        <cfvo type="percentile" val="50"/>
        <cfvo type="max"/>
        <color rgb="FFF8696B"/>
        <color rgb="FFFFEB84"/>
        <color rgb="FF63BE7B"/>
      </colorScale>
    </cfRule>
  </conditionalFormatting>
  <conditionalFormatting sqref="AI27:AP27">
    <cfRule type="colorScale" priority="315">
      <colorScale>
        <cfvo type="min"/>
        <cfvo type="percentile" val="50"/>
        <cfvo type="max"/>
        <color rgb="FFF8696B"/>
        <color rgb="FFFFEB84"/>
        <color rgb="FF63BE7B"/>
      </colorScale>
    </cfRule>
  </conditionalFormatting>
  <conditionalFormatting sqref="AI28:AP28">
    <cfRule type="colorScale" priority="314">
      <colorScale>
        <cfvo type="min"/>
        <cfvo type="percentile" val="50"/>
        <cfvo type="max"/>
        <color rgb="FFF8696B"/>
        <color rgb="FFFFEB84"/>
        <color rgb="FF63BE7B"/>
      </colorScale>
    </cfRule>
  </conditionalFormatting>
  <conditionalFormatting sqref="AI29:AP29">
    <cfRule type="colorScale" priority="313">
      <colorScale>
        <cfvo type="min"/>
        <cfvo type="percentile" val="50"/>
        <cfvo type="max"/>
        <color rgb="FFF8696B"/>
        <color rgb="FFFFEB84"/>
        <color rgb="FF63BE7B"/>
      </colorScale>
    </cfRule>
  </conditionalFormatting>
  <conditionalFormatting sqref="AI30:AP30">
    <cfRule type="colorScale" priority="312">
      <colorScale>
        <cfvo type="min"/>
        <cfvo type="percentile" val="50"/>
        <cfvo type="max"/>
        <color rgb="FFF8696B"/>
        <color rgb="FFFFEB84"/>
        <color rgb="FF63BE7B"/>
      </colorScale>
    </cfRule>
  </conditionalFormatting>
  <conditionalFormatting sqref="AI31:AP31">
    <cfRule type="colorScale" priority="311">
      <colorScale>
        <cfvo type="min"/>
        <cfvo type="percentile" val="50"/>
        <cfvo type="max"/>
        <color rgb="FFF8696B"/>
        <color rgb="FFFFEB84"/>
        <color rgb="FF63BE7B"/>
      </colorScale>
    </cfRule>
  </conditionalFormatting>
  <conditionalFormatting sqref="AI32:AP32">
    <cfRule type="colorScale" priority="310">
      <colorScale>
        <cfvo type="min"/>
        <cfvo type="percentile" val="50"/>
        <cfvo type="max"/>
        <color rgb="FFF8696B"/>
        <color rgb="FFFFEB84"/>
        <color rgb="FF63BE7B"/>
      </colorScale>
    </cfRule>
  </conditionalFormatting>
  <conditionalFormatting sqref="AI33:AP33">
    <cfRule type="colorScale" priority="309">
      <colorScale>
        <cfvo type="min"/>
        <cfvo type="percentile" val="50"/>
        <cfvo type="max"/>
        <color rgb="FFF8696B"/>
        <color rgb="FFFFEB84"/>
        <color rgb="FF63BE7B"/>
      </colorScale>
    </cfRule>
  </conditionalFormatting>
  <conditionalFormatting sqref="AI34:AP34">
    <cfRule type="colorScale" priority="308">
      <colorScale>
        <cfvo type="min"/>
        <cfvo type="percentile" val="50"/>
        <cfvo type="max"/>
        <color rgb="FFF8696B"/>
        <color rgb="FFFFEB84"/>
        <color rgb="FF63BE7B"/>
      </colorScale>
    </cfRule>
  </conditionalFormatting>
  <conditionalFormatting sqref="AI26:AP26">
    <cfRule type="colorScale" priority="307">
      <colorScale>
        <cfvo type="min"/>
        <cfvo type="percentile" val="50"/>
        <cfvo type="max"/>
        <color rgb="FFF8696B"/>
        <color rgb="FFFFEB84"/>
        <color rgb="FF63BE7B"/>
      </colorScale>
    </cfRule>
  </conditionalFormatting>
  <conditionalFormatting sqref="AI102:AP102">
    <cfRule type="colorScale" priority="306">
      <colorScale>
        <cfvo type="min"/>
        <cfvo type="percentile" val="50"/>
        <cfvo type="max"/>
        <color rgb="FFF8696B"/>
        <color rgb="FFFFEB84"/>
        <color rgb="FF63BE7B"/>
      </colorScale>
    </cfRule>
  </conditionalFormatting>
  <conditionalFormatting sqref="AI103:AP103">
    <cfRule type="colorScale" priority="305">
      <colorScale>
        <cfvo type="min"/>
        <cfvo type="percentile" val="50"/>
        <cfvo type="max"/>
        <color rgb="FFF8696B"/>
        <color rgb="FFFFEB84"/>
        <color rgb="FF63BE7B"/>
      </colorScale>
    </cfRule>
  </conditionalFormatting>
  <conditionalFormatting sqref="AI104:AP104">
    <cfRule type="colorScale" priority="304">
      <colorScale>
        <cfvo type="min"/>
        <cfvo type="percentile" val="50"/>
        <cfvo type="max"/>
        <color rgb="FFF8696B"/>
        <color rgb="FFFFEB84"/>
        <color rgb="FF63BE7B"/>
      </colorScale>
    </cfRule>
  </conditionalFormatting>
  <conditionalFormatting sqref="AI105:AP105">
    <cfRule type="colorScale" priority="303">
      <colorScale>
        <cfvo type="min"/>
        <cfvo type="percentile" val="50"/>
        <cfvo type="max"/>
        <color rgb="FFF8696B"/>
        <color rgb="FFFFEB84"/>
        <color rgb="FF63BE7B"/>
      </colorScale>
    </cfRule>
  </conditionalFormatting>
  <conditionalFormatting sqref="AI106:AP106">
    <cfRule type="colorScale" priority="302">
      <colorScale>
        <cfvo type="min"/>
        <cfvo type="percentile" val="50"/>
        <cfvo type="max"/>
        <color rgb="FFF8696B"/>
        <color rgb="FFFFEB84"/>
        <color rgb="FF63BE7B"/>
      </colorScale>
    </cfRule>
  </conditionalFormatting>
  <conditionalFormatting sqref="AI107:AP107">
    <cfRule type="colorScale" priority="301">
      <colorScale>
        <cfvo type="min"/>
        <cfvo type="percentile" val="50"/>
        <cfvo type="max"/>
        <color rgb="FFF8696B"/>
        <color rgb="FFFFEB84"/>
        <color rgb="FF63BE7B"/>
      </colorScale>
    </cfRule>
  </conditionalFormatting>
  <conditionalFormatting sqref="AI108:AP108">
    <cfRule type="colorScale" priority="300">
      <colorScale>
        <cfvo type="min"/>
        <cfvo type="percentile" val="50"/>
        <cfvo type="max"/>
        <color rgb="FFF8696B"/>
        <color rgb="FFFFEB84"/>
        <color rgb="FF63BE7B"/>
      </colorScale>
    </cfRule>
  </conditionalFormatting>
  <conditionalFormatting sqref="AI109:AP109">
    <cfRule type="colorScale" priority="299">
      <colorScale>
        <cfvo type="min"/>
        <cfvo type="percentile" val="50"/>
        <cfvo type="max"/>
        <color rgb="FFF8696B"/>
        <color rgb="FFFFEB84"/>
        <color rgb="FF63BE7B"/>
      </colorScale>
    </cfRule>
  </conditionalFormatting>
  <conditionalFormatting sqref="AI101:AP101">
    <cfRule type="colorScale" priority="298">
      <colorScale>
        <cfvo type="min"/>
        <cfvo type="percentile" val="50"/>
        <cfvo type="max"/>
        <color rgb="FFF8696B"/>
        <color rgb="FFFFEB84"/>
        <color rgb="FF63BE7B"/>
      </colorScale>
    </cfRule>
  </conditionalFormatting>
  <conditionalFormatting sqref="AI127:AP127">
    <cfRule type="colorScale" priority="297">
      <colorScale>
        <cfvo type="min"/>
        <cfvo type="percentile" val="50"/>
        <cfvo type="max"/>
        <color rgb="FFF8696B"/>
        <color rgb="FFFFEB84"/>
        <color rgb="FF63BE7B"/>
      </colorScale>
    </cfRule>
  </conditionalFormatting>
  <conditionalFormatting sqref="AI128:AP128">
    <cfRule type="colorScale" priority="296">
      <colorScale>
        <cfvo type="min"/>
        <cfvo type="percentile" val="50"/>
        <cfvo type="max"/>
        <color rgb="FFF8696B"/>
        <color rgb="FFFFEB84"/>
        <color rgb="FF63BE7B"/>
      </colorScale>
    </cfRule>
  </conditionalFormatting>
  <conditionalFormatting sqref="AI129:AP129">
    <cfRule type="colorScale" priority="295">
      <colorScale>
        <cfvo type="min"/>
        <cfvo type="percentile" val="50"/>
        <cfvo type="max"/>
        <color rgb="FFF8696B"/>
        <color rgb="FFFFEB84"/>
        <color rgb="FF63BE7B"/>
      </colorScale>
    </cfRule>
  </conditionalFormatting>
  <conditionalFormatting sqref="AI130:AP130">
    <cfRule type="colorScale" priority="294">
      <colorScale>
        <cfvo type="min"/>
        <cfvo type="percentile" val="50"/>
        <cfvo type="max"/>
        <color rgb="FFF8696B"/>
        <color rgb="FFFFEB84"/>
        <color rgb="FF63BE7B"/>
      </colorScale>
    </cfRule>
  </conditionalFormatting>
  <conditionalFormatting sqref="AI131:AP131">
    <cfRule type="colorScale" priority="293">
      <colorScale>
        <cfvo type="min"/>
        <cfvo type="percentile" val="50"/>
        <cfvo type="max"/>
        <color rgb="FFF8696B"/>
        <color rgb="FFFFEB84"/>
        <color rgb="FF63BE7B"/>
      </colorScale>
    </cfRule>
  </conditionalFormatting>
  <conditionalFormatting sqref="AI132:AP132">
    <cfRule type="colorScale" priority="292">
      <colorScale>
        <cfvo type="min"/>
        <cfvo type="percentile" val="50"/>
        <cfvo type="max"/>
        <color rgb="FFF8696B"/>
        <color rgb="FFFFEB84"/>
        <color rgb="FF63BE7B"/>
      </colorScale>
    </cfRule>
  </conditionalFormatting>
  <conditionalFormatting sqref="AI133:AP133">
    <cfRule type="colorScale" priority="291">
      <colorScale>
        <cfvo type="min"/>
        <cfvo type="percentile" val="50"/>
        <cfvo type="max"/>
        <color rgb="FFF8696B"/>
        <color rgb="FFFFEB84"/>
        <color rgb="FF63BE7B"/>
      </colorScale>
    </cfRule>
  </conditionalFormatting>
  <conditionalFormatting sqref="AI134:AP134">
    <cfRule type="colorScale" priority="290">
      <colorScale>
        <cfvo type="min"/>
        <cfvo type="percentile" val="50"/>
        <cfvo type="max"/>
        <color rgb="FFF8696B"/>
        <color rgb="FFFFEB84"/>
        <color rgb="FF63BE7B"/>
      </colorScale>
    </cfRule>
  </conditionalFormatting>
  <conditionalFormatting sqref="AI126:AP126">
    <cfRule type="colorScale" priority="289">
      <colorScale>
        <cfvo type="min"/>
        <cfvo type="percentile" val="50"/>
        <cfvo type="max"/>
        <color rgb="FFF8696B"/>
        <color rgb="FFFFEB84"/>
        <color rgb="FF63BE7B"/>
      </colorScale>
    </cfRule>
  </conditionalFormatting>
  <conditionalFormatting sqref="B71:I71">
    <cfRule type="colorScale" priority="278">
      <colorScale>
        <cfvo type="min"/>
        <cfvo type="percentile" val="50"/>
        <cfvo type="max"/>
        <color rgb="FFF8696B"/>
        <color rgb="FFFFEB84"/>
        <color rgb="FF63BE7B"/>
      </colorScale>
    </cfRule>
  </conditionalFormatting>
  <conditionalFormatting sqref="B70:I70">
    <cfRule type="colorScale" priority="287">
      <colorScale>
        <cfvo type="min"/>
        <cfvo type="percentile" val="50"/>
        <cfvo type="max"/>
        <color rgb="FFF8696B"/>
        <color rgb="FFFFEB84"/>
        <color rgb="FF63BE7B"/>
      </colorScale>
    </cfRule>
  </conditionalFormatting>
  <conditionalFormatting sqref="B95:I95">
    <cfRule type="colorScale" priority="285">
      <colorScale>
        <cfvo type="min"/>
        <cfvo type="percentile" val="50"/>
        <cfvo type="max"/>
        <color rgb="FFF8696B"/>
        <color rgb="FFFFEB84"/>
        <color rgb="FF63BE7B"/>
      </colorScale>
    </cfRule>
  </conditionalFormatting>
  <conditionalFormatting sqref="B121:I121">
    <cfRule type="colorScale" priority="284">
      <colorScale>
        <cfvo type="min"/>
        <cfvo type="percentile" val="50"/>
        <cfvo type="max"/>
        <color rgb="FFF8696B"/>
        <color rgb="FFFFEB84"/>
        <color rgb="FF63BE7B"/>
      </colorScale>
    </cfRule>
  </conditionalFormatting>
  <conditionalFormatting sqref="B120:I120">
    <cfRule type="colorScale" priority="283">
      <colorScale>
        <cfvo type="min"/>
        <cfvo type="percentile" val="50"/>
        <cfvo type="max"/>
        <color rgb="FFF8696B"/>
        <color rgb="FFFFEB84"/>
        <color rgb="FF63BE7B"/>
      </colorScale>
    </cfRule>
  </conditionalFormatting>
  <conditionalFormatting sqref="B145:I145">
    <cfRule type="colorScale" priority="281">
      <colorScale>
        <cfvo type="min"/>
        <cfvo type="percentile" val="50"/>
        <cfvo type="max"/>
        <color rgb="FFF8696B"/>
        <color rgb="FFFFEB84"/>
        <color rgb="FF63BE7B"/>
      </colorScale>
    </cfRule>
  </conditionalFormatting>
  <conditionalFormatting sqref="B146:I146">
    <cfRule type="colorScale" priority="280">
      <colorScale>
        <cfvo type="min"/>
        <cfvo type="percentile" val="50"/>
        <cfvo type="max"/>
        <color rgb="FFF8696B"/>
        <color rgb="FFFFEB84"/>
        <color rgb="FF63BE7B"/>
      </colorScale>
    </cfRule>
  </conditionalFormatting>
  <conditionalFormatting sqref="B96:I96">
    <cfRule type="colorScale" priority="279">
      <colorScale>
        <cfvo type="min"/>
        <cfvo type="percentile" val="50"/>
        <cfvo type="max"/>
        <color rgb="FFF8696B"/>
        <color rgb="FFFFEB84"/>
        <color rgb="FF63BE7B"/>
      </colorScale>
    </cfRule>
  </conditionalFormatting>
  <conditionalFormatting sqref="B46:I46">
    <cfRule type="colorScale" priority="277">
      <colorScale>
        <cfvo type="min"/>
        <cfvo type="percentile" val="50"/>
        <cfvo type="max"/>
        <color rgb="FFF8696B"/>
        <color rgb="FFFFEB84"/>
        <color rgb="FF63BE7B"/>
      </colorScale>
    </cfRule>
  </conditionalFormatting>
  <conditionalFormatting sqref="B44:I44">
    <cfRule type="colorScale" priority="276">
      <colorScale>
        <cfvo type="min"/>
        <cfvo type="percentile" val="50"/>
        <cfvo type="max"/>
        <color rgb="FFF8696B"/>
        <color rgb="FFFFEB84"/>
        <color rgb="FF63BE7B"/>
      </colorScale>
    </cfRule>
  </conditionalFormatting>
  <conditionalFormatting sqref="B94:I94">
    <cfRule type="colorScale" priority="275">
      <colorScale>
        <cfvo type="min"/>
        <cfvo type="percentile" val="50"/>
        <cfvo type="max"/>
        <color rgb="FFF8696B"/>
        <color rgb="FFFFEB84"/>
        <color rgb="FF63BE7B"/>
      </colorScale>
    </cfRule>
  </conditionalFormatting>
  <conditionalFormatting sqref="B119:I119">
    <cfRule type="colorScale" priority="274">
      <colorScale>
        <cfvo type="min"/>
        <cfvo type="percentile" val="50"/>
        <cfvo type="max"/>
        <color rgb="FFF8696B"/>
        <color rgb="FFFFEB84"/>
        <color rgb="FF63BE7B"/>
      </colorScale>
    </cfRule>
  </conditionalFormatting>
  <conditionalFormatting sqref="B144:I144">
    <cfRule type="colorScale" priority="273">
      <colorScale>
        <cfvo type="min"/>
        <cfvo type="percentile" val="50"/>
        <cfvo type="max"/>
        <color rgb="FFF8696B"/>
        <color rgb="FFFFEB84"/>
        <color rgb="FF63BE7B"/>
      </colorScale>
    </cfRule>
  </conditionalFormatting>
  <conditionalFormatting sqref="B42:I42">
    <cfRule type="colorScale" priority="272">
      <colorScale>
        <cfvo type="min"/>
        <cfvo type="percentile" val="50"/>
        <cfvo type="max"/>
        <color rgb="FFF8696B"/>
        <color rgb="FFFFEB84"/>
        <color rgb="FF63BE7B"/>
      </colorScale>
    </cfRule>
  </conditionalFormatting>
  <conditionalFormatting sqref="B92:I92">
    <cfRule type="colorScale" priority="271">
      <colorScale>
        <cfvo type="min"/>
        <cfvo type="percentile" val="50"/>
        <cfvo type="max"/>
        <color rgb="FFF8696B"/>
        <color rgb="FFFFEB84"/>
        <color rgb="FF63BE7B"/>
      </colorScale>
    </cfRule>
  </conditionalFormatting>
  <conditionalFormatting sqref="B117:I117">
    <cfRule type="colorScale" priority="270">
      <colorScale>
        <cfvo type="min"/>
        <cfvo type="percentile" val="50"/>
        <cfvo type="max"/>
        <color rgb="FFF8696B"/>
        <color rgb="FFFFEB84"/>
        <color rgb="FF63BE7B"/>
      </colorScale>
    </cfRule>
  </conditionalFormatting>
  <conditionalFormatting sqref="B142:I142">
    <cfRule type="colorScale" priority="269">
      <colorScale>
        <cfvo type="min"/>
        <cfvo type="percentile" val="50"/>
        <cfvo type="max"/>
        <color rgb="FFF8696B"/>
        <color rgb="FFFFEB84"/>
        <color rgb="FF63BE7B"/>
      </colorScale>
    </cfRule>
  </conditionalFormatting>
  <conditionalFormatting sqref="AI1:AM1">
    <cfRule type="colorScale" priority="265">
      <colorScale>
        <cfvo type="min"/>
        <cfvo type="percentile" val="50"/>
        <cfvo type="max"/>
        <color rgb="FFF8696B"/>
        <color rgb="FFFFEB84"/>
        <color rgb="FF63BE7B"/>
      </colorScale>
    </cfRule>
  </conditionalFormatting>
  <conditionalFormatting sqref="AH1">
    <cfRule type="colorScale" priority="264">
      <colorScale>
        <cfvo type="min"/>
        <cfvo type="percentile" val="50"/>
        <cfvo type="max"/>
        <color rgb="FFF8696B"/>
        <color rgb="FFFFEB84"/>
        <color rgb="FF63BE7B"/>
      </colorScale>
    </cfRule>
  </conditionalFormatting>
  <conditionalFormatting sqref="AH14:AM17 AH21:AM23">
    <cfRule type="colorScale" priority="263">
      <colorScale>
        <cfvo type="min"/>
        <cfvo type="percentile" val="50"/>
        <cfvo type="max"/>
        <color rgb="FFF8696B"/>
        <color rgb="FFFFEB84"/>
        <color rgb="FF63BE7B"/>
      </colorScale>
    </cfRule>
  </conditionalFormatting>
  <conditionalFormatting sqref="W14:AB17 W21:AB23">
    <cfRule type="colorScale" priority="262">
      <colorScale>
        <cfvo type="min"/>
        <cfvo type="percentile" val="50"/>
        <cfvo type="max"/>
        <color rgb="FFF8696B"/>
        <color rgb="FFFFEB84"/>
        <color rgb="FF63BE7B"/>
      </colorScale>
    </cfRule>
  </conditionalFormatting>
  <conditionalFormatting sqref="B41:I41">
    <cfRule type="colorScale" priority="198">
      <colorScale>
        <cfvo type="min"/>
        <cfvo type="percentile" val="50"/>
        <cfvo type="max"/>
        <color rgb="FFF8696B"/>
        <color rgb="FFFFEB84"/>
        <color rgb="FF63BE7B"/>
      </colorScale>
    </cfRule>
  </conditionalFormatting>
  <conditionalFormatting sqref="B66:I66">
    <cfRule type="colorScale" priority="197">
      <colorScale>
        <cfvo type="min"/>
        <cfvo type="percentile" val="50"/>
        <cfvo type="max"/>
        <color rgb="FFF8696B"/>
        <color rgb="FFFFEB84"/>
        <color rgb="FF63BE7B"/>
      </colorScale>
    </cfRule>
  </conditionalFormatting>
  <conditionalFormatting sqref="B91:I91">
    <cfRule type="colorScale" priority="196">
      <colorScale>
        <cfvo type="min"/>
        <cfvo type="percentile" val="50"/>
        <cfvo type="max"/>
        <color rgb="FFF8696B"/>
        <color rgb="FFFFEB84"/>
        <color rgb="FF63BE7B"/>
      </colorScale>
    </cfRule>
  </conditionalFormatting>
  <conditionalFormatting sqref="B116:I116">
    <cfRule type="colorScale" priority="195">
      <colorScale>
        <cfvo type="min"/>
        <cfvo type="percentile" val="50"/>
        <cfvo type="max"/>
        <color rgb="FFF8696B"/>
        <color rgb="FFFFEB84"/>
        <color rgb="FF63BE7B"/>
      </colorScale>
    </cfRule>
  </conditionalFormatting>
  <conditionalFormatting sqref="B141:I141">
    <cfRule type="colorScale" priority="194">
      <colorScale>
        <cfvo type="min"/>
        <cfvo type="percentile" val="50"/>
        <cfvo type="max"/>
        <color rgb="FFF8696B"/>
        <color rgb="FFFFEB84"/>
        <color rgb="FF63BE7B"/>
      </colorScale>
    </cfRule>
  </conditionalFormatting>
  <conditionalFormatting sqref="AH18:AM18">
    <cfRule type="colorScale" priority="153">
      <colorScale>
        <cfvo type="min"/>
        <cfvo type="percentile" val="50"/>
        <cfvo type="max"/>
        <color rgb="FFF8696B"/>
        <color rgb="FFFFEB84"/>
        <color rgb="FF63BE7B"/>
      </colorScale>
    </cfRule>
  </conditionalFormatting>
  <conditionalFormatting sqref="W18:AB18">
    <cfRule type="colorScale" priority="152">
      <colorScale>
        <cfvo type="min"/>
        <cfvo type="percentile" val="50"/>
        <cfvo type="max"/>
        <color rgb="FFF8696B"/>
        <color rgb="FFFFEB84"/>
        <color rgb="FF63BE7B"/>
      </colorScale>
    </cfRule>
  </conditionalFormatting>
  <conditionalFormatting sqref="AH19:AM19">
    <cfRule type="colorScale" priority="151">
      <colorScale>
        <cfvo type="min"/>
        <cfvo type="percentile" val="50"/>
        <cfvo type="max"/>
        <color rgb="FFF8696B"/>
        <color rgb="FFFFEB84"/>
        <color rgb="FF63BE7B"/>
      </colorScale>
    </cfRule>
  </conditionalFormatting>
  <conditionalFormatting sqref="W19:AB19">
    <cfRule type="colorScale" priority="150">
      <colorScale>
        <cfvo type="min"/>
        <cfvo type="percentile" val="50"/>
        <cfvo type="max"/>
        <color rgb="FFF8696B"/>
        <color rgb="FFFFEB84"/>
        <color rgb="FF63BE7B"/>
      </colorScale>
    </cfRule>
  </conditionalFormatting>
  <conditionalFormatting sqref="AH20:AM20">
    <cfRule type="colorScale" priority="149">
      <colorScale>
        <cfvo type="min"/>
        <cfvo type="percentile" val="50"/>
        <cfvo type="max"/>
        <color rgb="FFF8696B"/>
        <color rgb="FFFFEB84"/>
        <color rgb="FF63BE7B"/>
      </colorScale>
    </cfRule>
  </conditionalFormatting>
  <conditionalFormatting sqref="W20:AB20">
    <cfRule type="colorScale" priority="148">
      <colorScale>
        <cfvo type="min"/>
        <cfvo type="percentile" val="50"/>
        <cfvo type="max"/>
        <color rgb="FFF8696B"/>
        <color rgb="FFFFEB84"/>
        <color rgb="FF63BE7B"/>
      </colorScale>
    </cfRule>
  </conditionalFormatting>
  <conditionalFormatting sqref="AI13:AP13">
    <cfRule type="colorScale" priority="146">
      <colorScale>
        <cfvo type="min"/>
        <cfvo type="percentile" val="50"/>
        <cfvo type="max"/>
        <color rgb="FFF8696B"/>
        <color rgb="FFFFEB84"/>
        <color rgb="FF63BE7B"/>
      </colorScale>
    </cfRule>
  </conditionalFormatting>
  <conditionalFormatting sqref="L3:S3">
    <cfRule type="colorScale" priority="136">
      <colorScale>
        <cfvo type="min"/>
        <cfvo type="percentile" val="50"/>
        <cfvo type="max"/>
        <color rgb="FFF8696B"/>
        <color rgb="FFFFEB84"/>
        <color rgb="FF63BE7B"/>
      </colorScale>
    </cfRule>
  </conditionalFormatting>
  <conditionalFormatting sqref="L4:M4 R4:S4">
    <cfRule type="colorScale" priority="135">
      <colorScale>
        <cfvo type="min"/>
        <cfvo type="percentile" val="50"/>
        <cfvo type="max"/>
        <color rgb="FFF8696B"/>
        <color rgb="FFFFEB84"/>
        <color rgb="FF63BE7B"/>
      </colorScale>
    </cfRule>
  </conditionalFormatting>
  <conditionalFormatting sqref="L5:M5 R5:S5">
    <cfRule type="colorScale" priority="134">
      <colorScale>
        <cfvo type="min"/>
        <cfvo type="percentile" val="50"/>
        <cfvo type="max"/>
        <color rgb="FFF8696B"/>
        <color rgb="FFFFEB84"/>
        <color rgb="FF63BE7B"/>
      </colorScale>
    </cfRule>
  </conditionalFormatting>
  <conditionalFormatting sqref="L6:M6 R6:S6">
    <cfRule type="colorScale" priority="133">
      <colorScale>
        <cfvo type="min"/>
        <cfvo type="percentile" val="50"/>
        <cfvo type="max"/>
        <color rgb="FFF8696B"/>
        <color rgb="FFFFEB84"/>
        <color rgb="FF63BE7B"/>
      </colorScale>
    </cfRule>
  </conditionalFormatting>
  <conditionalFormatting sqref="W13:AD13">
    <cfRule type="colorScale" priority="124">
      <colorScale>
        <cfvo type="min"/>
        <cfvo type="percentile" val="50"/>
        <cfvo type="max"/>
        <color rgb="FFF8696B"/>
        <color rgb="FFFFEB84"/>
        <color rgb="FF63BE7B"/>
      </colorScale>
    </cfRule>
  </conditionalFormatting>
  <conditionalFormatting sqref="W11:AD11">
    <cfRule type="colorScale" priority="115">
      <colorScale>
        <cfvo type="min"/>
        <cfvo type="percentile" val="50"/>
        <cfvo type="max"/>
        <color rgb="FFF8696B"/>
        <color rgb="FFFFEB84"/>
        <color rgb="FF63BE7B"/>
      </colorScale>
    </cfRule>
  </conditionalFormatting>
  <conditionalFormatting sqref="W1:AB3 W7:AB9">
    <cfRule type="colorScale" priority="114">
      <colorScale>
        <cfvo type="min"/>
        <cfvo type="percentile" val="50"/>
        <cfvo type="max"/>
        <color rgb="FFF8696B"/>
        <color rgb="FFFFEB84"/>
        <color rgb="FF63BE7B"/>
      </colorScale>
    </cfRule>
  </conditionalFormatting>
  <conditionalFormatting sqref="W4:AB4">
    <cfRule type="colorScale" priority="113">
      <colorScale>
        <cfvo type="min"/>
        <cfvo type="percentile" val="50"/>
        <cfvo type="max"/>
        <color rgb="FFF8696B"/>
        <color rgb="FFFFEB84"/>
        <color rgb="FF63BE7B"/>
      </colorScale>
    </cfRule>
  </conditionalFormatting>
  <conditionalFormatting sqref="W5:AB5">
    <cfRule type="colorScale" priority="112">
      <colorScale>
        <cfvo type="min"/>
        <cfvo type="percentile" val="50"/>
        <cfvo type="max"/>
        <color rgb="FFF8696B"/>
        <color rgb="FFFFEB84"/>
        <color rgb="FF63BE7B"/>
      </colorScale>
    </cfRule>
  </conditionalFormatting>
  <conditionalFormatting sqref="W6:AB6">
    <cfRule type="colorScale" priority="111">
      <colorScale>
        <cfvo type="min"/>
        <cfvo type="percentile" val="50"/>
        <cfvo type="max"/>
        <color rgb="FFF8696B"/>
        <color rgb="FFFFEB84"/>
        <color rgb="FF63BE7B"/>
      </colorScale>
    </cfRule>
  </conditionalFormatting>
  <conditionalFormatting sqref="W4:AB6 W10:AB12">
    <cfRule type="colorScale" priority="110">
      <colorScale>
        <cfvo type="min"/>
        <cfvo type="percentile" val="50"/>
        <cfvo type="max"/>
        <color rgb="FFF8696B"/>
        <color rgb="FFFFEB84"/>
        <color rgb="FF63BE7B"/>
      </colorScale>
    </cfRule>
  </conditionalFormatting>
  <conditionalFormatting sqref="W7:AB7">
    <cfRule type="colorScale" priority="109">
      <colorScale>
        <cfvo type="min"/>
        <cfvo type="percentile" val="50"/>
        <cfvo type="max"/>
        <color rgb="FFF8696B"/>
        <color rgb="FFFFEB84"/>
        <color rgb="FF63BE7B"/>
      </colorScale>
    </cfRule>
  </conditionalFormatting>
  <conditionalFormatting sqref="W8:AB8">
    <cfRule type="colorScale" priority="108">
      <colorScale>
        <cfvo type="min"/>
        <cfvo type="percentile" val="50"/>
        <cfvo type="max"/>
        <color rgb="FFF8696B"/>
        <color rgb="FFFFEB84"/>
        <color rgb="FF63BE7B"/>
      </colorScale>
    </cfRule>
  </conditionalFormatting>
  <conditionalFormatting sqref="W9:AB9">
    <cfRule type="colorScale" priority="107">
      <colorScale>
        <cfvo type="min"/>
        <cfvo type="percentile" val="50"/>
        <cfvo type="max"/>
        <color rgb="FFF8696B"/>
        <color rgb="FFFFEB84"/>
        <color rgb="FF63BE7B"/>
      </colorScale>
    </cfRule>
  </conditionalFormatting>
  <conditionalFormatting sqref="B90:I90">
    <cfRule type="colorScale" priority="103">
      <colorScale>
        <cfvo type="min"/>
        <cfvo type="percentile" val="50"/>
        <cfvo type="max"/>
        <color rgb="FFF8696B"/>
        <color rgb="FFFFEB84"/>
        <color rgb="FF63BE7B"/>
      </colorScale>
    </cfRule>
  </conditionalFormatting>
  <conditionalFormatting sqref="B65:I65">
    <cfRule type="colorScale" priority="100">
      <colorScale>
        <cfvo type="min"/>
        <cfvo type="percentile" val="50"/>
        <cfvo type="max"/>
        <color rgb="FFF8696B"/>
        <color rgb="FFFFEB84"/>
        <color rgb="FF63BE7B"/>
      </colorScale>
    </cfRule>
  </conditionalFormatting>
  <conditionalFormatting sqref="B115:I115">
    <cfRule type="colorScale" priority="99">
      <colorScale>
        <cfvo type="min"/>
        <cfvo type="percentile" val="50"/>
        <cfvo type="max"/>
        <color rgb="FFF8696B"/>
        <color rgb="FFFFEB84"/>
        <color rgb="FF63BE7B"/>
      </colorScale>
    </cfRule>
  </conditionalFormatting>
  <conditionalFormatting sqref="B140:I140">
    <cfRule type="colorScale" priority="98">
      <colorScale>
        <cfvo type="min"/>
        <cfvo type="percentile" val="50"/>
        <cfvo type="max"/>
        <color rgb="FFF8696B"/>
        <color rgb="FFFFEB84"/>
        <color rgb="FF63BE7B"/>
      </colorScale>
    </cfRule>
  </conditionalFormatting>
  <conditionalFormatting sqref="B138:I138">
    <cfRule type="colorScale" priority="93">
      <colorScale>
        <cfvo type="min"/>
        <cfvo type="percentile" val="50"/>
        <cfvo type="max"/>
        <color rgb="FFF8696B"/>
        <color rgb="FFFFEB84"/>
        <color rgb="FF63BE7B"/>
      </colorScale>
    </cfRule>
  </conditionalFormatting>
  <conditionalFormatting sqref="B25:I25">
    <cfRule type="colorScale" priority="92">
      <colorScale>
        <cfvo type="min"/>
        <cfvo type="percentile" val="50"/>
        <cfvo type="max"/>
        <color rgb="FFF8696B"/>
        <color rgb="FFFFEB84"/>
        <color rgb="FF63BE7B"/>
      </colorScale>
    </cfRule>
  </conditionalFormatting>
  <conditionalFormatting sqref="B50:I50">
    <cfRule type="colorScale" priority="91">
      <colorScale>
        <cfvo type="min"/>
        <cfvo type="percentile" val="50"/>
        <cfvo type="max"/>
        <color rgb="FFF8696B"/>
        <color rgb="FFFFEB84"/>
        <color rgb="FF63BE7B"/>
      </colorScale>
    </cfRule>
  </conditionalFormatting>
  <conditionalFormatting sqref="B75:I75">
    <cfRule type="colorScale" priority="90">
      <colorScale>
        <cfvo type="min"/>
        <cfvo type="percentile" val="50"/>
        <cfvo type="max"/>
        <color rgb="FFF8696B"/>
        <color rgb="FFFFEB84"/>
        <color rgb="FF63BE7B"/>
      </colorScale>
    </cfRule>
  </conditionalFormatting>
  <conditionalFormatting sqref="B100:I100">
    <cfRule type="colorScale" priority="89">
      <colorScale>
        <cfvo type="min"/>
        <cfvo type="percentile" val="50"/>
        <cfvo type="max"/>
        <color rgb="FFF8696B"/>
        <color rgb="FFFFEB84"/>
        <color rgb="FF63BE7B"/>
      </colorScale>
    </cfRule>
  </conditionalFormatting>
  <conditionalFormatting sqref="B125:I125">
    <cfRule type="colorScale" priority="88">
      <colorScale>
        <cfvo type="min"/>
        <cfvo type="percentile" val="50"/>
        <cfvo type="max"/>
        <color rgb="FFF8696B"/>
        <color rgb="FFFFEB84"/>
        <color rgb="FF63BE7B"/>
      </colorScale>
    </cfRule>
  </conditionalFormatting>
  <conditionalFormatting sqref="AG2:AL4 AG8:AL10">
    <cfRule type="colorScale" priority="87">
      <colorScale>
        <cfvo type="min"/>
        <cfvo type="percentile" val="50"/>
        <cfvo type="max"/>
        <color rgb="FFF8696B"/>
        <color rgb="FFFFEB84"/>
        <color rgb="FF63BE7B"/>
      </colorScale>
    </cfRule>
  </conditionalFormatting>
  <conditionalFormatting sqref="AG5:AL5">
    <cfRule type="colorScale" priority="86">
      <colorScale>
        <cfvo type="min"/>
        <cfvo type="percentile" val="50"/>
        <cfvo type="max"/>
        <color rgb="FFF8696B"/>
        <color rgb="FFFFEB84"/>
        <color rgb="FF63BE7B"/>
      </colorScale>
    </cfRule>
  </conditionalFormatting>
  <conditionalFormatting sqref="AG6:AL6">
    <cfRule type="colorScale" priority="85">
      <colorScale>
        <cfvo type="min"/>
        <cfvo type="percentile" val="50"/>
        <cfvo type="max"/>
        <color rgb="FFF8696B"/>
        <color rgb="FFFFEB84"/>
        <color rgb="FF63BE7B"/>
      </colorScale>
    </cfRule>
  </conditionalFormatting>
  <conditionalFormatting sqref="AG7:AL7">
    <cfRule type="colorScale" priority="84">
      <colorScale>
        <cfvo type="min"/>
        <cfvo type="percentile" val="50"/>
        <cfvo type="max"/>
        <color rgb="FFF8696B"/>
        <color rgb="FFFFEB84"/>
        <color rgb="FF63BE7B"/>
      </colorScale>
    </cfRule>
  </conditionalFormatting>
  <conditionalFormatting sqref="AG12:AL14">
    <cfRule type="colorScale" priority="83">
      <colorScale>
        <cfvo type="min"/>
        <cfvo type="percentile" val="50"/>
        <cfvo type="max"/>
        <color rgb="FFF8696B"/>
        <color rgb="FFFFEB84"/>
        <color rgb="FF63BE7B"/>
      </colorScale>
    </cfRule>
  </conditionalFormatting>
  <conditionalFormatting sqref="AG11:AL11">
    <cfRule type="colorScale" priority="82">
      <colorScale>
        <cfvo type="min"/>
        <cfvo type="percentile" val="50"/>
        <cfvo type="max"/>
        <color rgb="FFF8696B"/>
        <color rgb="FFFFEB84"/>
        <color rgb="FF63BE7B"/>
      </colorScale>
    </cfRule>
  </conditionalFormatting>
  <conditionalFormatting sqref="W101:AD101">
    <cfRule type="colorScale" priority="81">
      <colorScale>
        <cfvo type="min"/>
        <cfvo type="percentile" val="50"/>
        <cfvo type="max"/>
        <color rgb="FFF8696B"/>
        <color rgb="FFFFEB84"/>
        <color rgb="FF63BE7B"/>
      </colorScale>
    </cfRule>
  </conditionalFormatting>
  <conditionalFormatting sqref="W102:AD102">
    <cfRule type="colorScale" priority="80">
      <colorScale>
        <cfvo type="min"/>
        <cfvo type="percentile" val="50"/>
        <cfvo type="max"/>
        <color rgb="FFF8696B"/>
        <color rgb="FFFFEB84"/>
        <color rgb="FF63BE7B"/>
      </colorScale>
    </cfRule>
  </conditionalFormatting>
  <conditionalFormatting sqref="W103:AD103">
    <cfRule type="colorScale" priority="79">
      <colorScale>
        <cfvo type="min"/>
        <cfvo type="percentile" val="50"/>
        <cfvo type="max"/>
        <color rgb="FFF8696B"/>
        <color rgb="FFFFEB84"/>
        <color rgb="FF63BE7B"/>
      </colorScale>
    </cfRule>
  </conditionalFormatting>
  <conditionalFormatting sqref="W104:AD104">
    <cfRule type="colorScale" priority="78">
      <colorScale>
        <cfvo type="min"/>
        <cfvo type="percentile" val="50"/>
        <cfvo type="max"/>
        <color rgb="FFF8696B"/>
        <color rgb="FFFFEB84"/>
        <color rgb="FF63BE7B"/>
      </colorScale>
    </cfRule>
  </conditionalFormatting>
  <conditionalFormatting sqref="W105:AD105">
    <cfRule type="colorScale" priority="77">
      <colorScale>
        <cfvo type="min"/>
        <cfvo type="percentile" val="50"/>
        <cfvo type="max"/>
        <color rgb="FFF8696B"/>
        <color rgb="FFFFEB84"/>
        <color rgb="FF63BE7B"/>
      </colorScale>
    </cfRule>
  </conditionalFormatting>
  <conditionalFormatting sqref="W106:AD106">
    <cfRule type="colorScale" priority="76">
      <colorScale>
        <cfvo type="min"/>
        <cfvo type="percentile" val="50"/>
        <cfvo type="max"/>
        <color rgb="FFF8696B"/>
        <color rgb="FFFFEB84"/>
        <color rgb="FF63BE7B"/>
      </colorScale>
    </cfRule>
  </conditionalFormatting>
  <conditionalFormatting sqref="W107:AD107">
    <cfRule type="colorScale" priority="75">
      <colorScale>
        <cfvo type="min"/>
        <cfvo type="percentile" val="50"/>
        <cfvo type="max"/>
        <color rgb="FFF8696B"/>
        <color rgb="FFFFEB84"/>
        <color rgb="FF63BE7B"/>
      </colorScale>
    </cfRule>
  </conditionalFormatting>
  <conditionalFormatting sqref="W108:AD108">
    <cfRule type="colorScale" priority="74">
      <colorScale>
        <cfvo type="min"/>
        <cfvo type="percentile" val="50"/>
        <cfvo type="max"/>
        <color rgb="FFF8696B"/>
        <color rgb="FFFFEB84"/>
        <color rgb="FF63BE7B"/>
      </colorScale>
    </cfRule>
  </conditionalFormatting>
  <conditionalFormatting sqref="W109:AD109">
    <cfRule type="colorScale" priority="73">
      <colorScale>
        <cfvo type="min"/>
        <cfvo type="percentile" val="50"/>
        <cfvo type="max"/>
        <color rgb="FFF8696B"/>
        <color rgb="FFFFEB84"/>
        <color rgb="FF63BE7B"/>
      </colorScale>
    </cfRule>
  </conditionalFormatting>
  <conditionalFormatting sqref="W76:AD76">
    <cfRule type="colorScale" priority="72">
      <colorScale>
        <cfvo type="min"/>
        <cfvo type="percentile" val="50"/>
        <cfvo type="max"/>
        <color rgb="FFF8696B"/>
        <color rgb="FFFFEB84"/>
        <color rgb="FF63BE7B"/>
      </colorScale>
    </cfRule>
  </conditionalFormatting>
  <conditionalFormatting sqref="W77:AD77">
    <cfRule type="colorScale" priority="71">
      <colorScale>
        <cfvo type="min"/>
        <cfvo type="percentile" val="50"/>
        <cfvo type="max"/>
        <color rgb="FFF8696B"/>
        <color rgb="FFFFEB84"/>
        <color rgb="FF63BE7B"/>
      </colorScale>
    </cfRule>
  </conditionalFormatting>
  <conditionalFormatting sqref="W78:AD78">
    <cfRule type="colorScale" priority="70">
      <colorScale>
        <cfvo type="min"/>
        <cfvo type="percentile" val="50"/>
        <cfvo type="max"/>
        <color rgb="FFF8696B"/>
        <color rgb="FFFFEB84"/>
        <color rgb="FF63BE7B"/>
      </colorScale>
    </cfRule>
  </conditionalFormatting>
  <conditionalFormatting sqref="W79:AD79">
    <cfRule type="colorScale" priority="69">
      <colorScale>
        <cfvo type="min"/>
        <cfvo type="percentile" val="50"/>
        <cfvo type="max"/>
        <color rgb="FFF8696B"/>
        <color rgb="FFFFEB84"/>
        <color rgb="FF63BE7B"/>
      </colorScale>
    </cfRule>
  </conditionalFormatting>
  <conditionalFormatting sqref="W80:AD80">
    <cfRule type="colorScale" priority="68">
      <colorScale>
        <cfvo type="min"/>
        <cfvo type="percentile" val="50"/>
        <cfvo type="max"/>
        <color rgb="FFF8696B"/>
        <color rgb="FFFFEB84"/>
        <color rgb="FF63BE7B"/>
      </colorScale>
    </cfRule>
  </conditionalFormatting>
  <conditionalFormatting sqref="W81:AD81">
    <cfRule type="colorScale" priority="67">
      <colorScale>
        <cfvo type="min"/>
        <cfvo type="percentile" val="50"/>
        <cfvo type="max"/>
        <color rgb="FFF8696B"/>
        <color rgb="FFFFEB84"/>
        <color rgb="FF63BE7B"/>
      </colorScale>
    </cfRule>
  </conditionalFormatting>
  <conditionalFormatting sqref="W82:AD82">
    <cfRule type="colorScale" priority="66">
      <colorScale>
        <cfvo type="min"/>
        <cfvo type="percentile" val="50"/>
        <cfvo type="max"/>
        <color rgb="FFF8696B"/>
        <color rgb="FFFFEB84"/>
        <color rgb="FF63BE7B"/>
      </colorScale>
    </cfRule>
  </conditionalFormatting>
  <conditionalFormatting sqref="W83:AD83">
    <cfRule type="colorScale" priority="65">
      <colorScale>
        <cfvo type="min"/>
        <cfvo type="percentile" val="50"/>
        <cfvo type="max"/>
        <color rgb="FFF8696B"/>
        <color rgb="FFFFEB84"/>
        <color rgb="FF63BE7B"/>
      </colorScale>
    </cfRule>
  </conditionalFormatting>
  <conditionalFormatting sqref="W84:AD84">
    <cfRule type="colorScale" priority="64">
      <colorScale>
        <cfvo type="min"/>
        <cfvo type="percentile" val="50"/>
        <cfvo type="max"/>
        <color rgb="FFF8696B"/>
        <color rgb="FFFFEB84"/>
        <color rgb="FF63BE7B"/>
      </colorScale>
    </cfRule>
  </conditionalFormatting>
  <conditionalFormatting sqref="W51:AD51">
    <cfRule type="colorScale" priority="63">
      <colorScale>
        <cfvo type="min"/>
        <cfvo type="percentile" val="50"/>
        <cfvo type="max"/>
        <color rgb="FFF8696B"/>
        <color rgb="FFFFEB84"/>
        <color rgb="FF63BE7B"/>
      </colorScale>
    </cfRule>
  </conditionalFormatting>
  <conditionalFormatting sqref="W52:AD52">
    <cfRule type="colorScale" priority="62">
      <colorScale>
        <cfvo type="min"/>
        <cfvo type="percentile" val="50"/>
        <cfvo type="max"/>
        <color rgb="FFF8696B"/>
        <color rgb="FFFFEB84"/>
        <color rgb="FF63BE7B"/>
      </colorScale>
    </cfRule>
  </conditionalFormatting>
  <conditionalFormatting sqref="W53:AD53">
    <cfRule type="colorScale" priority="61">
      <colorScale>
        <cfvo type="min"/>
        <cfvo type="percentile" val="50"/>
        <cfvo type="max"/>
        <color rgb="FFF8696B"/>
        <color rgb="FFFFEB84"/>
        <color rgb="FF63BE7B"/>
      </colorScale>
    </cfRule>
  </conditionalFormatting>
  <conditionalFormatting sqref="W54:AD54">
    <cfRule type="colorScale" priority="60">
      <colorScale>
        <cfvo type="min"/>
        <cfvo type="percentile" val="50"/>
        <cfvo type="max"/>
        <color rgb="FFF8696B"/>
        <color rgb="FFFFEB84"/>
        <color rgb="FF63BE7B"/>
      </colorScale>
    </cfRule>
  </conditionalFormatting>
  <conditionalFormatting sqref="W55:AD55">
    <cfRule type="colorScale" priority="59">
      <colorScale>
        <cfvo type="min"/>
        <cfvo type="percentile" val="50"/>
        <cfvo type="max"/>
        <color rgb="FFF8696B"/>
        <color rgb="FFFFEB84"/>
        <color rgb="FF63BE7B"/>
      </colorScale>
    </cfRule>
  </conditionalFormatting>
  <conditionalFormatting sqref="W56:AD56">
    <cfRule type="colorScale" priority="58">
      <colorScale>
        <cfvo type="min"/>
        <cfvo type="percentile" val="50"/>
        <cfvo type="max"/>
        <color rgb="FFF8696B"/>
        <color rgb="FFFFEB84"/>
        <color rgb="FF63BE7B"/>
      </colorScale>
    </cfRule>
  </conditionalFormatting>
  <conditionalFormatting sqref="W57:AD57">
    <cfRule type="colorScale" priority="57">
      <colorScale>
        <cfvo type="min"/>
        <cfvo type="percentile" val="50"/>
        <cfvo type="max"/>
        <color rgb="FFF8696B"/>
        <color rgb="FFFFEB84"/>
        <color rgb="FF63BE7B"/>
      </colorScale>
    </cfRule>
  </conditionalFormatting>
  <conditionalFormatting sqref="W58:AD58">
    <cfRule type="colorScale" priority="56">
      <colorScale>
        <cfvo type="min"/>
        <cfvo type="percentile" val="50"/>
        <cfvo type="max"/>
        <color rgb="FFF8696B"/>
        <color rgb="FFFFEB84"/>
        <color rgb="FF63BE7B"/>
      </colorScale>
    </cfRule>
  </conditionalFormatting>
  <conditionalFormatting sqref="W59:AD59">
    <cfRule type="colorScale" priority="55">
      <colorScale>
        <cfvo type="min"/>
        <cfvo type="percentile" val="50"/>
        <cfvo type="max"/>
        <color rgb="FFF8696B"/>
        <color rgb="FFFFEB84"/>
        <color rgb="FF63BE7B"/>
      </colorScale>
    </cfRule>
  </conditionalFormatting>
  <conditionalFormatting sqref="W26:AD26">
    <cfRule type="colorScale" priority="54">
      <colorScale>
        <cfvo type="min"/>
        <cfvo type="percentile" val="50"/>
        <cfvo type="max"/>
        <color rgb="FFF8696B"/>
        <color rgb="FFFFEB84"/>
        <color rgb="FF63BE7B"/>
      </colorScale>
    </cfRule>
  </conditionalFormatting>
  <conditionalFormatting sqref="W27:AD27">
    <cfRule type="colorScale" priority="53">
      <colorScale>
        <cfvo type="min"/>
        <cfvo type="percentile" val="50"/>
        <cfvo type="max"/>
        <color rgb="FFF8696B"/>
        <color rgb="FFFFEB84"/>
        <color rgb="FF63BE7B"/>
      </colorScale>
    </cfRule>
  </conditionalFormatting>
  <conditionalFormatting sqref="W28:AD28">
    <cfRule type="colorScale" priority="52">
      <colorScale>
        <cfvo type="min"/>
        <cfvo type="percentile" val="50"/>
        <cfvo type="max"/>
        <color rgb="FFF8696B"/>
        <color rgb="FFFFEB84"/>
        <color rgb="FF63BE7B"/>
      </colorScale>
    </cfRule>
  </conditionalFormatting>
  <conditionalFormatting sqref="W29:AD29">
    <cfRule type="colorScale" priority="51">
      <colorScale>
        <cfvo type="min"/>
        <cfvo type="percentile" val="50"/>
        <cfvo type="max"/>
        <color rgb="FFF8696B"/>
        <color rgb="FFFFEB84"/>
        <color rgb="FF63BE7B"/>
      </colorScale>
    </cfRule>
  </conditionalFormatting>
  <conditionalFormatting sqref="W30:AD30">
    <cfRule type="colorScale" priority="50">
      <colorScale>
        <cfvo type="min"/>
        <cfvo type="percentile" val="50"/>
        <cfvo type="max"/>
        <color rgb="FFF8696B"/>
        <color rgb="FFFFEB84"/>
        <color rgb="FF63BE7B"/>
      </colorScale>
    </cfRule>
  </conditionalFormatting>
  <conditionalFormatting sqref="W31:AD31">
    <cfRule type="colorScale" priority="49">
      <colorScale>
        <cfvo type="min"/>
        <cfvo type="percentile" val="50"/>
        <cfvo type="max"/>
        <color rgb="FFF8696B"/>
        <color rgb="FFFFEB84"/>
        <color rgb="FF63BE7B"/>
      </colorScale>
    </cfRule>
  </conditionalFormatting>
  <conditionalFormatting sqref="W32:AD32">
    <cfRule type="colorScale" priority="48">
      <colorScale>
        <cfvo type="min"/>
        <cfvo type="percentile" val="50"/>
        <cfvo type="max"/>
        <color rgb="FFF8696B"/>
        <color rgb="FFFFEB84"/>
        <color rgb="FF63BE7B"/>
      </colorScale>
    </cfRule>
  </conditionalFormatting>
  <conditionalFormatting sqref="W33:AD33">
    <cfRule type="colorScale" priority="47">
      <colorScale>
        <cfvo type="min"/>
        <cfvo type="percentile" val="50"/>
        <cfvo type="max"/>
        <color rgb="FFF8696B"/>
        <color rgb="FFFFEB84"/>
        <color rgb="FF63BE7B"/>
      </colorScale>
    </cfRule>
  </conditionalFormatting>
  <conditionalFormatting sqref="W34:AD34">
    <cfRule type="colorScale" priority="46">
      <colorScale>
        <cfvo type="min"/>
        <cfvo type="percentile" val="50"/>
        <cfvo type="max"/>
        <color rgb="FFF8696B"/>
        <color rgb="FFFFEB84"/>
        <color rgb="FF63BE7B"/>
      </colorScale>
    </cfRule>
  </conditionalFormatting>
  <conditionalFormatting sqref="B113:I113">
    <cfRule type="colorScale" priority="45">
      <colorScale>
        <cfvo type="min"/>
        <cfvo type="percentile" val="50"/>
        <cfvo type="max"/>
        <color rgb="FFF8696B"/>
        <color rgb="FFFFEB84"/>
        <color rgb="FF63BE7B"/>
      </colorScale>
    </cfRule>
  </conditionalFormatting>
  <conditionalFormatting sqref="B88:I88">
    <cfRule type="colorScale" priority="44">
      <colorScale>
        <cfvo type="min"/>
        <cfvo type="percentile" val="50"/>
        <cfvo type="max"/>
        <color rgb="FFF8696B"/>
        <color rgb="FFFFEB84"/>
        <color rgb="FF63BE7B"/>
      </colorScale>
    </cfRule>
  </conditionalFormatting>
  <conditionalFormatting sqref="B63:I63">
    <cfRule type="colorScale" priority="43">
      <colorScale>
        <cfvo type="min"/>
        <cfvo type="percentile" val="50"/>
        <cfvo type="max"/>
        <color rgb="FFF8696B"/>
        <color rgb="FFFFEB84"/>
        <color rgb="FF63BE7B"/>
      </colorScale>
    </cfRule>
  </conditionalFormatting>
  <conditionalFormatting sqref="B38:I38">
    <cfRule type="colorScale" priority="42">
      <colorScale>
        <cfvo type="min"/>
        <cfvo type="percentile" val="50"/>
        <cfvo type="max"/>
        <color rgb="FFF8696B"/>
        <color rgb="FFFFEB84"/>
        <color rgb="FF63BE7B"/>
      </colorScale>
    </cfRule>
  </conditionalFormatting>
  <conditionalFormatting sqref="B48:I48">
    <cfRule type="colorScale" priority="8">
      <colorScale>
        <cfvo type="min"/>
        <cfvo type="percentile" val="50"/>
        <cfvo type="max"/>
        <color rgb="FFF8696B"/>
        <color rgb="FFFFEB84"/>
        <color rgb="FF63BE7B"/>
      </colorScale>
    </cfRule>
  </conditionalFormatting>
  <conditionalFormatting sqref="B73:I73">
    <cfRule type="colorScale" priority="7">
      <colorScale>
        <cfvo type="min"/>
        <cfvo type="percentile" val="50"/>
        <cfvo type="max"/>
        <color rgb="FFF8696B"/>
        <color rgb="FFFFEB84"/>
        <color rgb="FF63BE7B"/>
      </colorScale>
    </cfRule>
  </conditionalFormatting>
  <conditionalFormatting sqref="B98:I98">
    <cfRule type="colorScale" priority="6">
      <colorScale>
        <cfvo type="min"/>
        <cfvo type="percentile" val="50"/>
        <cfvo type="max"/>
        <color rgb="FFF8696B"/>
        <color rgb="FFFFEB84"/>
        <color rgb="FF63BE7B"/>
      </colorScale>
    </cfRule>
  </conditionalFormatting>
  <conditionalFormatting sqref="B123:I123">
    <cfRule type="colorScale" priority="5">
      <colorScale>
        <cfvo type="min"/>
        <cfvo type="percentile" val="50"/>
        <cfvo type="max"/>
        <color rgb="FFF8696B"/>
        <color rgb="FFFFEB84"/>
        <color rgb="FF63BE7B"/>
      </colorScale>
    </cfRule>
  </conditionalFormatting>
  <conditionalFormatting sqref="B148:I148">
    <cfRule type="colorScale" priority="4">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896" id="{341D3F33-81E7-4C26-93B4-43C8A58D215E}">
            <xm:f>'61'!$O$5=1</xm:f>
            <x14:dxf>
              <fill>
                <patternFill>
                  <bgColor theme="6"/>
                </patternFill>
              </fill>
            </x14:dxf>
          </x14:cfRule>
          <xm:sqref>B24 B74 B99 B124 B49</xm:sqref>
        </x14:conditionalFormatting>
        <x14:conditionalFormatting xmlns:xm="http://schemas.microsoft.com/office/excel/2006/main">
          <x14:cfRule type="expression" priority="897" id="{986DB206-0DF5-4AFB-9106-EB693B058362}">
            <xm:f>'61'!$O$5=3</xm:f>
            <x14:dxf>
              <fill>
                <patternFill>
                  <bgColor theme="6"/>
                </patternFill>
              </fill>
            </x14:dxf>
          </x14:cfRule>
          <xm:sqref>D24 D74 D99 D124 D49</xm:sqref>
        </x14:conditionalFormatting>
        <x14:conditionalFormatting xmlns:xm="http://schemas.microsoft.com/office/excel/2006/main">
          <x14:cfRule type="expression" priority="898" id="{952CAC54-CEB4-4C84-93C2-9B4CDE7E32C4}">
            <xm:f>'61'!$O$5=4</xm:f>
            <x14:dxf>
              <fill>
                <patternFill>
                  <bgColor theme="6"/>
                </patternFill>
              </fill>
            </x14:dxf>
          </x14:cfRule>
          <xm:sqref>E24 E74 E99 E124 E49</xm:sqref>
        </x14:conditionalFormatting>
        <x14:conditionalFormatting xmlns:xm="http://schemas.microsoft.com/office/excel/2006/main">
          <x14:cfRule type="expression" priority="899" id="{11FE5C06-B8F2-4234-AC21-44DC5892A2C6}">
            <xm:f>'61'!$O$5=5</xm:f>
            <x14:dxf>
              <fill>
                <patternFill>
                  <bgColor theme="6"/>
                </patternFill>
              </fill>
            </x14:dxf>
          </x14:cfRule>
          <xm:sqref>F24 F74 F99 F124 F49</xm:sqref>
        </x14:conditionalFormatting>
        <x14:conditionalFormatting xmlns:xm="http://schemas.microsoft.com/office/excel/2006/main">
          <x14:cfRule type="expression" priority="900" id="{4075D9B4-4D4C-4D3A-AC56-55927C1AFE0B}">
            <xm:f>'61'!$O$5=6</xm:f>
            <x14:dxf>
              <fill>
                <patternFill>
                  <bgColor theme="6"/>
                </patternFill>
              </fill>
            </x14:dxf>
          </x14:cfRule>
          <xm:sqref>G24 G74 G99 G124 G49</xm:sqref>
        </x14:conditionalFormatting>
        <x14:conditionalFormatting xmlns:xm="http://schemas.microsoft.com/office/excel/2006/main">
          <x14:cfRule type="expression" priority="901" id="{945C3E0F-4EE1-4A45-83BE-52DFC6A75750}">
            <xm:f>'61'!$O$5=7</xm:f>
            <x14:dxf>
              <fill>
                <patternFill>
                  <bgColor theme="6"/>
                </patternFill>
              </fill>
            </x14:dxf>
          </x14:cfRule>
          <xm:sqref>H24 H74 H99 H124 H49</xm:sqref>
        </x14:conditionalFormatting>
        <x14:conditionalFormatting xmlns:xm="http://schemas.microsoft.com/office/excel/2006/main">
          <x14:cfRule type="expression" priority="903" id="{9022D16B-FB27-4C9A-9FB8-C0A0CEA5002D}">
            <xm:f>'61'!$O$5=2</xm:f>
            <x14:dxf>
              <fill>
                <patternFill>
                  <bgColor theme="6"/>
                </patternFill>
              </fill>
            </x14:dxf>
          </x14:cfRule>
          <xm:sqref>C74 C99 C124 C49 C24</xm:sqref>
        </x14:conditionalFormatting>
        <x14:conditionalFormatting xmlns:xm="http://schemas.microsoft.com/office/excel/2006/main">
          <x14:cfRule type="expression" priority="909" id="{61B931B4-97B1-438C-A52E-2D78DCD7EE17}">
            <xm:f>'61'!$O$5=8</xm:f>
            <x14:dxf>
              <fill>
                <patternFill>
                  <bgColor theme="6"/>
                </patternFill>
              </fill>
            </x14:dxf>
          </x14:cfRule>
          <xm:sqref>I74 I99 I124 I49 I24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AB153"/>
  <sheetViews>
    <sheetView zoomScale="80" zoomScaleNormal="80" workbookViewId="0">
      <selection activeCell="U38" sqref="U38"/>
    </sheetView>
  </sheetViews>
  <sheetFormatPr baseColWidth="10" defaultColWidth="9.109375" defaultRowHeight="13.2" x14ac:dyDescent="0.25"/>
  <cols>
    <col min="1" max="9" width="9.44140625" style="3" customWidth="1"/>
    <col min="10" max="10" width="9.109375" style="3"/>
    <col min="11" max="13" width="9.109375" style="3" customWidth="1"/>
    <col min="14" max="17" width="9.109375" style="3"/>
    <col min="18" max="19" width="2.88671875" style="3" customWidth="1"/>
    <col min="20" max="27" width="9.109375" style="3" customWidth="1"/>
    <col min="28" max="16384" width="9.109375" style="3"/>
  </cols>
  <sheetData>
    <row r="1" spans="1:27" ht="12.9" customHeight="1" x14ac:dyDescent="0.25">
      <c r="A1" s="1163" t="str">
        <f>Lang!$A$177</f>
        <v>Mechanics</v>
      </c>
      <c r="B1" s="1152"/>
      <c r="C1" s="1165"/>
      <c r="D1" s="1149" t="str">
        <f>Lang!$A$2</f>
        <v>Production details</v>
      </c>
      <c r="E1" s="1081"/>
      <c r="F1" s="1081"/>
      <c r="G1" s="1081"/>
      <c r="H1" s="1081"/>
      <c r="I1" s="1104"/>
      <c r="J1" s="1158" t="str">
        <f>Lang!$A$13</f>
        <v>Rejected</v>
      </c>
      <c r="K1" s="1152"/>
      <c r="L1" s="1154"/>
      <c r="N1" s="1163" t="str">
        <f>Lang!$A$223</f>
        <v>Guarantee servicing</v>
      </c>
      <c r="O1" s="1152"/>
      <c r="P1" s="1154"/>
      <c r="S1" s="1159" t="str">
        <f>Lang!$A$48</f>
        <v>R&amp;D</v>
      </c>
      <c r="T1" s="1160"/>
      <c r="U1" s="1160"/>
      <c r="V1" s="1160"/>
      <c r="W1" s="1160"/>
      <c r="X1" s="1160"/>
      <c r="Y1" s="1160"/>
      <c r="Z1" s="1152" t="str">
        <f>Lang!$A$178</f>
        <v>Plan</v>
      </c>
      <c r="AA1" s="1154"/>
    </row>
    <row r="2" spans="1:27" ht="12.9" customHeight="1" x14ac:dyDescent="0.25">
      <c r="A2" s="573" t="str">
        <f>Lang!$A$179</f>
        <v>Total</v>
      </c>
      <c r="B2" s="571" t="str">
        <f>Lang!$A$180</f>
        <v>Left</v>
      </c>
      <c r="C2" s="881" t="str">
        <f>Lang!$A$181</f>
        <v>Left, %</v>
      </c>
      <c r="D2" s="577" t="str">
        <f>Lang!$A$182</f>
        <v>Load</v>
      </c>
      <c r="E2" s="577" t="str">
        <f>Lang!$A$17</f>
        <v>Hours breakdown</v>
      </c>
      <c r="F2" s="577" t="str">
        <f>Lang!$A$21</f>
        <v>Machines</v>
      </c>
      <c r="G2" s="577" t="str">
        <f>Lang!$A$29</f>
        <v>Shift level</v>
      </c>
      <c r="H2" s="577" t="str">
        <f>Lang!$A$37</f>
        <v>Maintenance hours</v>
      </c>
      <c r="I2" s="577" t="str">
        <f>Lang!$A$27</f>
        <v>Efficiency, %</v>
      </c>
      <c r="J2" s="584">
        <v>1</v>
      </c>
      <c r="K2" s="571">
        <v>2</v>
      </c>
      <c r="L2" s="572">
        <v>3</v>
      </c>
      <c r="N2" s="573">
        <v>1</v>
      </c>
      <c r="O2" s="571">
        <v>2</v>
      </c>
      <c r="P2" s="572">
        <v>3</v>
      </c>
      <c r="S2" s="1161">
        <v>1</v>
      </c>
      <c r="T2" s="72">
        <f>'11'!F$30</f>
        <v>25</v>
      </c>
      <c r="U2" s="71" t="str">
        <f>TRIM('12'!U$39)</f>
        <v>None</v>
      </c>
      <c r="V2" s="72">
        <f>'11'!F$29</f>
        <v>0</v>
      </c>
      <c r="W2" s="72">
        <f>'15'!A$102</f>
        <v>95</v>
      </c>
      <c r="X2" s="72" t="str">
        <f>TRIM('15'!A$105)</f>
        <v>1.75</v>
      </c>
      <c r="Y2" s="553" t="str">
        <f ca="1">TRIM(OFFSET('14'!E$107,,1))</f>
        <v>**</v>
      </c>
      <c r="Z2" s="557">
        <f t="shared" ref="Z2:AA6" si="0">T2</f>
        <v>25</v>
      </c>
      <c r="AA2" s="109" t="str">
        <f t="shared" si="0"/>
        <v>None</v>
      </c>
    </row>
    <row r="3" spans="1:27" ht="12.9" customHeight="1" x14ac:dyDescent="0.25">
      <c r="A3" s="5">
        <f>'12'!O$7+'12'!O$8</f>
        <v>0</v>
      </c>
      <c r="B3" s="6">
        <f>'12'!O$11</f>
        <v>0</v>
      </c>
      <c r="C3" s="582" t="e">
        <f>B3/A3</f>
        <v>#DIV/0!</v>
      </c>
      <c r="D3" s="47" t="e">
        <f>IF(G3=1,1.4,1.3)*'12'!G$25/'12'!G$23</f>
        <v>#DIV/0!</v>
      </c>
      <c r="E3" s="6">
        <f>'12'!G$24</f>
        <v>0</v>
      </c>
      <c r="F3" s="14">
        <f>'12'!G$19</f>
        <v>0</v>
      </c>
      <c r="G3" s="14">
        <f>'11'!W$20</f>
        <v>1</v>
      </c>
      <c r="H3" s="56" t="e">
        <f>'11'!P$20/D3/G3</f>
        <v>#DIV/0!</v>
      </c>
      <c r="I3" s="63">
        <f>SUBSTITUTE('12'!G$27,".",",")/100</f>
        <v>1</v>
      </c>
      <c r="J3" s="585" t="e">
        <f>'12'!U$8/'12'!U$6</f>
        <v>#DIV/0!</v>
      </c>
      <c r="K3" s="114" t="e">
        <f>'12'!W$8/'12'!W$6</f>
        <v>#DIV/0!</v>
      </c>
      <c r="L3" s="589" t="e">
        <f>'12'!Y$8/'12'!Y$6</f>
        <v>#DIV/0!</v>
      </c>
      <c r="N3" s="591">
        <f>'12'!U$36</f>
        <v>0</v>
      </c>
      <c r="O3" s="118">
        <f>'12'!W$36</f>
        <v>0</v>
      </c>
      <c r="P3" s="120">
        <f>'12'!Y$36</f>
        <v>0</v>
      </c>
      <c r="S3" s="1161"/>
      <c r="T3" s="70">
        <f>'21'!F$30</f>
        <v>25</v>
      </c>
      <c r="U3" s="20" t="str">
        <f>TRIM('22'!U$39)</f>
        <v>None</v>
      </c>
      <c r="V3" s="70">
        <f>'21'!F$29</f>
        <v>0</v>
      </c>
      <c r="W3" s="70">
        <f>'25'!A$102</f>
        <v>90</v>
      </c>
      <c r="X3" s="70" t="str">
        <f>TRIM('25'!A$105)</f>
        <v>1.55</v>
      </c>
      <c r="Y3" s="554" t="str">
        <f ca="1">TRIM(OFFSET('24'!E$107,,1))</f>
        <v>**</v>
      </c>
      <c r="Z3" s="558">
        <f t="shared" si="0"/>
        <v>25</v>
      </c>
      <c r="AA3" s="110" t="str">
        <f t="shared" si="0"/>
        <v>None</v>
      </c>
    </row>
    <row r="4" spans="1:27" ht="12.9" customHeight="1" x14ac:dyDescent="0.25">
      <c r="A4" s="5">
        <f>'22'!O$7+'22'!O$8</f>
        <v>16</v>
      </c>
      <c r="B4" s="53">
        <f>'22'!O$11</f>
        <v>1</v>
      </c>
      <c r="C4" s="582">
        <f>B4/A4</f>
        <v>6.25E-2</v>
      </c>
      <c r="D4" s="47">
        <f>IF(G4=1,1.4,1.3)*'22'!G$25/'22'!G$23</f>
        <v>1.1734082397003747</v>
      </c>
      <c r="E4" s="6">
        <f>'22'!G$24</f>
        <v>19</v>
      </c>
      <c r="F4" s="14">
        <f>'22'!G$19</f>
        <v>2</v>
      </c>
      <c r="G4" s="14">
        <f>'21'!W$20</f>
        <v>2</v>
      </c>
      <c r="H4" s="56">
        <f>'21'!P$20/D4/G4</f>
        <v>6.3916374082349181</v>
      </c>
      <c r="I4" s="63">
        <f>SUBSTITUTE('22'!G$27,".",",")/100</f>
        <v>0.99</v>
      </c>
      <c r="J4" s="585">
        <f>'22'!U$8/'22'!U$6</f>
        <v>2.4285714285714285E-2</v>
      </c>
      <c r="K4" s="114">
        <f>'22'!W$8/'22'!W$6</f>
        <v>2.6666666666666668E-2</v>
      </c>
      <c r="L4" s="589">
        <f>'22'!Y$8/'22'!Y$6</f>
        <v>2.6666666666666668E-2</v>
      </c>
      <c r="N4" s="591">
        <f>'22'!U$36</f>
        <v>0</v>
      </c>
      <c r="O4" s="118">
        <f>'22'!W$36</f>
        <v>0</v>
      </c>
      <c r="P4" s="120">
        <f>'22'!Y$36</f>
        <v>0</v>
      </c>
      <c r="S4" s="1161"/>
      <c r="T4" s="70">
        <f>'31'!F$30</f>
        <v>25</v>
      </c>
      <c r="U4" s="20" t="str">
        <f>TRIM('32'!U$39)</f>
        <v>Minor</v>
      </c>
      <c r="V4" s="70">
        <f>'31'!F$29</f>
        <v>0</v>
      </c>
      <c r="W4" s="70">
        <f>'35'!A$102</f>
        <v>91</v>
      </c>
      <c r="X4" s="70" t="str">
        <f>TRIM('35'!A$105)</f>
        <v>1.60</v>
      </c>
      <c r="Y4" s="554" t="str">
        <f ca="1">TRIM(OFFSET('34'!E$107,,1))</f>
        <v>**</v>
      </c>
      <c r="Z4" s="558">
        <f t="shared" si="0"/>
        <v>25</v>
      </c>
      <c r="AA4" s="110" t="str">
        <f t="shared" si="0"/>
        <v>Minor</v>
      </c>
    </row>
    <row r="5" spans="1:27" ht="12.9" customHeight="1" x14ac:dyDescent="0.25">
      <c r="A5" s="5">
        <f>'32'!O$7+'32'!O$8</f>
        <v>32</v>
      </c>
      <c r="B5" s="53">
        <f>'32'!O$11</f>
        <v>1</v>
      </c>
      <c r="C5" s="582">
        <f>B5/A5</f>
        <v>3.125E-2</v>
      </c>
      <c r="D5" s="47">
        <f>IF(G5=1,1.4,1.3)*'32'!G$25/'32'!G$23</f>
        <v>0.93026685393258424</v>
      </c>
      <c r="E5" s="6">
        <f>'32'!G$24</f>
        <v>37</v>
      </c>
      <c r="F5" s="14">
        <f>'32'!G$19</f>
        <v>4</v>
      </c>
      <c r="G5" s="14">
        <f>'31'!W$20</f>
        <v>2</v>
      </c>
      <c r="H5" s="56">
        <f>'31'!P$20/D5/G5</f>
        <v>8.0622027628897115</v>
      </c>
      <c r="I5" s="63">
        <f>SUBSTITUTE('32'!G$27,".",",")/100</f>
        <v>0.98</v>
      </c>
      <c r="J5" s="585">
        <f>'32'!U$8/'32'!U$6</f>
        <v>2.5600000000000001E-2</v>
      </c>
      <c r="K5" s="114">
        <f>'32'!W$8/'32'!W$6</f>
        <v>2.7142857142857142E-2</v>
      </c>
      <c r="L5" s="589">
        <f>'32'!Y$8/'32'!Y$6</f>
        <v>2.75E-2</v>
      </c>
      <c r="N5" s="591">
        <f>'32'!U$36</f>
        <v>0</v>
      </c>
      <c r="O5" s="118">
        <f>'32'!W$36</f>
        <v>0</v>
      </c>
      <c r="P5" s="120">
        <f>'32'!Y$36</f>
        <v>0</v>
      </c>
      <c r="S5" s="1161"/>
      <c r="T5" s="70">
        <f>'41'!F$30</f>
        <v>25</v>
      </c>
      <c r="U5" s="20" t="str">
        <f>TRIM('42'!U$39)</f>
        <v>Minor</v>
      </c>
      <c r="V5" s="70">
        <f>'41'!F$29</f>
        <v>0</v>
      </c>
      <c r="W5" s="70">
        <f>'45'!A$102</f>
        <v>92</v>
      </c>
      <c r="X5" s="70" t="str">
        <f>TRIM('45'!A$105)</f>
        <v>1.65</v>
      </c>
      <c r="Y5" s="554" t="str">
        <f ca="1">TRIM(OFFSET('44'!E$107,,1))</f>
        <v>**</v>
      </c>
      <c r="Z5" s="558">
        <f t="shared" si="0"/>
        <v>25</v>
      </c>
      <c r="AA5" s="110" t="str">
        <f t="shared" si="0"/>
        <v>Minor</v>
      </c>
    </row>
    <row r="6" spans="1:27" ht="12.9" customHeight="1" x14ac:dyDescent="0.25">
      <c r="A6" s="5">
        <f>'42'!O$7+'42'!O$8</f>
        <v>32</v>
      </c>
      <c r="B6" s="53">
        <f>'42'!O$11</f>
        <v>1</v>
      </c>
      <c r="C6" s="582">
        <f>B6/A6</f>
        <v>3.125E-2</v>
      </c>
      <c r="D6" s="47">
        <f>IF(G6=1,1.4,1.3)*'42'!G$25/'42'!G$23</f>
        <v>1.1539325842696631</v>
      </c>
      <c r="E6" s="6">
        <f>'42'!G$24</f>
        <v>51</v>
      </c>
      <c r="F6" s="14">
        <f>'42'!G$19</f>
        <v>4</v>
      </c>
      <c r="G6" s="14">
        <f>'41'!W$20</f>
        <v>2</v>
      </c>
      <c r="H6" s="56">
        <f>'41'!P$20/D6/G6</f>
        <v>8.6660175267770203</v>
      </c>
      <c r="I6" s="63">
        <f>SUBSTITUTE('42'!G$27,".",",")/100</f>
        <v>0.97</v>
      </c>
      <c r="J6" s="585">
        <f>'42'!U$8/'42'!U$6</f>
        <v>2.8275862068965516E-2</v>
      </c>
      <c r="K6" s="114">
        <f>'42'!W$8/'42'!W$6</f>
        <v>2.9411764705882353E-2</v>
      </c>
      <c r="L6" s="589">
        <f>'42'!Y$8/'42'!Y$6</f>
        <v>3.4482758620689655E-2</v>
      </c>
      <c r="N6" s="591">
        <f>'42'!U$36</f>
        <v>19</v>
      </c>
      <c r="O6" s="118">
        <f>'42'!W$36</f>
        <v>11</v>
      </c>
      <c r="P6" s="120">
        <f>'42'!Y$36</f>
        <v>6</v>
      </c>
      <c r="S6" s="1161"/>
      <c r="T6" s="74">
        <f>'51'!F$30</f>
        <v>25</v>
      </c>
      <c r="U6" s="73" t="str">
        <f>TRIM('52'!U$39)</f>
        <v>Major</v>
      </c>
      <c r="V6" s="74">
        <f>'51'!F$29</f>
        <v>0</v>
      </c>
      <c r="W6" s="74">
        <f>'55'!A$102</f>
        <v>93</v>
      </c>
      <c r="X6" s="74" t="str">
        <f>TRIM('55'!A$105)</f>
        <v>1.70</v>
      </c>
      <c r="Y6" s="555" t="str">
        <f ca="1">TRIM(OFFSET('54'!E$107,,1))</f>
        <v>**</v>
      </c>
      <c r="Z6" s="559">
        <f t="shared" si="0"/>
        <v>25</v>
      </c>
      <c r="AA6" s="111" t="str">
        <f t="shared" si="0"/>
        <v>Major</v>
      </c>
    </row>
    <row r="7" spans="1:27" ht="12.9" customHeight="1" x14ac:dyDescent="0.25">
      <c r="A7" s="5">
        <f>'52'!O$7+'52'!O$8</f>
        <v>32</v>
      </c>
      <c r="B7" s="53">
        <f>'52'!O$11</f>
        <v>5</v>
      </c>
      <c r="C7" s="582">
        <f>B7/A7</f>
        <v>0.15625</v>
      </c>
      <c r="D7" s="47">
        <f>IF(G7=1,1.4,1.3)*'52'!G$25/'52'!G$23</f>
        <v>1.1731039325842696</v>
      </c>
      <c r="E7" s="6">
        <f>'52'!G$24</f>
        <v>56</v>
      </c>
      <c r="F7" s="14">
        <f>'52'!G$19</f>
        <v>4</v>
      </c>
      <c r="G7" s="14">
        <f>'51'!W$20</f>
        <v>2</v>
      </c>
      <c r="H7" s="56">
        <f>'51'!P$20/D7/G7</f>
        <v>8.5243938940436994</v>
      </c>
      <c r="I7" s="63">
        <f>SUBSTITUTE('52'!G$27,".",",")/100</f>
        <v>0.95</v>
      </c>
      <c r="J7" s="585">
        <f>'52'!U$8/'52'!U$6</f>
        <v>0.03</v>
      </c>
      <c r="K7" s="114">
        <f>'52'!W$8/'52'!W$6</f>
        <v>3.135135135135135E-2</v>
      </c>
      <c r="L7" s="589">
        <f>'52'!Y$8/'52'!Y$6</f>
        <v>3.2000000000000001E-2</v>
      </c>
      <c r="N7" s="591">
        <f>'52'!U$36</f>
        <v>101</v>
      </c>
      <c r="O7" s="118">
        <f>'52'!W$36</f>
        <v>19</v>
      </c>
      <c r="P7" s="120">
        <f>'52'!Y$36</f>
        <v>12</v>
      </c>
      <c r="S7" s="1161"/>
      <c r="T7" s="328">
        <f>'61'!F$30</f>
        <v>20</v>
      </c>
      <c r="U7" s="71" t="str">
        <f>TRIM('62'!U$39)</f>
        <v>None</v>
      </c>
      <c r="V7" s="72">
        <f>'61'!F$29</f>
        <v>0</v>
      </c>
      <c r="W7" s="72">
        <f>'65'!A$102</f>
        <v>88</v>
      </c>
      <c r="X7" s="842" t="str">
        <f>TRIM('65'!A$105)</f>
        <v>1.45</v>
      </c>
      <c r="Y7" s="553" t="str">
        <f ca="1">TRIM(OFFSET('64'!E$107,,'61'!O$5))</f>
        <v>*</v>
      </c>
      <c r="Z7" s="557">
        <f>Config!B28</f>
        <v>28</v>
      </c>
      <c r="AA7" s="109" t="str">
        <f>Config!C28</f>
        <v>Minor</v>
      </c>
    </row>
    <row r="8" spans="1:27" ht="12.9" customHeight="1" x14ac:dyDescent="0.25">
      <c r="A8" s="5">
        <f>'62'!O$7+'62'!O$8</f>
        <v>32</v>
      </c>
      <c r="B8" s="53">
        <f>'62'!O$11</f>
        <v>4</v>
      </c>
      <c r="C8" s="582">
        <f>IF(A8&gt;0,B8/A8,C7)</f>
        <v>0.125</v>
      </c>
      <c r="D8" s="47">
        <f>IF(G8=1,1.4,1.3)*'62'!G$25/'62'!G$23</f>
        <v>1.1928838951310861</v>
      </c>
      <c r="E8" s="6">
        <f>'62'!G$24</f>
        <v>60</v>
      </c>
      <c r="F8" s="6">
        <f>'62'!G$19</f>
        <v>4</v>
      </c>
      <c r="G8" s="14">
        <f>'61'!W$20</f>
        <v>2</v>
      </c>
      <c r="H8" s="56">
        <f>'61'!P$20/D8/G8</f>
        <v>8.3830455259026699</v>
      </c>
      <c r="I8" s="63">
        <f>SUBSTITUTE('62'!G$27,".",",")/100</f>
        <v>0.93</v>
      </c>
      <c r="J8" s="585">
        <f>IF('62'!U$6&gt;0,'62'!U$8/'62'!U$6,J7)</f>
        <v>2.8571428571428571E-2</v>
      </c>
      <c r="K8" s="114">
        <f>IF('62'!W$6&gt;0,'62'!W$8/'62'!W$6,K7)</f>
        <v>3.027027027027027E-2</v>
      </c>
      <c r="L8" s="589">
        <f>IF('62'!Y$6&gt;0,'62'!Y$8/'62'!Y$6,L7)</f>
        <v>0.03</v>
      </c>
      <c r="M8" s="96"/>
      <c r="N8" s="592">
        <f>'62'!U$36</f>
        <v>41</v>
      </c>
      <c r="O8" s="53">
        <f>'62'!W$36</f>
        <v>26</v>
      </c>
      <c r="P8" s="593">
        <f>'62'!Y$36</f>
        <v>15</v>
      </c>
      <c r="S8" s="1161"/>
      <c r="T8" s="329">
        <f>'71'!F$30</f>
        <v>50</v>
      </c>
      <c r="U8" s="20" t="str">
        <f>TRIM('72'!U$39)</f>
        <v>Major</v>
      </c>
      <c r="V8" s="70">
        <f>'71'!F$29</f>
        <v>0</v>
      </c>
      <c r="W8" s="70">
        <f>'75'!A$102</f>
        <v>89</v>
      </c>
      <c r="X8" s="840" t="str">
        <f>TRIM('75'!A$105)</f>
        <v>1.50</v>
      </c>
      <c r="Y8" s="554" t="str">
        <f ca="1">TRIM(OFFSET('74'!E$107,,'71'!O$5))</f>
        <v>*</v>
      </c>
      <c r="Z8" s="558">
        <f>Config!B29</f>
        <v>40</v>
      </c>
      <c r="AA8" s="110" t="str">
        <f>Config!C29</f>
        <v>Major</v>
      </c>
    </row>
    <row r="9" spans="1:27" ht="12.9" customHeight="1" x14ac:dyDescent="0.25">
      <c r="A9" s="5">
        <f>'72'!O$7+'72'!O$8</f>
        <v>40</v>
      </c>
      <c r="B9" s="53">
        <f>'72'!O$11</f>
        <v>5</v>
      </c>
      <c r="C9" s="582">
        <f>IF(A9&gt;0,B9/A9,C8)</f>
        <v>0.125</v>
      </c>
      <c r="D9" s="47">
        <f>IF(G9=1,1.4,1.3)*'72'!G$25/'72'!G$23</f>
        <v>0.79217228464419476</v>
      </c>
      <c r="E9" s="6">
        <f>'72'!G$24</f>
        <v>52</v>
      </c>
      <c r="F9" s="6">
        <f>'72'!G$19</f>
        <v>5</v>
      </c>
      <c r="G9" s="14">
        <f>'71'!W$20</f>
        <v>2</v>
      </c>
      <c r="H9" s="56">
        <f>'71'!P$20/D9/G9</f>
        <v>15.779395773249492</v>
      </c>
      <c r="I9" s="63">
        <f>SUBSTITUTE('72'!G$27,".",",")/100</f>
        <v>0.93</v>
      </c>
      <c r="J9" s="585">
        <f>IF('72'!U$6&gt;0,'72'!U$8/'72'!U$6,J8)</f>
        <v>2.9013539651837523E-2</v>
      </c>
      <c r="K9" s="114">
        <f>IF('72'!W$6&gt;0,'72'!W$8/'72'!W$6,K8)</f>
        <v>3.0938123752495009E-2</v>
      </c>
      <c r="L9" s="589">
        <f>IF('72'!Y$6&gt;0,'72'!Y$8/'72'!Y$6,L8)</f>
        <v>3.063063063063063E-2</v>
      </c>
      <c r="N9" s="592">
        <f>'72'!U$36</f>
        <v>43</v>
      </c>
      <c r="O9" s="53">
        <f>'72'!W$36</f>
        <v>29</v>
      </c>
      <c r="P9" s="593">
        <f>'72'!Y$36</f>
        <v>16</v>
      </c>
      <c r="S9" s="1161"/>
      <c r="T9" s="329">
        <f>'81'!F$30</f>
        <v>47</v>
      </c>
      <c r="U9" s="20" t="str">
        <f>TRIM('82'!U$39)</f>
        <v>Major</v>
      </c>
      <c r="V9" s="70">
        <f>'81'!F$29</f>
        <v>1</v>
      </c>
      <c r="W9" s="70">
        <f>'85'!A$102</f>
        <v>128</v>
      </c>
      <c r="X9" s="840" t="str">
        <f>TRIM('85'!A$105)</f>
        <v>3.47</v>
      </c>
      <c r="Y9" s="554" t="str">
        <f ca="1">TRIM(OFFSET('84'!E$107,,'81'!O$5))</f>
        <v>***</v>
      </c>
      <c r="Z9" s="558">
        <f>Config!B30</f>
        <v>45</v>
      </c>
      <c r="AA9" s="110" t="str">
        <f>Config!C30</f>
        <v>Major</v>
      </c>
    </row>
    <row r="10" spans="1:27" ht="12.9" customHeight="1" x14ac:dyDescent="0.25">
      <c r="A10" s="5">
        <f>'82'!O$7+'82'!O$8</f>
        <v>40</v>
      </c>
      <c r="B10" s="53">
        <f>'82'!O$11</f>
        <v>10</v>
      </c>
      <c r="C10" s="582">
        <f>IF(A10&gt;0,B10/A10,C9)</f>
        <v>0.25</v>
      </c>
      <c r="D10" s="47">
        <f>IF(G10=1,1.4,1.3)*'82'!G$25/'82'!G$23</f>
        <v>1.2844194756554308</v>
      </c>
      <c r="E10" s="6">
        <f>'82'!G$24</f>
        <v>77</v>
      </c>
      <c r="F10" s="6">
        <f>'82'!G$19</f>
        <v>5</v>
      </c>
      <c r="G10" s="14">
        <f>'81'!W$20</f>
        <v>2</v>
      </c>
      <c r="H10" s="56">
        <f>'81'!P$20/D10/G10</f>
        <v>9.7320230944188477</v>
      </c>
      <c r="I10" s="63">
        <f>SUBSTITUTE('82'!G$27,".",",")/100</f>
        <v>0.94</v>
      </c>
      <c r="J10" s="585">
        <f>IF('82'!U$6&gt;0,'82'!U$8/'82'!U$6,J9)</f>
        <v>2.8764805414551606E-2</v>
      </c>
      <c r="K10" s="114">
        <f>IF('82'!W$6&gt;0,'82'!W$8/'82'!W$6,K9)</f>
        <v>3.1062670299727521E-2</v>
      </c>
      <c r="L10" s="589">
        <f>IF('82'!Y$6&gt;0,'82'!Y$8/'82'!Y$6,L9)</f>
        <v>3.0612244897959183E-2</v>
      </c>
      <c r="N10" s="592">
        <f>'82'!U$36</f>
        <v>47</v>
      </c>
      <c r="O10" s="53">
        <f>'82'!W$36</f>
        <v>32</v>
      </c>
      <c r="P10" s="593">
        <f>'82'!Y$36</f>
        <v>17</v>
      </c>
      <c r="S10" s="1161"/>
      <c r="T10" s="329">
        <f>'91'!F$30</f>
        <v>0</v>
      </c>
      <c r="U10" s="20" t="str">
        <f>TRIM('92'!U$39)</f>
        <v>0</v>
      </c>
      <c r="V10" s="70">
        <f>'91'!F$29</f>
        <v>0</v>
      </c>
      <c r="W10" s="70">
        <f>'95'!A$102</f>
        <v>0</v>
      </c>
      <c r="X10" s="840" t="str">
        <f>TRIM('95'!A$105)</f>
        <v/>
      </c>
      <c r="Y10" s="554" t="str">
        <f ca="1">TRIM(OFFSET('94'!E$107,,'91'!O$5))</f>
        <v/>
      </c>
      <c r="Z10" s="558">
        <f>Config!B31</f>
        <v>10</v>
      </c>
      <c r="AA10" s="110" t="str">
        <f>Config!C31</f>
        <v>Minor</v>
      </c>
    </row>
    <row r="11" spans="1:27" ht="12.9" customHeight="1" thickBot="1" x14ac:dyDescent="0.3">
      <c r="A11" s="5">
        <f>'92'!O$7+'92'!O$8</f>
        <v>0</v>
      </c>
      <c r="B11" s="53">
        <f>'92'!O$11</f>
        <v>0</v>
      </c>
      <c r="C11" s="582">
        <f>IF(A11&gt;0,B11/A11,C10)</f>
        <v>0.25</v>
      </c>
      <c r="D11" s="47" t="e">
        <f>IF(G11=1,1.4,1.3)*'92'!G$25/'92'!G$23</f>
        <v>#DIV/0!</v>
      </c>
      <c r="E11" s="6">
        <f>'92'!G$24</f>
        <v>0</v>
      </c>
      <c r="F11" s="6">
        <f>'92'!G$19</f>
        <v>0</v>
      </c>
      <c r="G11" s="14">
        <f>'91'!W$20</f>
        <v>0</v>
      </c>
      <c r="H11" s="56" t="e">
        <f>'91'!P$20/D11/G11</f>
        <v>#DIV/0!</v>
      </c>
      <c r="I11" s="63">
        <f>SUBSTITUTE('92'!G$27,".",",")/100</f>
        <v>0</v>
      </c>
      <c r="J11" s="585">
        <f>IF('92'!U$6&gt;0,'92'!U$8/'92'!U$6,J10)</f>
        <v>2.8764805414551606E-2</v>
      </c>
      <c r="K11" s="114">
        <f>IF('92'!W$6&gt;0,'92'!W$8/'92'!W$6,K10)</f>
        <v>3.1062670299727521E-2</v>
      </c>
      <c r="L11" s="589">
        <f>IF('92'!Y$6&gt;0,'92'!Y$8/'92'!Y$6,L10)</f>
        <v>3.0612244897959183E-2</v>
      </c>
      <c r="N11" s="592">
        <f>'92'!U$36</f>
        <v>0</v>
      </c>
      <c r="O11" s="53">
        <f>'92'!W$36</f>
        <v>0</v>
      </c>
      <c r="P11" s="593">
        <f>'92'!Y$36</f>
        <v>0</v>
      </c>
      <c r="S11" s="1162"/>
      <c r="T11" s="329">
        <f>'101'!F$30</f>
        <v>0</v>
      </c>
      <c r="U11" s="20" t="str">
        <f>TRIM('102'!U$39)</f>
        <v>0</v>
      </c>
      <c r="V11" s="70">
        <f>'101'!F$29</f>
        <v>0</v>
      </c>
      <c r="W11" s="70">
        <f>'105'!A$102</f>
        <v>0</v>
      </c>
      <c r="X11" s="840" t="str">
        <f>TRIM('105'!A$105)</f>
        <v/>
      </c>
      <c r="Y11" s="554" t="str">
        <f ca="1">TRIM(OFFSET('104'!E$107,,'101'!O$5))</f>
        <v/>
      </c>
      <c r="Z11" s="558">
        <f>Config!B32</f>
        <v>11</v>
      </c>
      <c r="AA11" s="110" t="str">
        <f>Config!C32</f>
        <v>Major</v>
      </c>
    </row>
    <row r="12" spans="1:27" ht="12.9" customHeight="1" thickBot="1" x14ac:dyDescent="0.3">
      <c r="A12" s="9">
        <f>'102'!O$7+'102'!O$8</f>
        <v>0</v>
      </c>
      <c r="B12" s="54">
        <f>'102'!O$11</f>
        <v>0</v>
      </c>
      <c r="C12" s="583">
        <f>IF(A12&gt;0,B12/A12,C11)</f>
        <v>0.25</v>
      </c>
      <c r="D12" s="48" t="e">
        <f>IF(G12=1,1.4,1.3)*'102'!G$25/'102'!G$23</f>
        <v>#DIV/0!</v>
      </c>
      <c r="E12" s="10">
        <f>'102'!G$24</f>
        <v>0</v>
      </c>
      <c r="F12" s="10">
        <f>'102'!G$19</f>
        <v>0</v>
      </c>
      <c r="G12" s="16">
        <f>'101'!W$20</f>
        <v>0</v>
      </c>
      <c r="H12" s="59" t="e">
        <f>'101'!P$20/D12/G12</f>
        <v>#DIV/0!</v>
      </c>
      <c r="I12" s="65">
        <f>SUBSTITUTE('102'!G$27,".",",")/100</f>
        <v>0</v>
      </c>
      <c r="J12" s="586">
        <f>IF('102'!U$6&gt;0,'102'!U$8/'102'!U$6,J11)</f>
        <v>2.8764805414551606E-2</v>
      </c>
      <c r="K12" s="115">
        <f>IF('102'!W$6&gt;0,'102'!W$8/'102'!W$6,K11)</f>
        <v>3.1062670299727521E-2</v>
      </c>
      <c r="L12" s="590">
        <f>IF('102'!Y$6&gt;0,'102'!Y$8/'102'!Y$6,L11)</f>
        <v>3.0612244897959183E-2</v>
      </c>
      <c r="N12" s="594">
        <f>'102'!U$36</f>
        <v>0</v>
      </c>
      <c r="O12" s="54">
        <f>'102'!W$36</f>
        <v>0</v>
      </c>
      <c r="P12" s="595">
        <f>'102'!Y$36</f>
        <v>0</v>
      </c>
      <c r="S12" s="1146">
        <v>2</v>
      </c>
      <c r="T12" s="560">
        <f>'11'!H$30</f>
        <v>20</v>
      </c>
      <c r="U12" s="561" t="str">
        <f>TRIM('12'!W$39)</f>
        <v>None</v>
      </c>
      <c r="V12" s="560">
        <f>'11'!H$29</f>
        <v>0</v>
      </c>
      <c r="W12" s="560">
        <f>'15'!A$103</f>
        <v>95</v>
      </c>
      <c r="X12" s="560" t="str">
        <f>TRIM('15'!A$106)</f>
        <v>1.76</v>
      </c>
      <c r="Y12" s="562" t="str">
        <f ca="1">TRIM(OFFSET('14'!E$108,,1))</f>
        <v>**</v>
      </c>
      <c r="Z12" s="563">
        <f t="shared" ref="Z12:AA16" si="1">T12</f>
        <v>20</v>
      </c>
      <c r="AA12" s="564" t="str">
        <f t="shared" si="1"/>
        <v>None</v>
      </c>
    </row>
    <row r="13" spans="1:27" ht="12.9" customHeight="1" thickBot="1" x14ac:dyDescent="0.3">
      <c r="S13" s="1161"/>
      <c r="T13" s="70">
        <f>'21'!H$30</f>
        <v>20</v>
      </c>
      <c r="U13" s="20" t="str">
        <f>TRIM('22'!W$39)</f>
        <v>None</v>
      </c>
      <c r="V13" s="70">
        <f>'21'!H$29</f>
        <v>0</v>
      </c>
      <c r="W13" s="70">
        <f>'25'!A$103</f>
        <v>90</v>
      </c>
      <c r="X13" s="70" t="str">
        <f>TRIM('25'!A$106)</f>
        <v>1.53</v>
      </c>
      <c r="Y13" s="554" t="str">
        <f ca="1">TRIM(OFFSET('24'!E$108,,1))</f>
        <v>**</v>
      </c>
      <c r="Z13" s="558">
        <f t="shared" si="1"/>
        <v>20</v>
      </c>
      <c r="AA13" s="110" t="str">
        <f t="shared" si="1"/>
        <v>None</v>
      </c>
    </row>
    <row r="14" spans="1:27" ht="12.9" customHeight="1" x14ac:dyDescent="0.25">
      <c r="A14" s="1156" t="str">
        <f>Lang!$A$176</f>
        <v>Workers</v>
      </c>
      <c r="B14" s="1157"/>
      <c r="C14" s="1158"/>
      <c r="D14" s="1104" t="str">
        <f>Lang!$A$39</f>
        <v>Assembly details</v>
      </c>
      <c r="E14" s="1101"/>
      <c r="F14" s="1101"/>
      <c r="G14" s="1101" t="str">
        <f>Lang!$A$44</f>
        <v>Assembly time</v>
      </c>
      <c r="H14" s="1101"/>
      <c r="I14" s="1101"/>
      <c r="J14" s="1101" t="str">
        <f>Lang!$A$183</f>
        <v>Assembly, %</v>
      </c>
      <c r="K14" s="1101"/>
      <c r="L14" s="1102"/>
      <c r="N14" s="1100" t="str">
        <f>Lang!$A$45</f>
        <v>Premium materials</v>
      </c>
      <c r="O14" s="1101"/>
      <c r="P14" s="1149"/>
      <c r="Q14" s="1150" t="str">
        <f>Lang!$A$115</f>
        <v>Management budget</v>
      </c>
      <c r="S14" s="1161"/>
      <c r="T14" s="70">
        <f>'31'!H$30</f>
        <v>20</v>
      </c>
      <c r="U14" s="20" t="str">
        <f>TRIM('32'!W$39)</f>
        <v>Major</v>
      </c>
      <c r="V14" s="70">
        <f>'31'!H$29</f>
        <v>0</v>
      </c>
      <c r="W14" s="70">
        <f>'35'!A$103</f>
        <v>91</v>
      </c>
      <c r="X14" s="70" t="str">
        <f>TRIM('35'!A$106)</f>
        <v>1.58</v>
      </c>
      <c r="Y14" s="554" t="str">
        <f ca="1">TRIM(OFFSET('34'!E$108,,1))</f>
        <v>**</v>
      </c>
      <c r="Z14" s="558">
        <f t="shared" si="1"/>
        <v>20</v>
      </c>
      <c r="AA14" s="110" t="str">
        <f t="shared" si="1"/>
        <v>Major</v>
      </c>
    </row>
    <row r="15" spans="1:27" ht="12.9" customHeight="1" x14ac:dyDescent="0.25">
      <c r="A15" s="573" t="str">
        <f>Lang!$A$179</f>
        <v>Total</v>
      </c>
      <c r="B15" s="571" t="str">
        <f>Lang!$A$180</f>
        <v>Left</v>
      </c>
      <c r="C15" s="571" t="str">
        <f>Lang!$A$181</f>
        <v>Left, %</v>
      </c>
      <c r="D15" s="579" t="str">
        <f>Lang!$A$182</f>
        <v>Load</v>
      </c>
      <c r="E15" s="577" t="str">
        <f>Lang!$A$184</f>
        <v>Hours sickness</v>
      </c>
      <c r="F15" s="577" t="str">
        <f>Lang!$A$49</f>
        <v>Weeks of strike</v>
      </c>
      <c r="G15" s="577">
        <v>1</v>
      </c>
      <c r="H15" s="577">
        <v>2</v>
      </c>
      <c r="I15" s="577">
        <v>3</v>
      </c>
      <c r="J15" s="577">
        <v>1</v>
      </c>
      <c r="K15" s="577">
        <v>2</v>
      </c>
      <c r="L15" s="578">
        <v>3</v>
      </c>
      <c r="N15" s="613">
        <v>1</v>
      </c>
      <c r="O15" s="614">
        <v>2</v>
      </c>
      <c r="P15" s="612">
        <v>3</v>
      </c>
      <c r="Q15" s="1151"/>
      <c r="S15" s="1161"/>
      <c r="T15" s="70">
        <f>'41'!H$30</f>
        <v>15</v>
      </c>
      <c r="U15" s="20" t="str">
        <f>TRIM('42'!W$39)</f>
        <v>Minor</v>
      </c>
      <c r="V15" s="70">
        <f>'41'!H$29</f>
        <v>0</v>
      </c>
      <c r="W15" s="70">
        <f>'45'!A$103</f>
        <v>92</v>
      </c>
      <c r="X15" s="70" t="str">
        <f>TRIM('45'!A$106)</f>
        <v>1.63</v>
      </c>
      <c r="Y15" s="554" t="str">
        <f ca="1">TRIM(OFFSET('44'!E$108,,1))</f>
        <v>**</v>
      </c>
      <c r="Z15" s="558">
        <f t="shared" si="1"/>
        <v>15</v>
      </c>
      <c r="AA15" s="110" t="str">
        <f t="shared" si="1"/>
        <v>Minor</v>
      </c>
    </row>
    <row r="16" spans="1:27" ht="12.9" customHeight="1" x14ac:dyDescent="0.25">
      <c r="A16" s="100">
        <f>'12'!N$7+'12'!N$8</f>
        <v>2</v>
      </c>
      <c r="B16" s="6">
        <f>'12'!N$11</f>
        <v>0</v>
      </c>
      <c r="C16" s="63">
        <f>B16/A16</f>
        <v>0</v>
      </c>
      <c r="D16" s="580" t="e">
        <f>'12'!O$18/'12'!O$16*1.4</f>
        <v>#DIV/0!</v>
      </c>
      <c r="E16" s="6">
        <f>'12'!O$17</f>
        <v>0</v>
      </c>
      <c r="F16" s="6">
        <f>'12'!$O$20</f>
        <v>0</v>
      </c>
      <c r="G16" s="118">
        <f>'11'!F$31</f>
        <v>100</v>
      </c>
      <c r="H16" s="118">
        <f>'11'!H$31</f>
        <v>155</v>
      </c>
      <c r="I16" s="118">
        <f>'11'!J$31</f>
        <v>300</v>
      </c>
      <c r="J16" s="33">
        <f>G16/100</f>
        <v>1</v>
      </c>
      <c r="K16" s="33">
        <f>H16/150</f>
        <v>1.0333333333333334</v>
      </c>
      <c r="L16" s="77">
        <f>I16/300</f>
        <v>1</v>
      </c>
      <c r="N16" s="5">
        <f>'11'!F$32</f>
        <v>0</v>
      </c>
      <c r="O16" s="6">
        <f>'11'!H$32</f>
        <v>0</v>
      </c>
      <c r="P16" s="496">
        <f>'11'!J$32</f>
        <v>0</v>
      </c>
      <c r="Q16" s="7">
        <f>'11'!P26</f>
        <v>40</v>
      </c>
      <c r="S16" s="1161"/>
      <c r="T16" s="74">
        <f>'51'!H$30</f>
        <v>15</v>
      </c>
      <c r="U16" s="73" t="str">
        <f>TRIM('52'!W$39)</f>
        <v>Minor</v>
      </c>
      <c r="V16" s="74">
        <f>'51'!H$29</f>
        <v>1</v>
      </c>
      <c r="W16" s="74">
        <f>'55'!A$103</f>
        <v>112</v>
      </c>
      <c r="X16" s="74" t="str">
        <f>TRIM('55'!A$106)</f>
        <v>2.63</v>
      </c>
      <c r="Y16" s="555" t="str">
        <f ca="1">TRIM(OFFSET('54'!E$108,,1))</f>
        <v>***</v>
      </c>
      <c r="Z16" s="559">
        <f t="shared" si="1"/>
        <v>15</v>
      </c>
      <c r="AA16" s="111" t="str">
        <f t="shared" si="1"/>
        <v>Minor</v>
      </c>
    </row>
    <row r="17" spans="1:28" ht="12.9" customHeight="1" x14ac:dyDescent="0.25">
      <c r="A17" s="100">
        <f>'22'!N$7+'22'!N$8</f>
        <v>11</v>
      </c>
      <c r="B17" s="6">
        <f>'22'!N$11</f>
        <v>0</v>
      </c>
      <c r="C17" s="63">
        <f>B17/A17</f>
        <v>0</v>
      </c>
      <c r="D17" s="580">
        <f>'22'!O$18/'22'!O$16*1.4</f>
        <v>0.95277777777777772</v>
      </c>
      <c r="E17" s="6">
        <f>'22'!O$17</f>
        <v>1</v>
      </c>
      <c r="F17" s="6">
        <f>'22'!$O$20</f>
        <v>0</v>
      </c>
      <c r="G17" s="118">
        <f>'21'!F$31</f>
        <v>115</v>
      </c>
      <c r="H17" s="118">
        <f>'21'!H$31</f>
        <v>165</v>
      </c>
      <c r="I17" s="118">
        <f>'21'!J$31</f>
        <v>325</v>
      </c>
      <c r="J17" s="33">
        <f t="shared" ref="J17:J25" si="2">G17/100</f>
        <v>1.1499999999999999</v>
      </c>
      <c r="K17" s="33">
        <f t="shared" ref="K17:K25" si="3">H17/150</f>
        <v>1.1000000000000001</v>
      </c>
      <c r="L17" s="77">
        <f t="shared" ref="L17:L25" si="4">I17/300</f>
        <v>1.0833333333333333</v>
      </c>
      <c r="N17" s="5">
        <f>'21'!F$32</f>
        <v>0</v>
      </c>
      <c r="O17" s="6">
        <f>'21'!H$32</f>
        <v>0</v>
      </c>
      <c r="P17" s="496">
        <f>'21'!J$32</f>
        <v>0</v>
      </c>
      <c r="Q17" s="7">
        <f>'21'!P26</f>
        <v>50</v>
      </c>
      <c r="S17" s="1161"/>
      <c r="T17" s="328">
        <f>'61'!H$30</f>
        <v>20</v>
      </c>
      <c r="U17" s="71" t="str">
        <f>TRIM('62'!W$39)</f>
        <v>Minor</v>
      </c>
      <c r="V17" s="72">
        <f>'61'!H$29</f>
        <v>0</v>
      </c>
      <c r="W17" s="72">
        <f>'65'!A$103</f>
        <v>112</v>
      </c>
      <c r="X17" s="842" t="str">
        <f>TRIM('65'!A$106)</f>
        <v>2.63</v>
      </c>
      <c r="Y17" s="553" t="str">
        <f ca="1">TRIM(OFFSET('64'!E$108,,'61'!O$5))</f>
        <v>***</v>
      </c>
      <c r="Z17" s="558">
        <f>Config!B33</f>
        <v>18</v>
      </c>
      <c r="AA17" s="110" t="str">
        <f>Config!C33</f>
        <v>Minor</v>
      </c>
    </row>
    <row r="18" spans="1:28" ht="12.9" customHeight="1" x14ac:dyDescent="0.25">
      <c r="A18" s="100">
        <f>'32'!N$7+'32'!N$8</f>
        <v>14</v>
      </c>
      <c r="B18" s="6">
        <f>'32'!N$11</f>
        <v>0</v>
      </c>
      <c r="C18" s="63">
        <f>B18/A18</f>
        <v>0</v>
      </c>
      <c r="D18" s="580">
        <f>'32'!O$18/'32'!O$16*1.4</f>
        <v>1.1562499999999998</v>
      </c>
      <c r="E18" s="6">
        <f>'32'!O$17</f>
        <v>2</v>
      </c>
      <c r="F18" s="6">
        <f>'32'!$O$20</f>
        <v>0</v>
      </c>
      <c r="G18" s="118">
        <f>'31'!F$31</f>
        <v>115</v>
      </c>
      <c r="H18" s="118">
        <f>'31'!H$31</f>
        <v>165</v>
      </c>
      <c r="I18" s="118">
        <f>'31'!J$31</f>
        <v>325</v>
      </c>
      <c r="J18" s="33">
        <f t="shared" si="2"/>
        <v>1.1499999999999999</v>
      </c>
      <c r="K18" s="33">
        <f t="shared" si="3"/>
        <v>1.1000000000000001</v>
      </c>
      <c r="L18" s="77">
        <f t="shared" si="4"/>
        <v>1.0833333333333333</v>
      </c>
      <c r="N18" s="5">
        <f>'31'!F$32</f>
        <v>0</v>
      </c>
      <c r="O18" s="6">
        <f>'31'!H$32</f>
        <v>0</v>
      </c>
      <c r="P18" s="496">
        <f>'31'!J$32</f>
        <v>0</v>
      </c>
      <c r="Q18" s="7">
        <f>'31'!P$26</f>
        <v>60</v>
      </c>
      <c r="S18" s="1161"/>
      <c r="T18" s="329">
        <f>'71'!H$30</f>
        <v>21</v>
      </c>
      <c r="U18" s="20" t="str">
        <f>TRIM('72'!W$39)</f>
        <v>Major</v>
      </c>
      <c r="V18" s="70">
        <f>'71'!H$29</f>
        <v>0</v>
      </c>
      <c r="W18" s="70">
        <f>'75'!A$103</f>
        <v>112</v>
      </c>
      <c r="X18" s="840" t="str">
        <f>TRIM('75'!A$106)</f>
        <v>2.63</v>
      </c>
      <c r="Y18" s="554" t="str">
        <f ca="1">TRIM(OFFSET('74'!E$108,,'71'!O$5))</f>
        <v>***</v>
      </c>
      <c r="Z18" s="558">
        <f>Config!B34</f>
        <v>20</v>
      </c>
      <c r="AA18" s="110" t="str">
        <f>Config!C34</f>
        <v>Major</v>
      </c>
    </row>
    <row r="19" spans="1:28" ht="12.9" customHeight="1" x14ac:dyDescent="0.25">
      <c r="A19" s="100">
        <f>'42'!N$7+'42'!N$8</f>
        <v>16</v>
      </c>
      <c r="B19" s="6">
        <f>'42'!N$11</f>
        <v>0</v>
      </c>
      <c r="C19" s="63">
        <f>B19/A19</f>
        <v>0</v>
      </c>
      <c r="D19" s="580">
        <f>'42'!O$18/'42'!O$16*1.4</f>
        <v>1.2445963541666667</v>
      </c>
      <c r="E19" s="6">
        <f>'42'!O$17</f>
        <v>2</v>
      </c>
      <c r="F19" s="6">
        <f>'42'!$O$20</f>
        <v>0</v>
      </c>
      <c r="G19" s="118">
        <f>'41'!F$31</f>
        <v>115</v>
      </c>
      <c r="H19" s="118">
        <f>'41'!H$31</f>
        <v>165</v>
      </c>
      <c r="I19" s="118">
        <f>'41'!J$31</f>
        <v>325</v>
      </c>
      <c r="J19" s="33">
        <f t="shared" si="2"/>
        <v>1.1499999999999999</v>
      </c>
      <c r="K19" s="33">
        <f t="shared" si="3"/>
        <v>1.1000000000000001</v>
      </c>
      <c r="L19" s="77">
        <f t="shared" si="4"/>
        <v>1.0833333333333333</v>
      </c>
      <c r="N19" s="5">
        <f>'41'!F$32</f>
        <v>0</v>
      </c>
      <c r="O19" s="6">
        <f>'41'!H$32</f>
        <v>0</v>
      </c>
      <c r="P19" s="496">
        <f>'41'!J$32</f>
        <v>0</v>
      </c>
      <c r="Q19" s="7">
        <f>'41'!P$26</f>
        <v>65</v>
      </c>
      <c r="S19" s="1161"/>
      <c r="T19" s="329">
        <f>'81'!H$30</f>
        <v>37</v>
      </c>
      <c r="U19" s="20" t="str">
        <f>TRIM('82'!W$39)</f>
        <v>Minor</v>
      </c>
      <c r="V19" s="70">
        <f>'81'!H$29</f>
        <v>1</v>
      </c>
      <c r="W19" s="70">
        <f>'85'!A$103</f>
        <v>131</v>
      </c>
      <c r="X19" s="840" t="str">
        <f>TRIM('85'!A$106)</f>
        <v>3.60</v>
      </c>
      <c r="Y19" s="554" t="str">
        <f ca="1">TRIM(OFFSET('84'!E$108,,'81'!O$5))</f>
        <v>****</v>
      </c>
      <c r="Z19" s="558">
        <f>Config!B35</f>
        <v>35</v>
      </c>
      <c r="AA19" s="110" t="str">
        <f>Config!C35</f>
        <v>Minor</v>
      </c>
    </row>
    <row r="20" spans="1:28" ht="12.9" customHeight="1" x14ac:dyDescent="0.25">
      <c r="A20" s="100">
        <f>'52'!N$7+'52'!N$8</f>
        <v>21</v>
      </c>
      <c r="B20" s="6">
        <f>'52'!N$11</f>
        <v>0</v>
      </c>
      <c r="C20" s="63">
        <f>B20/A20</f>
        <v>0</v>
      </c>
      <c r="D20" s="580">
        <f>'52'!O$18/'52'!O$16*1.4</f>
        <v>1.1696691176470586</v>
      </c>
      <c r="E20" s="6">
        <f>'52'!O$17</f>
        <v>227</v>
      </c>
      <c r="F20" s="6">
        <f>'52'!$O$20</f>
        <v>0</v>
      </c>
      <c r="G20" s="118">
        <f>'51'!F$31</f>
        <v>115</v>
      </c>
      <c r="H20" s="118">
        <f>'51'!H$31</f>
        <v>165</v>
      </c>
      <c r="I20" s="118">
        <f>'51'!J$31</f>
        <v>325</v>
      </c>
      <c r="J20" s="33">
        <f t="shared" si="2"/>
        <v>1.1499999999999999</v>
      </c>
      <c r="K20" s="33">
        <f t="shared" si="3"/>
        <v>1.1000000000000001</v>
      </c>
      <c r="L20" s="77">
        <f t="shared" si="4"/>
        <v>1.0833333333333333</v>
      </c>
      <c r="N20" s="5">
        <f>'51'!F$32</f>
        <v>0</v>
      </c>
      <c r="O20" s="6">
        <f>'51'!H$32</f>
        <v>0</v>
      </c>
      <c r="P20" s="496">
        <f>'51'!J$32</f>
        <v>0</v>
      </c>
      <c r="Q20" s="7">
        <f>'51'!P$26</f>
        <v>70</v>
      </c>
      <c r="S20" s="1161"/>
      <c r="T20" s="329">
        <f>'91'!H$30</f>
        <v>0</v>
      </c>
      <c r="U20" s="20" t="str">
        <f>TRIM('92'!W$39)</f>
        <v>0</v>
      </c>
      <c r="V20" s="70">
        <f>'91'!H$29</f>
        <v>0</v>
      </c>
      <c r="W20" s="70">
        <f>'95'!A$103</f>
        <v>0</v>
      </c>
      <c r="X20" s="840" t="str">
        <f>TRIM('95'!A$106)</f>
        <v/>
      </c>
      <c r="Y20" s="554" t="str">
        <f ca="1">TRIM(OFFSET('94'!E$108,,'91'!O$5))</f>
        <v/>
      </c>
      <c r="Z20" s="558">
        <f>Config!B36</f>
        <v>35</v>
      </c>
      <c r="AA20" s="110" t="str">
        <f>Config!C36</f>
        <v>Major</v>
      </c>
    </row>
    <row r="21" spans="1:28" ht="12.9" customHeight="1" thickBot="1" x14ac:dyDescent="0.3">
      <c r="A21" s="100">
        <f>'62'!N$7+'62'!N$8</f>
        <v>24</v>
      </c>
      <c r="B21" s="6">
        <f>'62'!N$11</f>
        <v>3</v>
      </c>
      <c r="C21" s="63">
        <f>IF(A21&gt;0,B21/A21,C20)</f>
        <v>0.125</v>
      </c>
      <c r="D21" s="580">
        <f>'62'!O$18/'62'!O$16*1.4</f>
        <v>0.94548611111111103</v>
      </c>
      <c r="E21" s="6">
        <f>'62'!O$17</f>
        <v>165</v>
      </c>
      <c r="F21" s="6">
        <f>'62'!$O$20</f>
        <v>1</v>
      </c>
      <c r="G21" s="118">
        <f>'61'!F$31</f>
        <v>115</v>
      </c>
      <c r="H21" s="118">
        <f>'61'!H$31</f>
        <v>165</v>
      </c>
      <c r="I21" s="118">
        <f>'61'!J$31</f>
        <v>325</v>
      </c>
      <c r="J21" s="33">
        <f t="shared" si="2"/>
        <v>1.1499999999999999</v>
      </c>
      <c r="K21" s="33">
        <f t="shared" si="3"/>
        <v>1.1000000000000001</v>
      </c>
      <c r="L21" s="77">
        <f t="shared" si="4"/>
        <v>1.0833333333333333</v>
      </c>
      <c r="N21" s="5">
        <f>'61'!F$32</f>
        <v>0</v>
      </c>
      <c r="O21" s="6">
        <f>'61'!H$32</f>
        <v>0</v>
      </c>
      <c r="P21" s="496">
        <f>'61'!J$32</f>
        <v>10</v>
      </c>
      <c r="Q21" s="7">
        <f>'61'!P$26</f>
        <v>80</v>
      </c>
      <c r="S21" s="1164"/>
      <c r="T21" s="330">
        <f>'101'!H$30</f>
        <v>0</v>
      </c>
      <c r="U21" s="75" t="str">
        <f>TRIM('102'!W$39)</f>
        <v>0</v>
      </c>
      <c r="V21" s="76">
        <f>'101'!H$29</f>
        <v>0</v>
      </c>
      <c r="W21" s="76">
        <f>'105'!A$103</f>
        <v>0</v>
      </c>
      <c r="X21" s="841" t="str">
        <f>TRIM('105'!A$106)</f>
        <v/>
      </c>
      <c r="Y21" s="556" t="str">
        <f ca="1">TRIM(OFFSET('104'!E$108,,'101'!O$5))</f>
        <v/>
      </c>
      <c r="Z21" s="693">
        <f>Config!B37</f>
        <v>25</v>
      </c>
      <c r="AA21" s="694" t="str">
        <f>Config!C37</f>
        <v>Major</v>
      </c>
    </row>
    <row r="22" spans="1:28" ht="12.9" customHeight="1" x14ac:dyDescent="0.25">
      <c r="A22" s="100">
        <f>'72'!N$7+'72'!N$8</f>
        <v>26</v>
      </c>
      <c r="B22" s="6">
        <f>'72'!N$11</f>
        <v>2</v>
      </c>
      <c r="C22" s="63">
        <f>IF(A22&gt;0,B22/A22,C21)</f>
        <v>7.6923076923076927E-2</v>
      </c>
      <c r="D22" s="580">
        <f>'72'!O$18/'72'!O$16*1.4</f>
        <v>1.1669191919191919</v>
      </c>
      <c r="E22" s="6">
        <f>'72'!O$17</f>
        <v>176</v>
      </c>
      <c r="F22" s="6">
        <f>'72'!$O$20</f>
        <v>0</v>
      </c>
      <c r="G22" s="118">
        <f>'71'!F$31</f>
        <v>115</v>
      </c>
      <c r="H22" s="118">
        <f>'71'!H$31</f>
        <v>165</v>
      </c>
      <c r="I22" s="118">
        <f>'71'!J$31</f>
        <v>325</v>
      </c>
      <c r="J22" s="33">
        <f t="shared" si="2"/>
        <v>1.1499999999999999</v>
      </c>
      <c r="K22" s="33">
        <f t="shared" si="3"/>
        <v>1.1000000000000001</v>
      </c>
      <c r="L22" s="77">
        <f t="shared" si="4"/>
        <v>1.0833333333333333</v>
      </c>
      <c r="N22" s="5">
        <f>'71'!F$32</f>
        <v>7</v>
      </c>
      <c r="O22" s="6">
        <f>'71'!H$32</f>
        <v>7</v>
      </c>
      <c r="P22" s="496">
        <f>'71'!J$32</f>
        <v>25</v>
      </c>
      <c r="Q22" s="7">
        <f>'71'!P$26</f>
        <v>90</v>
      </c>
      <c r="S22" s="1146">
        <v>3</v>
      </c>
      <c r="T22" s="560">
        <f>'11'!J$30</f>
        <v>15</v>
      </c>
      <c r="U22" s="561" t="str">
        <f>TRIM('12'!Y$39)</f>
        <v>None</v>
      </c>
      <c r="V22" s="560">
        <f>'11'!J$29</f>
        <v>0</v>
      </c>
      <c r="W22" s="560">
        <f>'15'!A$104</f>
        <v>95</v>
      </c>
      <c r="X22" s="560" t="str">
        <f>TRIM('15'!A$107)</f>
        <v>1.75</v>
      </c>
      <c r="Y22" s="562" t="str">
        <f ca="1">TRIM(OFFSET('14'!E$109,,1))</f>
        <v>**</v>
      </c>
      <c r="Z22" s="563">
        <f t="shared" ref="Z22:AA26" si="5">T22</f>
        <v>15</v>
      </c>
      <c r="AA22" s="564" t="str">
        <f t="shared" si="5"/>
        <v>None</v>
      </c>
    </row>
    <row r="23" spans="1:28" ht="12.9" customHeight="1" x14ac:dyDescent="0.25">
      <c r="A23" s="100">
        <f>'82'!N$7+'82'!N$8</f>
        <v>35</v>
      </c>
      <c r="B23" s="6">
        <f>'82'!N$11</f>
        <v>2</v>
      </c>
      <c r="C23" s="63">
        <f>IF(A23&gt;0,B23/A23,C22)</f>
        <v>5.7142857142857141E-2</v>
      </c>
      <c r="D23" s="580">
        <f>'82'!O$18/'82'!O$16*1.4</f>
        <v>1.1418455387205386</v>
      </c>
      <c r="E23" s="6">
        <f>'82'!O$17</f>
        <v>360</v>
      </c>
      <c r="F23" s="6">
        <f>'82'!$O$20</f>
        <v>0</v>
      </c>
      <c r="G23" s="118">
        <f>'81'!F$31</f>
        <v>120</v>
      </c>
      <c r="H23" s="118">
        <f>'81'!H$31</f>
        <v>170</v>
      </c>
      <c r="I23" s="118">
        <f>'81'!J$31</f>
        <v>330</v>
      </c>
      <c r="J23" s="33">
        <f t="shared" si="2"/>
        <v>1.2</v>
      </c>
      <c r="K23" s="33">
        <f t="shared" si="3"/>
        <v>1.1333333333333333</v>
      </c>
      <c r="L23" s="77">
        <f t="shared" si="4"/>
        <v>1.1000000000000001</v>
      </c>
      <c r="N23" s="5">
        <f>'81'!F$32</f>
        <v>7</v>
      </c>
      <c r="O23" s="6">
        <f>'81'!H$32</f>
        <v>7</v>
      </c>
      <c r="P23" s="496">
        <f>'81'!J$32</f>
        <v>10</v>
      </c>
      <c r="Q23" s="7">
        <f>'81'!P$26</f>
        <v>90</v>
      </c>
      <c r="S23" s="1161"/>
      <c r="T23" s="70">
        <f>'21'!J$30</f>
        <v>15</v>
      </c>
      <c r="U23" s="20" t="str">
        <f>TRIM('22'!Y$39)</f>
        <v>None</v>
      </c>
      <c r="V23" s="70">
        <f>'21'!J$29</f>
        <v>0</v>
      </c>
      <c r="W23" s="70">
        <f>'25'!A$104</f>
        <v>90</v>
      </c>
      <c r="X23" s="70" t="str">
        <f>TRIM('25'!A$107)</f>
        <v>1.53</v>
      </c>
      <c r="Y23" s="554" t="str">
        <f ca="1">TRIM(OFFSET('24'!E$109,,1))</f>
        <v>**</v>
      </c>
      <c r="Z23" s="558">
        <f t="shared" si="5"/>
        <v>15</v>
      </c>
      <c r="AA23" s="110" t="str">
        <f t="shared" si="5"/>
        <v>None</v>
      </c>
    </row>
    <row r="24" spans="1:28" ht="12.9" customHeight="1" x14ac:dyDescent="0.25">
      <c r="A24" s="100">
        <f>'92'!N$7+'92'!N$8</f>
        <v>0</v>
      </c>
      <c r="B24" s="6">
        <f>'92'!N$11</f>
        <v>0</v>
      </c>
      <c r="C24" s="63">
        <f>IF(A24&gt;0,B24/A24,C23)</f>
        <v>5.7142857142857141E-2</v>
      </c>
      <c r="D24" s="580" t="e">
        <f>'92'!O$18/'92'!O$16*1.4</f>
        <v>#DIV/0!</v>
      </c>
      <c r="E24" s="6">
        <f>'92'!O$17</f>
        <v>0</v>
      </c>
      <c r="F24" s="6">
        <f>'92'!$O$20</f>
        <v>0</v>
      </c>
      <c r="G24" s="118">
        <f>'91'!F$31</f>
        <v>0</v>
      </c>
      <c r="H24" s="118">
        <f>'91'!H$31</f>
        <v>0</v>
      </c>
      <c r="I24" s="118">
        <f>'91'!J$31</f>
        <v>0</v>
      </c>
      <c r="J24" s="33">
        <f t="shared" si="2"/>
        <v>0</v>
      </c>
      <c r="K24" s="33">
        <f t="shared" si="3"/>
        <v>0</v>
      </c>
      <c r="L24" s="77">
        <f t="shared" si="4"/>
        <v>0</v>
      </c>
      <c r="N24" s="5">
        <f>'91'!F$32</f>
        <v>0</v>
      </c>
      <c r="O24" s="6">
        <f>'91'!H$32</f>
        <v>0</v>
      </c>
      <c r="P24" s="496">
        <f>'91'!J$32</f>
        <v>0</v>
      </c>
      <c r="Q24" s="7">
        <f>'91'!P$26</f>
        <v>0</v>
      </c>
      <c r="S24" s="1161"/>
      <c r="T24" s="70">
        <f>'31'!J$30</f>
        <v>15</v>
      </c>
      <c r="U24" s="20" t="str">
        <f>TRIM('32'!Y$39)</f>
        <v>Minor</v>
      </c>
      <c r="V24" s="70">
        <f>'31'!J$29</f>
        <v>0</v>
      </c>
      <c r="W24" s="70">
        <f>'35'!A$104</f>
        <v>91</v>
      </c>
      <c r="X24" s="70" t="str">
        <f>TRIM('35'!A$107)</f>
        <v>1.58</v>
      </c>
      <c r="Y24" s="554" t="str">
        <f ca="1">TRIM(OFFSET('34'!E$109,,1))</f>
        <v>**</v>
      </c>
      <c r="Z24" s="558">
        <f t="shared" si="5"/>
        <v>15</v>
      </c>
      <c r="AA24" s="110" t="str">
        <f t="shared" si="5"/>
        <v>Minor</v>
      </c>
    </row>
    <row r="25" spans="1:28" ht="12.9" customHeight="1" thickBot="1" x14ac:dyDescent="0.3">
      <c r="A25" s="101">
        <f>'102'!N$7+'102'!N$8</f>
        <v>0</v>
      </c>
      <c r="B25" s="10">
        <f>'102'!N$11</f>
        <v>0</v>
      </c>
      <c r="C25" s="65">
        <f>IF(A25&gt;0,B25/A25,C24)</f>
        <v>5.7142857142857141E-2</v>
      </c>
      <c r="D25" s="581" t="e">
        <f>'102'!O$18/'102'!O$16*1.4</f>
        <v>#DIV/0!</v>
      </c>
      <c r="E25" s="10">
        <f>'102'!O$17</f>
        <v>0</v>
      </c>
      <c r="F25" s="10">
        <f>'102'!$O$20</f>
        <v>0</v>
      </c>
      <c r="G25" s="119">
        <f>'101'!F$31</f>
        <v>0</v>
      </c>
      <c r="H25" s="119">
        <f>'101'!H$31</f>
        <v>0</v>
      </c>
      <c r="I25" s="119">
        <f>'101'!J$31</f>
        <v>0</v>
      </c>
      <c r="J25" s="135">
        <f t="shared" si="2"/>
        <v>0</v>
      </c>
      <c r="K25" s="135">
        <f t="shared" si="3"/>
        <v>0</v>
      </c>
      <c r="L25" s="134">
        <f t="shared" si="4"/>
        <v>0</v>
      </c>
      <c r="N25" s="9">
        <f>'101'!F$32</f>
        <v>0</v>
      </c>
      <c r="O25" s="10">
        <f>'101'!H$32</f>
        <v>0</v>
      </c>
      <c r="P25" s="611">
        <f>'101'!J$32</f>
        <v>0</v>
      </c>
      <c r="Q25" s="11">
        <f>'101'!P$26</f>
        <v>0</v>
      </c>
      <c r="S25" s="1161"/>
      <c r="T25" s="70">
        <f>'41'!J$30</f>
        <v>15</v>
      </c>
      <c r="U25" s="20" t="str">
        <f>TRIM('42'!Y$39)</f>
        <v>Minor</v>
      </c>
      <c r="V25" s="70">
        <f>'41'!J$29</f>
        <v>0</v>
      </c>
      <c r="W25" s="70">
        <f>'45'!A$104</f>
        <v>92</v>
      </c>
      <c r="X25" s="70" t="str">
        <f>TRIM('45'!A$107)</f>
        <v>1.63</v>
      </c>
      <c r="Y25" s="554" t="str">
        <f ca="1">TRIM(OFFSET('44'!E$109,,1))</f>
        <v>**</v>
      </c>
      <c r="Z25" s="558">
        <f t="shared" si="5"/>
        <v>15</v>
      </c>
      <c r="AA25" s="110" t="str">
        <f t="shared" si="5"/>
        <v>Minor</v>
      </c>
    </row>
    <row r="26" spans="1:28" ht="12.9" customHeight="1" thickBot="1" x14ac:dyDescent="0.3">
      <c r="S26" s="1161"/>
      <c r="T26" s="559">
        <f>'51'!J$30</f>
        <v>15</v>
      </c>
      <c r="U26" s="73" t="str">
        <f>TRIM('52'!Y$39)</f>
        <v>Minor</v>
      </c>
      <c r="V26" s="74">
        <f>'51'!J$29</f>
        <v>0</v>
      </c>
      <c r="W26" s="74">
        <f>'55'!A$104</f>
        <v>93</v>
      </c>
      <c r="X26" s="74" t="str">
        <f>TRIM('55'!A$107)</f>
        <v>1.68</v>
      </c>
      <c r="Y26" s="555" t="str">
        <f ca="1">TRIM(OFFSET('54'!E$109,,1))</f>
        <v>**</v>
      </c>
      <c r="Z26" s="559">
        <f t="shared" si="5"/>
        <v>15</v>
      </c>
      <c r="AA26" s="111" t="str">
        <f t="shared" si="5"/>
        <v>Minor</v>
      </c>
    </row>
    <row r="27" spans="1:28" ht="12.9" customHeight="1" x14ac:dyDescent="0.25">
      <c r="A27" s="1100" t="str">
        <f>Lang!$A$38</f>
        <v>Advertising</v>
      </c>
      <c r="B27" s="1101"/>
      <c r="C27" s="1101"/>
      <c r="D27" s="1101"/>
      <c r="E27" s="1101"/>
      <c r="F27" s="1101"/>
      <c r="G27" s="1101"/>
      <c r="H27" s="1101"/>
      <c r="I27" s="1101"/>
      <c r="J27" s="1101"/>
      <c r="K27" s="1101"/>
      <c r="L27" s="1102"/>
      <c r="N27" s="1100" t="str">
        <f>Lang!$A$116</f>
        <v>Insurance</v>
      </c>
      <c r="O27" s="1101"/>
      <c r="P27" s="1152" t="str">
        <f>Lang!$A$53</f>
        <v>Training</v>
      </c>
      <c r="Q27" s="1154" t="str">
        <f>Lang!$A$80</f>
        <v>Bank base rate</v>
      </c>
      <c r="S27" s="1161"/>
      <c r="T27" s="329">
        <f>'61'!J$30</f>
        <v>25</v>
      </c>
      <c r="U27" s="20" t="str">
        <f>TRIM('62'!Y$39)</f>
        <v>Minor</v>
      </c>
      <c r="V27" s="70">
        <f>'61'!J$29</f>
        <v>0</v>
      </c>
      <c r="W27" s="70">
        <f>'65'!A$104</f>
        <v>94</v>
      </c>
      <c r="X27" s="840" t="str">
        <f>TRIM('65'!A$107)</f>
        <v>1.73</v>
      </c>
      <c r="Y27" s="554" t="str">
        <f ca="1">TRIM(OFFSET('64'!E$109,,'61'!O$5))</f>
        <v>**</v>
      </c>
      <c r="Z27" s="558">
        <f>Config!B38</f>
        <v>11</v>
      </c>
      <c r="AA27" s="110" t="str">
        <f>Config!C38</f>
        <v>Minor</v>
      </c>
    </row>
    <row r="28" spans="1:28" ht="12.9" customHeight="1" x14ac:dyDescent="0.25">
      <c r="A28" s="1141" t="str">
        <f>Lang!$A$7</f>
        <v>Europe</v>
      </c>
      <c r="B28" s="1142"/>
      <c r="C28" s="1142"/>
      <c r="D28" s="1142"/>
      <c r="E28" s="1142" t="str">
        <f>Lang!$A$9</f>
        <v>Nafta</v>
      </c>
      <c r="F28" s="1142"/>
      <c r="G28" s="1142"/>
      <c r="H28" s="1142"/>
      <c r="I28" s="1142" t="str">
        <f>Lang!$A$11</f>
        <v>Internet</v>
      </c>
      <c r="J28" s="1142"/>
      <c r="K28" s="1142"/>
      <c r="L28" s="1143"/>
      <c r="N28" s="573" t="str">
        <f>Lang!$A$185</f>
        <v>Actual</v>
      </c>
      <c r="O28" s="772" t="str">
        <f>Lang!$A$178</f>
        <v>Plan</v>
      </c>
      <c r="P28" s="1153"/>
      <c r="Q28" s="1155"/>
      <c r="S28" s="1161"/>
      <c r="T28" s="329">
        <f>'71'!J$30</f>
        <v>20</v>
      </c>
      <c r="U28" s="20" t="str">
        <f>TRIM('72'!Y$39)</f>
        <v>Major</v>
      </c>
      <c r="V28" s="70">
        <f>'71'!J$29</f>
        <v>0</v>
      </c>
      <c r="W28" s="70">
        <f>'75'!A$104</f>
        <v>95</v>
      </c>
      <c r="X28" s="843" t="str">
        <f>TRIM('75'!A$107)</f>
        <v>1.78</v>
      </c>
      <c r="Y28" s="554" t="str">
        <f ca="1">TRIM(OFFSET('74'!E$109,,'71'!O$5))</f>
        <v>**</v>
      </c>
      <c r="Z28" s="558">
        <f>Config!B39</f>
        <v>18</v>
      </c>
      <c r="AA28" s="110" t="str">
        <f>Config!C39</f>
        <v>Major</v>
      </c>
    </row>
    <row r="29" spans="1:28" ht="12.9" customHeight="1" x14ac:dyDescent="0.25">
      <c r="A29" s="55">
        <f>'11'!E$14</f>
        <v>15</v>
      </c>
      <c r="B29" s="56">
        <f>'11'!F$14</f>
        <v>0</v>
      </c>
      <c r="C29" s="56">
        <f>'11'!H$14</f>
        <v>0</v>
      </c>
      <c r="D29" s="56">
        <f>'11'!J$14</f>
        <v>0</v>
      </c>
      <c r="E29" s="56">
        <f>'11'!E$15</f>
        <v>0</v>
      </c>
      <c r="F29" s="56">
        <f>'11'!F$15</f>
        <v>0</v>
      </c>
      <c r="G29" s="56">
        <f>'11'!H$15</f>
        <v>0</v>
      </c>
      <c r="H29" s="56">
        <f>'11'!J$15</f>
        <v>0</v>
      </c>
      <c r="I29" s="56">
        <f>'11'!E$16</f>
        <v>0</v>
      </c>
      <c r="J29" s="56">
        <f>'11'!F$16</f>
        <v>0</v>
      </c>
      <c r="K29" s="56">
        <f>'11'!H$16</f>
        <v>0</v>
      </c>
      <c r="L29" s="57">
        <f>'11'!J$16</f>
        <v>0</v>
      </c>
      <c r="N29" s="5">
        <f>'13'!F$33</f>
        <v>0</v>
      </c>
      <c r="O29" s="6">
        <f>'11'!W$32</f>
        <v>0</v>
      </c>
      <c r="P29" s="596">
        <f>'11'!$W$26</f>
        <v>1</v>
      </c>
      <c r="Q29" s="547">
        <f>'14'!G$10</f>
        <v>0.5</v>
      </c>
      <c r="S29" s="1161"/>
      <c r="T29" s="329">
        <f>'81'!J$30</f>
        <v>32</v>
      </c>
      <c r="U29" s="20" t="str">
        <f>TRIM('82'!Y$39)</f>
        <v>Minor</v>
      </c>
      <c r="V29" s="70">
        <f>'81'!J$29</f>
        <v>1</v>
      </c>
      <c r="W29" s="70">
        <f>'85'!A$104</f>
        <v>115</v>
      </c>
      <c r="X29" s="840" t="str">
        <f>TRIM('85'!A$107)</f>
        <v>2.80</v>
      </c>
      <c r="Y29" s="554" t="str">
        <f ca="1">TRIM(OFFSET('84'!E$109,,'81'!O$5))</f>
        <v>***</v>
      </c>
      <c r="Z29" s="558">
        <f>Config!B40</f>
        <v>30</v>
      </c>
      <c r="AA29" s="110" t="str">
        <f>Config!C40</f>
        <v>Minor</v>
      </c>
    </row>
    <row r="30" spans="1:28" ht="12.9" customHeight="1" x14ac:dyDescent="0.25">
      <c r="A30" s="55">
        <f>'21'!E$14</f>
        <v>10</v>
      </c>
      <c r="B30" s="56">
        <f>'21'!F$14</f>
        <v>5</v>
      </c>
      <c r="C30" s="56">
        <f>'21'!H$14</f>
        <v>5</v>
      </c>
      <c r="D30" s="56">
        <f>'21'!J$14</f>
        <v>10</v>
      </c>
      <c r="E30" s="56">
        <f>'21'!E$15</f>
        <v>0</v>
      </c>
      <c r="F30" s="56">
        <f>'21'!F$15</f>
        <v>0</v>
      </c>
      <c r="G30" s="56">
        <f>'21'!H$15</f>
        <v>0</v>
      </c>
      <c r="H30" s="56">
        <f>'21'!J$15</f>
        <v>0</v>
      </c>
      <c r="I30" s="56">
        <f>'21'!E$16</f>
        <v>0</v>
      </c>
      <c r="J30" s="56">
        <f>'21'!F$16</f>
        <v>0</v>
      </c>
      <c r="K30" s="56">
        <f>'21'!H$16</f>
        <v>0</v>
      </c>
      <c r="L30" s="57">
        <f>'21'!J$16</f>
        <v>0</v>
      </c>
      <c r="N30" s="5">
        <f>'23'!F$33</f>
        <v>0</v>
      </c>
      <c r="O30" s="6">
        <f>'21'!W$32</f>
        <v>1</v>
      </c>
      <c r="P30" s="596">
        <f>'21'!$W$26</f>
        <v>2</v>
      </c>
      <c r="Q30" s="547">
        <f>'24'!G$10</f>
        <v>0.5</v>
      </c>
      <c r="S30" s="1161"/>
      <c r="T30" s="329">
        <f>'91'!J$30</f>
        <v>0</v>
      </c>
      <c r="U30" s="20" t="str">
        <f>TRIM('92'!Y$39)</f>
        <v>0</v>
      </c>
      <c r="V30" s="70">
        <f>'91'!J$29</f>
        <v>0</v>
      </c>
      <c r="W30" s="70">
        <f>'95'!A$104</f>
        <v>0</v>
      </c>
      <c r="X30" s="840" t="str">
        <f>TRIM('95'!A$107)</f>
        <v/>
      </c>
      <c r="Y30" s="554" t="str">
        <f ca="1">TRIM(OFFSET('94'!E$109,,'91'!O$5))</f>
        <v/>
      </c>
      <c r="Z30" s="558">
        <f>Config!B41</f>
        <v>15</v>
      </c>
      <c r="AA30" s="110" t="str">
        <f>Config!C41</f>
        <v>Major</v>
      </c>
    </row>
    <row r="31" spans="1:28" ht="12.9" customHeight="1" thickBot="1" x14ac:dyDescent="0.3">
      <c r="A31" s="55">
        <f>'31'!E$14</f>
        <v>10</v>
      </c>
      <c r="B31" s="56">
        <f>'31'!F$14</f>
        <v>5</v>
      </c>
      <c r="C31" s="56">
        <f>'31'!H$14</f>
        <v>5</v>
      </c>
      <c r="D31" s="56">
        <f>'31'!J$14</f>
        <v>10</v>
      </c>
      <c r="E31" s="56">
        <f>'31'!E$15</f>
        <v>5</v>
      </c>
      <c r="F31" s="56">
        <f>'31'!F$15</f>
        <v>0</v>
      </c>
      <c r="G31" s="56">
        <f>'31'!H$15</f>
        <v>0</v>
      </c>
      <c r="H31" s="56">
        <f>'31'!J$15</f>
        <v>0</v>
      </c>
      <c r="I31" s="56">
        <f>'31'!E$16</f>
        <v>0</v>
      </c>
      <c r="J31" s="56">
        <f>'31'!F$16</f>
        <v>0</v>
      </c>
      <c r="K31" s="56">
        <f>'31'!H$16</f>
        <v>0</v>
      </c>
      <c r="L31" s="57">
        <f>'31'!J$16</f>
        <v>0</v>
      </c>
      <c r="N31" s="5">
        <f>'33'!F$33</f>
        <v>0</v>
      </c>
      <c r="O31" s="6">
        <f>'31'!W$32</f>
        <v>1</v>
      </c>
      <c r="P31" s="596">
        <f>'31'!$W$26</f>
        <v>0</v>
      </c>
      <c r="Q31" s="547">
        <f>'34'!G$10</f>
        <v>0.6</v>
      </c>
      <c r="S31" s="1164"/>
      <c r="T31" s="330">
        <f>'101'!J$30</f>
        <v>0</v>
      </c>
      <c r="U31" s="75" t="str">
        <f>TRIM('102'!Y$39)</f>
        <v>0</v>
      </c>
      <c r="V31" s="76">
        <f>'101'!J$29</f>
        <v>0</v>
      </c>
      <c r="W31" s="76">
        <f>'105'!A$104</f>
        <v>0</v>
      </c>
      <c r="X31" s="841" t="str">
        <f>TRIM('105'!A$107)</f>
        <v/>
      </c>
      <c r="Y31" s="556" t="str">
        <f ca="1">TRIM(OFFSET('104'!E$109,,'101'!O$5))</f>
        <v/>
      </c>
      <c r="Z31" s="693">
        <f>Config!B42</f>
        <v>16</v>
      </c>
      <c r="AA31" s="694" t="str">
        <f>Config!C42</f>
        <v>Minor</v>
      </c>
    </row>
    <row r="32" spans="1:28" ht="12.9" customHeight="1" x14ac:dyDescent="0.25">
      <c r="A32" s="55">
        <f>'41'!E$14</f>
        <v>10</v>
      </c>
      <c r="B32" s="56">
        <f>'41'!F$14</f>
        <v>5</v>
      </c>
      <c r="C32" s="56">
        <f>'41'!H$14</f>
        <v>5</v>
      </c>
      <c r="D32" s="56">
        <f>'41'!J$14</f>
        <v>10</v>
      </c>
      <c r="E32" s="56">
        <f>'41'!E$15</f>
        <v>5</v>
      </c>
      <c r="F32" s="56">
        <f>'41'!F$15</f>
        <v>5</v>
      </c>
      <c r="G32" s="56">
        <f>'41'!H$15</f>
        <v>5</v>
      </c>
      <c r="H32" s="56">
        <f>'41'!J$15</f>
        <v>5</v>
      </c>
      <c r="I32" s="56">
        <f>'41'!E$16</f>
        <v>10</v>
      </c>
      <c r="J32" s="56">
        <f>'41'!F$16</f>
        <v>0</v>
      </c>
      <c r="K32" s="56">
        <f>'41'!H$16</f>
        <v>0</v>
      </c>
      <c r="L32" s="57">
        <f>'41'!J$16</f>
        <v>0</v>
      </c>
      <c r="N32" s="5">
        <f>'43'!F$33</f>
        <v>22340</v>
      </c>
      <c r="O32" s="6">
        <f>'41'!W$32</f>
        <v>1</v>
      </c>
      <c r="P32" s="596">
        <f>'41'!$W$26</f>
        <v>0</v>
      </c>
      <c r="Q32" s="547">
        <f>'44'!G$10</f>
        <v>0.5</v>
      </c>
      <c r="Z32" s="154">
        <f>SUM(Z7:Z11)+SUM(Z17:Z21)+SUM(Z27:Z31)</f>
        <v>357</v>
      </c>
      <c r="AA32" s="121">
        <f>IF(AA7="Major",26,IF(AA7="Minor",6,0))+IF(AA8="Major",26,IF(AA8="Minor",6,0))+IF(AA9="Major",26,IF(AA9="Minor",6,0))+IF(AA10="Major",26,IF(AA10="Minor",6,0))+IF(AA11="Major",26,IF(AA11="Minor",6,0))+IF(AA17="Major",26,IF(AA17="Minor",6,0))+IF(AA18="Major",26,IF(AA18="Minor",6,0))+IF(AA19="Major",26,IF(AA19="Minor",6,0))+IF(AA20="Major",26,IF(AA20="Minor",6,0))+IF(AA21="Major",26,IF(AA21="Minor",6,0))+IF(AA27="Major",26,IF(AA27="Minor",6,0))+IF(AA28="Major",26,IF(AA28="Minor",6,0))+IF(AA29="Major",26,IF(AA29="Minor",6,0))+IF(AA30="Major",26,IF(AA30="Minor",6,0))+IF(AA31="Major",26,IF(AA31="Minor",6,0))</f>
        <v>250</v>
      </c>
      <c r="AB32" s="665">
        <f>Z32/AA32</f>
        <v>1.4279999999999999</v>
      </c>
    </row>
    <row r="33" spans="1:17" ht="12.9" customHeight="1" x14ac:dyDescent="0.25">
      <c r="A33" s="55">
        <f>'51'!E$14</f>
        <v>10</v>
      </c>
      <c r="B33" s="56">
        <f>'51'!F$14</f>
        <v>5</v>
      </c>
      <c r="C33" s="56">
        <f>'51'!H$14</f>
        <v>5</v>
      </c>
      <c r="D33" s="56">
        <f>'51'!J$14</f>
        <v>10</v>
      </c>
      <c r="E33" s="56">
        <f>'51'!E$15</f>
        <v>5</v>
      </c>
      <c r="F33" s="56">
        <f>'51'!F$15</f>
        <v>5</v>
      </c>
      <c r="G33" s="56">
        <f>'51'!H$15</f>
        <v>5</v>
      </c>
      <c r="H33" s="56">
        <f>'51'!J$15</f>
        <v>5</v>
      </c>
      <c r="I33" s="56">
        <f>'51'!E$16</f>
        <v>10</v>
      </c>
      <c r="J33" s="56">
        <f>'51'!F$16</f>
        <v>5</v>
      </c>
      <c r="K33" s="56">
        <f>'51'!H$16</f>
        <v>5</v>
      </c>
      <c r="L33" s="57">
        <f>'51'!J$16</f>
        <v>5</v>
      </c>
      <c r="N33" s="5">
        <f>'53'!F$33</f>
        <v>3660</v>
      </c>
      <c r="O33" s="6">
        <f>'51'!W$32</f>
        <v>1</v>
      </c>
      <c r="P33" s="596">
        <f>'51'!$W$26</f>
        <v>0</v>
      </c>
      <c r="Q33" s="547">
        <f>'54'!G$10</f>
        <v>0.5</v>
      </c>
    </row>
    <row r="34" spans="1:17" ht="12.9" customHeight="1" x14ac:dyDescent="0.25">
      <c r="A34" s="55">
        <f>'61'!E$14</f>
        <v>15</v>
      </c>
      <c r="B34" s="56">
        <f>'61'!F$14</f>
        <v>6</v>
      </c>
      <c r="C34" s="56">
        <f>'61'!H$14</f>
        <v>5</v>
      </c>
      <c r="D34" s="56">
        <f>'61'!J$14</f>
        <v>10</v>
      </c>
      <c r="E34" s="56">
        <f>'61'!E$15</f>
        <v>10</v>
      </c>
      <c r="F34" s="56">
        <f>'61'!F$15</f>
        <v>6</v>
      </c>
      <c r="G34" s="56">
        <f>'61'!H$15</f>
        <v>5</v>
      </c>
      <c r="H34" s="56">
        <f>'61'!J$15</f>
        <v>5</v>
      </c>
      <c r="I34" s="56">
        <f>'61'!E$16</f>
        <v>15</v>
      </c>
      <c r="J34" s="56">
        <f>'61'!F$16</f>
        <v>6</v>
      </c>
      <c r="K34" s="56">
        <f>'61'!H$16</f>
        <v>5</v>
      </c>
      <c r="L34" s="57">
        <f>'61'!J$16</f>
        <v>5</v>
      </c>
      <c r="N34" s="5">
        <f>'63'!F$33</f>
        <v>0</v>
      </c>
      <c r="O34" s="6">
        <f>'61'!W$32</f>
        <v>1</v>
      </c>
      <c r="P34" s="596">
        <f>'61'!$W$26</f>
        <v>3</v>
      </c>
      <c r="Q34" s="547">
        <f>IF(ISBLANK(IF('64'!G$10=0,Config!F8,'64'!G$10)),Q33,IF('64'!G$10=0,Config!F8,'64'!G$10))</f>
        <v>0.5</v>
      </c>
    </row>
    <row r="35" spans="1:17" ht="12.9" customHeight="1" x14ac:dyDescent="0.25">
      <c r="A35" s="55">
        <f>'71'!E$14</f>
        <v>20</v>
      </c>
      <c r="B35" s="56">
        <f>'71'!F$14</f>
        <v>6</v>
      </c>
      <c r="C35" s="56">
        <f>'71'!H$14</f>
        <v>5</v>
      </c>
      <c r="D35" s="56">
        <f>'71'!J$14</f>
        <v>5</v>
      </c>
      <c r="E35" s="56">
        <f>'71'!E$15</f>
        <v>15</v>
      </c>
      <c r="F35" s="56">
        <f>'71'!F$15</f>
        <v>6</v>
      </c>
      <c r="G35" s="56">
        <f>'71'!H$15</f>
        <v>6</v>
      </c>
      <c r="H35" s="56">
        <f>'71'!J$15</f>
        <v>6</v>
      </c>
      <c r="I35" s="56">
        <f>'71'!E$16</f>
        <v>20</v>
      </c>
      <c r="J35" s="56">
        <f>'71'!F$16</f>
        <v>6</v>
      </c>
      <c r="K35" s="56">
        <f>'71'!H$16</f>
        <v>6</v>
      </c>
      <c r="L35" s="57">
        <f>'71'!J$16</f>
        <v>6</v>
      </c>
      <c r="N35" s="5">
        <f>'73'!F$33</f>
        <v>42880</v>
      </c>
      <c r="O35" s="6">
        <f>'71'!W$32</f>
        <v>1</v>
      </c>
      <c r="P35" s="596">
        <f>'71'!$W$26</f>
        <v>8</v>
      </c>
      <c r="Q35" s="547">
        <f>IF(ISBLANK(IF('74'!G$10=0,Config!F9,'74'!G$10)),Q34,IF('74'!G$10=0,Config!F9,'74'!G$10))</f>
        <v>0.5</v>
      </c>
    </row>
    <row r="36" spans="1:17" ht="12.9" customHeight="1" x14ac:dyDescent="0.25">
      <c r="A36" s="55">
        <f>'81'!E$14</f>
        <v>20</v>
      </c>
      <c r="B36" s="56">
        <f>'81'!F$14</f>
        <v>6</v>
      </c>
      <c r="C36" s="56">
        <f>'81'!H$14</f>
        <v>6</v>
      </c>
      <c r="D36" s="56">
        <f>'81'!J$14</f>
        <v>5</v>
      </c>
      <c r="E36" s="56">
        <f>'81'!E$15</f>
        <v>15</v>
      </c>
      <c r="F36" s="56">
        <f>'81'!F$15</f>
        <v>6</v>
      </c>
      <c r="G36" s="56">
        <f>'81'!H$15</f>
        <v>7</v>
      </c>
      <c r="H36" s="56">
        <f>'81'!J$15</f>
        <v>7</v>
      </c>
      <c r="I36" s="56">
        <f>'81'!E$16</f>
        <v>20</v>
      </c>
      <c r="J36" s="56">
        <f>'81'!F$16</f>
        <v>7</v>
      </c>
      <c r="K36" s="56">
        <f>'81'!H$16</f>
        <v>7</v>
      </c>
      <c r="L36" s="57">
        <f>'81'!J$16</f>
        <v>7</v>
      </c>
      <c r="N36" s="5">
        <f>'83'!F$33</f>
        <v>54647</v>
      </c>
      <c r="O36" s="6">
        <f>'81'!W$32</f>
        <v>1</v>
      </c>
      <c r="P36" s="596">
        <f>'81'!$W$26</f>
        <v>10</v>
      </c>
      <c r="Q36" s="547">
        <f>IF(ISBLANK(IF('84'!G$10=0,Config!F10,'84'!G$10)),Q35,IF('84'!G$10=0,Config!F10,'84'!G$10))</f>
        <v>0.6</v>
      </c>
    </row>
    <row r="37" spans="1:17" ht="12.9" customHeight="1" x14ac:dyDescent="0.25">
      <c r="A37" s="55">
        <f>'91'!E$14</f>
        <v>0</v>
      </c>
      <c r="B37" s="56">
        <f>'91'!F$14</f>
        <v>0</v>
      </c>
      <c r="C37" s="56">
        <f>'91'!H$14</f>
        <v>0</v>
      </c>
      <c r="D37" s="56">
        <f>'91'!J$14</f>
        <v>0</v>
      </c>
      <c r="E37" s="56">
        <f>'91'!E$15</f>
        <v>0</v>
      </c>
      <c r="F37" s="56">
        <f>'91'!F$15</f>
        <v>0</v>
      </c>
      <c r="G37" s="56">
        <f>'91'!H$15</f>
        <v>0</v>
      </c>
      <c r="H37" s="56">
        <f>'91'!J$15</f>
        <v>0</v>
      </c>
      <c r="I37" s="56">
        <f>'91'!E$16</f>
        <v>0</v>
      </c>
      <c r="J37" s="56">
        <f>'91'!F$16</f>
        <v>0</v>
      </c>
      <c r="K37" s="56">
        <f>'91'!H$16</f>
        <v>0</v>
      </c>
      <c r="L37" s="57">
        <f>'91'!J$16</f>
        <v>0</v>
      </c>
      <c r="N37" s="5">
        <f>'93'!F$33</f>
        <v>0</v>
      </c>
      <c r="O37" s="6">
        <f>'91'!W$32</f>
        <v>0</v>
      </c>
      <c r="P37" s="596">
        <f>'91'!$W$26</f>
        <v>0</v>
      </c>
      <c r="Q37" s="547">
        <f>IF(ISBLANK(IF('94'!G$10=0,Config!F11,'94'!G$10)),Q36,IF('94'!G$10=0,Config!F11,'94'!G$10))</f>
        <v>0.6</v>
      </c>
    </row>
    <row r="38" spans="1:17" ht="12.9" customHeight="1" thickBot="1" x14ac:dyDescent="0.3">
      <c r="A38" s="58">
        <f>'101'!E$14</f>
        <v>0</v>
      </c>
      <c r="B38" s="59">
        <f>'101'!F$14</f>
        <v>0</v>
      </c>
      <c r="C38" s="59">
        <f>'101'!H$14</f>
        <v>0</v>
      </c>
      <c r="D38" s="59">
        <f>'101'!J$14</f>
        <v>0</v>
      </c>
      <c r="E38" s="59">
        <f>'101'!E$15</f>
        <v>0</v>
      </c>
      <c r="F38" s="59">
        <f>'101'!F$15</f>
        <v>0</v>
      </c>
      <c r="G38" s="59">
        <f>'101'!H$15</f>
        <v>0</v>
      </c>
      <c r="H38" s="59">
        <f>'101'!J$15</f>
        <v>0</v>
      </c>
      <c r="I38" s="59">
        <f>'101'!E$16</f>
        <v>0</v>
      </c>
      <c r="J38" s="59">
        <f>'101'!F$16</f>
        <v>0</v>
      </c>
      <c r="K38" s="59">
        <f>'101'!H$16</f>
        <v>0</v>
      </c>
      <c r="L38" s="60">
        <f>'101'!J$16</f>
        <v>0</v>
      </c>
      <c r="N38" s="9">
        <f>'103'!F$33</f>
        <v>0</v>
      </c>
      <c r="O38" s="10">
        <f>'101'!W$32</f>
        <v>0</v>
      </c>
      <c r="P38" s="599">
        <f>'101'!$W$26</f>
        <v>0</v>
      </c>
      <c r="Q38" s="548">
        <f>IF(ISBLANK(IF('104'!G$10=0,Config!F12,'104'!G$10)),Q37,IF('104'!G$10=0,Config!F12,'104'!G$10))</f>
        <v>0.6</v>
      </c>
    </row>
    <row r="39" spans="1:17" ht="12.9" customHeight="1" thickBot="1" x14ac:dyDescent="0.3"/>
    <row r="40" spans="1:17" ht="12.9" customHeight="1" x14ac:dyDescent="0.25">
      <c r="A40" s="1100" t="str">
        <f>Lang!$A$7</f>
        <v>Europe</v>
      </c>
      <c r="B40" s="1101"/>
      <c r="C40" s="1101"/>
      <c r="D40" s="1101" t="str">
        <f>Lang!$A$9</f>
        <v>Nafta</v>
      </c>
      <c r="E40" s="1101"/>
      <c r="F40" s="1101"/>
      <c r="G40" s="1101" t="str">
        <f>Lang!$A$11</f>
        <v>Internet</v>
      </c>
      <c r="H40" s="1101"/>
      <c r="I40" s="1102"/>
      <c r="K40" s="1100" t="str">
        <f>Lang!$A$20</f>
        <v>Components</v>
      </c>
      <c r="L40" s="1101"/>
      <c r="M40" s="1101"/>
      <c r="N40" s="1081" t="str">
        <f>Lang!$A$63</f>
        <v>Raw materials</v>
      </c>
      <c r="O40" s="1081"/>
      <c r="P40" s="1104"/>
      <c r="Q40" s="1150" t="str">
        <f>Lang!$A$79</f>
        <v>Exchange rate</v>
      </c>
    </row>
    <row r="41" spans="1:17" ht="12.9" customHeight="1" x14ac:dyDescent="0.25">
      <c r="A41" s="576" t="str">
        <f>Lang!$A$186</f>
        <v>Number needed</v>
      </c>
      <c r="B41" s="577" t="str">
        <f>Lang!$A$187</f>
        <v>Support</v>
      </c>
      <c r="C41" s="890" t="str">
        <f>Lang!$A$188</f>
        <v>Commission</v>
      </c>
      <c r="D41" s="881" t="str">
        <f>Lang!$A$186</f>
        <v>Number needed</v>
      </c>
      <c r="E41" s="881" t="str">
        <f>Lang!$A$187</f>
        <v>Support</v>
      </c>
      <c r="F41" s="881" t="str">
        <f>Lang!$A$188</f>
        <v>Commission</v>
      </c>
      <c r="G41" s="579" t="str">
        <f>Lang!$A$186</f>
        <v>Number needed</v>
      </c>
      <c r="H41" s="577" t="str">
        <f>Lang!$A$187</f>
        <v>Support</v>
      </c>
      <c r="I41" s="578" t="str">
        <f>Lang!$A$188</f>
        <v>Commission</v>
      </c>
      <c r="K41" s="569">
        <v>1</v>
      </c>
      <c r="L41" s="570">
        <v>2</v>
      </c>
      <c r="M41" s="570">
        <v>3</v>
      </c>
      <c r="N41" s="584" t="str">
        <f>Lang!$A$189</f>
        <v>Spot</v>
      </c>
      <c r="O41" s="571" t="str">
        <f>Lang!$A$190</f>
        <v>3 mth</v>
      </c>
      <c r="P41" s="571" t="str">
        <f>Lang!$A$191</f>
        <v>6 mth</v>
      </c>
      <c r="Q41" s="1151"/>
    </row>
    <row r="42" spans="1:17" ht="12.9" customHeight="1" x14ac:dyDescent="0.25">
      <c r="A42" s="882">
        <f>'12'!M$26</f>
        <v>0</v>
      </c>
      <c r="B42" s="883">
        <f>'11'!T$14</f>
        <v>6</v>
      </c>
      <c r="C42" s="333">
        <f>'11'!W$14</f>
        <v>7</v>
      </c>
      <c r="D42" s="14">
        <f>'12'!N$26</f>
        <v>0</v>
      </c>
      <c r="E42" s="14">
        <f>'11'!T$15</f>
        <v>0</v>
      </c>
      <c r="F42" s="49">
        <f>'11'!W$15</f>
        <v>0</v>
      </c>
      <c r="G42" s="80">
        <f>'12'!O$26</f>
        <v>0</v>
      </c>
      <c r="H42" s="14">
        <f>'11'!T$16</f>
        <v>0</v>
      </c>
      <c r="I42" s="51">
        <f>'11'!W$16</f>
        <v>0</v>
      </c>
      <c r="K42" s="5">
        <f>'14'!G$16</f>
        <v>126</v>
      </c>
      <c r="L42" s="6">
        <f>'14'!H$16</f>
        <v>207</v>
      </c>
      <c r="M42" s="6">
        <f>'14'!I$16</f>
        <v>318</v>
      </c>
      <c r="N42" s="587">
        <f>'14'!G$20</f>
        <v>79567</v>
      </c>
      <c r="O42" s="6">
        <f>'14'!H$20</f>
        <v>75192</v>
      </c>
      <c r="P42" s="6">
        <f>'14'!I$20</f>
        <v>71611</v>
      </c>
      <c r="Q42" s="597">
        <f>'14'!L$10</f>
        <v>0.83</v>
      </c>
    </row>
    <row r="43" spans="1:17" ht="12.9" customHeight="1" x14ac:dyDescent="0.25">
      <c r="A43" s="13">
        <f>'22'!M$26</f>
        <v>2</v>
      </c>
      <c r="B43" s="14">
        <f>'21'!T$14</f>
        <v>9</v>
      </c>
      <c r="C43" s="49">
        <f>'21'!W$14</f>
        <v>7</v>
      </c>
      <c r="D43" s="14">
        <f>'22'!N$26</f>
        <v>0</v>
      </c>
      <c r="E43" s="14">
        <f>'21'!T$15</f>
        <v>0</v>
      </c>
      <c r="F43" s="49">
        <f>'21'!W$15</f>
        <v>0</v>
      </c>
      <c r="G43" s="80">
        <f>'22'!O$26</f>
        <v>0</v>
      </c>
      <c r="H43" s="14">
        <f>'21'!T$16</f>
        <v>0</v>
      </c>
      <c r="I43" s="51">
        <f>'21'!W$16</f>
        <v>0</v>
      </c>
      <c r="K43" s="5">
        <f>'24'!G$16</f>
        <v>125</v>
      </c>
      <c r="L43" s="6">
        <f>'24'!H$16</f>
        <v>205</v>
      </c>
      <c r="M43" s="6">
        <f>'24'!I$16</f>
        <v>315</v>
      </c>
      <c r="N43" s="587">
        <f>'24'!G$20</f>
        <v>79336</v>
      </c>
      <c r="O43" s="6">
        <f>'24'!H$20</f>
        <v>75369</v>
      </c>
      <c r="P43" s="6">
        <f>'24'!I$20</f>
        <v>71403</v>
      </c>
      <c r="Q43" s="597">
        <f>'24'!L$10</f>
        <v>0.82</v>
      </c>
    </row>
    <row r="44" spans="1:17" ht="12.9" customHeight="1" x14ac:dyDescent="0.25">
      <c r="A44" s="13">
        <f>'32'!M$26</f>
        <v>3</v>
      </c>
      <c r="B44" s="14">
        <f>'31'!T$14</f>
        <v>10</v>
      </c>
      <c r="C44" s="49">
        <f>'31'!W$14</f>
        <v>7</v>
      </c>
      <c r="D44" s="14">
        <f>'32'!N$26</f>
        <v>0</v>
      </c>
      <c r="E44" s="14">
        <f>'31'!T$15</f>
        <v>7</v>
      </c>
      <c r="F44" s="49">
        <f>'31'!W$15</f>
        <v>6</v>
      </c>
      <c r="G44" s="80">
        <f>'32'!O$26</f>
        <v>0</v>
      </c>
      <c r="H44" s="14">
        <f>'31'!T$16</f>
        <v>0</v>
      </c>
      <c r="I44" s="51">
        <f>'31'!W$16</f>
        <v>0</v>
      </c>
      <c r="K44" s="5">
        <f>'34'!G$16</f>
        <v>125</v>
      </c>
      <c r="L44" s="6">
        <f>'34'!H$16</f>
        <v>206</v>
      </c>
      <c r="M44" s="6">
        <f>'34'!I$16</f>
        <v>317</v>
      </c>
      <c r="N44" s="587">
        <f>'34'!G$20</f>
        <v>79345</v>
      </c>
      <c r="O44" s="6">
        <f>'34'!H$20</f>
        <v>75378</v>
      </c>
      <c r="P44" s="6">
        <f>'34'!I$20</f>
        <v>71410</v>
      </c>
      <c r="Q44" s="597">
        <f>'34'!L$10</f>
        <v>0.83</v>
      </c>
    </row>
    <row r="45" spans="1:17" ht="12.9" customHeight="1" x14ac:dyDescent="0.25">
      <c r="A45" s="13">
        <f>'42'!M$26</f>
        <v>3</v>
      </c>
      <c r="B45" s="14">
        <f>'41'!T$14</f>
        <v>10</v>
      </c>
      <c r="C45" s="49">
        <f>'41'!W$14</f>
        <v>7</v>
      </c>
      <c r="D45" s="14">
        <f>'42'!N$26</f>
        <v>1</v>
      </c>
      <c r="E45" s="14">
        <f>'41'!T$15</f>
        <v>8</v>
      </c>
      <c r="F45" s="49">
        <f>'41'!W$15</f>
        <v>6</v>
      </c>
      <c r="G45" s="80">
        <f>'42'!O$26</f>
        <v>0</v>
      </c>
      <c r="H45" s="14">
        <f>'41'!T$16</f>
        <v>9</v>
      </c>
      <c r="I45" s="51">
        <f>'41'!W$16</f>
        <v>5</v>
      </c>
      <c r="K45" s="5">
        <f>'44'!G$16</f>
        <v>125</v>
      </c>
      <c r="L45" s="6">
        <f>'44'!H$16</f>
        <v>206</v>
      </c>
      <c r="M45" s="6">
        <f>'44'!I$16</f>
        <v>317</v>
      </c>
      <c r="N45" s="587">
        <f>'44'!G$20</f>
        <v>78498</v>
      </c>
      <c r="O45" s="6">
        <f>'44'!H$20</f>
        <v>75378</v>
      </c>
      <c r="P45" s="6">
        <f>'44'!I$20</f>
        <v>71410</v>
      </c>
      <c r="Q45" s="597">
        <f>'44'!L$10</f>
        <v>0.84</v>
      </c>
    </row>
    <row r="46" spans="1:17" ht="12.9" customHeight="1" x14ac:dyDescent="0.25">
      <c r="A46" s="13">
        <f>'52'!M$26</f>
        <v>3</v>
      </c>
      <c r="B46" s="14">
        <f>'51'!T$14</f>
        <v>10</v>
      </c>
      <c r="C46" s="49">
        <f>'51'!W$14</f>
        <v>7</v>
      </c>
      <c r="D46" s="14">
        <f>'52'!N$26</f>
        <v>1</v>
      </c>
      <c r="E46" s="14">
        <f>'51'!T$15</f>
        <v>8</v>
      </c>
      <c r="F46" s="49">
        <f>'51'!W$15</f>
        <v>6</v>
      </c>
      <c r="G46" s="80">
        <f>'52'!O$26</f>
        <v>1</v>
      </c>
      <c r="H46" s="14">
        <f>'51'!T$16</f>
        <v>9</v>
      </c>
      <c r="I46" s="51">
        <f>'51'!W$16</f>
        <v>5</v>
      </c>
      <c r="K46" s="5">
        <f>'54'!G$16</f>
        <v>125</v>
      </c>
      <c r="L46" s="6">
        <f>'54'!H$16</f>
        <v>205</v>
      </c>
      <c r="M46" s="6">
        <f>'54'!I$16</f>
        <v>315</v>
      </c>
      <c r="N46" s="587">
        <f>'54'!G$20</f>
        <v>78498</v>
      </c>
      <c r="O46" s="6">
        <f>'54'!H$20</f>
        <v>75387</v>
      </c>
      <c r="P46" s="6">
        <f>'54'!I$20</f>
        <v>71419</v>
      </c>
      <c r="Q46" s="597">
        <f>'54'!L$10</f>
        <v>0.83</v>
      </c>
    </row>
    <row r="47" spans="1:17" ht="12.9" customHeight="1" x14ac:dyDescent="0.25">
      <c r="A47" s="882">
        <f>'62'!M$26</f>
        <v>3</v>
      </c>
      <c r="B47" s="14">
        <f>'61'!T$14</f>
        <v>10</v>
      </c>
      <c r="C47" s="49">
        <f>'61'!W$14</f>
        <v>7</v>
      </c>
      <c r="D47" s="14">
        <f>'62'!N$26</f>
        <v>1</v>
      </c>
      <c r="E47" s="14">
        <f>'61'!T$15</f>
        <v>8</v>
      </c>
      <c r="F47" s="49">
        <f>'61'!W$15</f>
        <v>6</v>
      </c>
      <c r="G47" s="80">
        <f>'62'!O$26</f>
        <v>1</v>
      </c>
      <c r="H47" s="14">
        <f>'61'!T$16</f>
        <v>10</v>
      </c>
      <c r="I47" s="51">
        <f>'61'!W$16</f>
        <v>7</v>
      </c>
      <c r="K47" s="5">
        <f>IF(ISBLANK(IF('64'!G$20=0,Config!A21,'64'!G$16)),K46,IF('64'!G$20=0,Config!A21,'64'!G$16))</f>
        <v>126</v>
      </c>
      <c r="L47" s="6">
        <f>IF(ISBLANK(IF('64'!H$20=0,Config!B21,'64'!H$16)),L46,IF('64'!H$20=0,Config!B21,'64'!H$16))</f>
        <v>207</v>
      </c>
      <c r="M47" s="6">
        <f>IF(ISBLANK(IF('64'!I$20=0,Config!C21,'64'!I$16)),M46,IF('64'!I$20=0,Config!C21,'64'!I$16))</f>
        <v>318</v>
      </c>
      <c r="N47" s="587">
        <f>IF(ISBLANK(IF('64'!G$20=0,Config!A8,'64'!G$20)),N46,IF('64'!G$20=0,Config!A8,'64'!G$20))</f>
        <v>79567</v>
      </c>
      <c r="O47" s="6">
        <f>IF(ISBLANK(IF('64'!H$20=0,Config!B8,'64'!H$20)),O46,IF('64'!H$20=0,Config!B8,'64'!H$20))</f>
        <v>75192</v>
      </c>
      <c r="P47" s="6">
        <f>IF(ISBLANK(IF('64'!I$20=0,Config!C8,'64'!I$20)),P46,IF('64'!I$20=0,Config!C8,'64'!I$20))</f>
        <v>71611</v>
      </c>
      <c r="Q47" s="597">
        <f>IF(ISBLANK(IF('64'!L$10=0,Config!D8,'64'!L$10)),Q46,IF('64'!L$10=0,Config!D8,'64'!L$10))</f>
        <v>0.83</v>
      </c>
    </row>
    <row r="48" spans="1:17" ht="12.9" customHeight="1" x14ac:dyDescent="0.25">
      <c r="A48" s="13">
        <f>'72'!M$26</f>
        <v>3</v>
      </c>
      <c r="B48" s="14">
        <f>'71'!T$14</f>
        <v>10</v>
      </c>
      <c r="C48" s="49">
        <f>'71'!W$14</f>
        <v>7</v>
      </c>
      <c r="D48" s="14">
        <f>'72'!N$26</f>
        <v>1</v>
      </c>
      <c r="E48" s="14">
        <f>'71'!T$15</f>
        <v>9</v>
      </c>
      <c r="F48" s="49">
        <f>'71'!W$15</f>
        <v>7</v>
      </c>
      <c r="G48" s="80">
        <f>'72'!O$26</f>
        <v>1</v>
      </c>
      <c r="H48" s="14">
        <f>'71'!T$16</f>
        <v>10</v>
      </c>
      <c r="I48" s="51">
        <f>'71'!W$16</f>
        <v>7</v>
      </c>
      <c r="K48" s="5">
        <f>IF(ISBLANK(IF('74'!G$20=0,Config!A22,'74'!G$16)),K47,IF('74'!G$20=0,Config!A22,'74'!G$16))</f>
        <v>125</v>
      </c>
      <c r="L48" s="6">
        <f>IF(ISBLANK(IF('74'!H$20=0,Config!B22,'74'!H$16)),L47,IF('74'!H$20=0,Config!B22,'74'!H$16))</f>
        <v>205</v>
      </c>
      <c r="M48" s="6">
        <f>IF(ISBLANK(IF('74'!I$20=0,Config!C22,'74'!I$16)),M47,IF('74'!I$20=0,Config!C22,'74'!I$16))</f>
        <v>315</v>
      </c>
      <c r="N48" s="587">
        <f>IF(ISBLANK(IF('74'!G$20=0,Config!A9,'74'!G$20)),N47,IF('74'!G$20=0,Config!A9,'74'!G$20))</f>
        <v>79336</v>
      </c>
      <c r="O48" s="6">
        <f>IF(ISBLANK(IF('74'!H$20=0,Config!B9,'74'!H$20)),O47,IF('74'!H$20=0,Config!B9,'74'!H$20))</f>
        <v>75369</v>
      </c>
      <c r="P48" s="6">
        <f>IF(ISBLANK(IF('74'!I$20=0,Config!C9,'74'!I$20)),P47,IF('74'!I$20=0,Config!C9,'74'!I$20))</f>
        <v>71403</v>
      </c>
      <c r="Q48" s="597">
        <f>IF(ISBLANK(IF('74'!L$10=0,Config!D9,'74'!L$10)),Q47,IF('74'!L$10=0,Config!D9,'74'!L$10))</f>
        <v>0.82</v>
      </c>
    </row>
    <row r="49" spans="1:17" ht="12.9" customHeight="1" x14ac:dyDescent="0.25">
      <c r="A49" s="13">
        <f>'82'!M$26</f>
        <v>3</v>
      </c>
      <c r="B49" s="14">
        <f>'81'!T$14</f>
        <v>10</v>
      </c>
      <c r="C49" s="49">
        <f>'81'!W$14</f>
        <v>8</v>
      </c>
      <c r="D49" s="14">
        <f>'82'!N$26</f>
        <v>2</v>
      </c>
      <c r="E49" s="14">
        <f>'81'!T$15</f>
        <v>10</v>
      </c>
      <c r="F49" s="49">
        <f>'81'!W$15</f>
        <v>8</v>
      </c>
      <c r="G49" s="80">
        <f>'82'!O$26</f>
        <v>1</v>
      </c>
      <c r="H49" s="14">
        <f>'81'!T$16</f>
        <v>12</v>
      </c>
      <c r="I49" s="51">
        <f>'81'!W$16</f>
        <v>8</v>
      </c>
      <c r="K49" s="5">
        <f>IF(ISBLANK(IF('84'!G$20=0,Config!A23,'84'!G$16)),K48,IF('84'!G$20=0,Config!A23,'84'!G$16))</f>
        <v>125</v>
      </c>
      <c r="L49" s="6">
        <f>IF(ISBLANK(IF('84'!H$20=0,Config!B23,'84'!H$16)),L48,IF('84'!H$20=0,Config!B23,'84'!H$16))</f>
        <v>206</v>
      </c>
      <c r="M49" s="6">
        <f>IF(ISBLANK(IF('84'!I$20=0,Config!C23,'84'!I$16)),M48,IF('84'!I$20=0,Config!C23,'84'!I$16))</f>
        <v>317</v>
      </c>
      <c r="N49" s="587">
        <f>IF(ISBLANK(IF('84'!G$20=0,Config!A10,'84'!G$20)),N48,IF('84'!G$20=0,Config!A10,'84'!G$20))</f>
        <v>79345</v>
      </c>
      <c r="O49" s="6">
        <f>IF(ISBLANK(IF('84'!H$20=0,Config!B10,'84'!H$20)),O48,IF('84'!H$20=0,Config!B10,'84'!H$20))</f>
        <v>75378</v>
      </c>
      <c r="P49" s="6">
        <f>IF(ISBLANK(IF('84'!I$20=0,Config!C10,'84'!I$20)),P48,IF('84'!I$20=0,Config!C10,'84'!I$20))</f>
        <v>71410</v>
      </c>
      <c r="Q49" s="597">
        <f>IF(ISBLANK(IF('84'!L$10=0,Config!D10,'84'!L$10)),Q48,IF('84'!L$10=0,Config!D10,'84'!L$10))</f>
        <v>0.83</v>
      </c>
    </row>
    <row r="50" spans="1:17" ht="12.9" customHeight="1" x14ac:dyDescent="0.25">
      <c r="A50" s="13">
        <f>'92'!M$26</f>
        <v>0</v>
      </c>
      <c r="B50" s="14">
        <f>'91'!T$14</f>
        <v>0</v>
      </c>
      <c r="C50" s="49">
        <f>'91'!W$14</f>
        <v>0</v>
      </c>
      <c r="D50" s="14">
        <f>'92'!N$26</f>
        <v>0</v>
      </c>
      <c r="E50" s="14">
        <f>'91'!T$15</f>
        <v>0</v>
      </c>
      <c r="F50" s="49">
        <f>'91'!W$15</f>
        <v>0</v>
      </c>
      <c r="G50" s="80">
        <f>'92'!O$26</f>
        <v>0</v>
      </c>
      <c r="H50" s="14">
        <f>'91'!T$16</f>
        <v>0</v>
      </c>
      <c r="I50" s="51">
        <f>'91'!W$16</f>
        <v>0</v>
      </c>
      <c r="K50" s="5">
        <f>IF(ISBLANK(IF('94'!G$20=0,Config!A24,'94'!G$16)),K49,IF('94'!G$20=0,Config!A24,'94'!G$16))</f>
        <v>125</v>
      </c>
      <c r="L50" s="6">
        <f>IF(ISBLANK(IF('94'!H$20=0,Config!B24,'94'!H$16)),L49,IF('94'!H$20=0,Config!B24,'94'!H$16))</f>
        <v>206</v>
      </c>
      <c r="M50" s="6">
        <f>IF(ISBLANK(IF('94'!I$20=0,Config!C24,'94'!I$16)),M49,IF('94'!I$20=0,Config!C24,'94'!I$16))</f>
        <v>317</v>
      </c>
      <c r="N50" s="587">
        <f>IF(ISBLANK(IF('94'!G$20=0,Config!A11,'94'!G$20)),N49,IF('94'!G$20=0,Config!A11,'94'!G$20))</f>
        <v>78498</v>
      </c>
      <c r="O50" s="6">
        <f>IF(ISBLANK(IF('94'!H$20=0,Config!B11,'94'!H$20)),O49,IF('94'!H$20=0,Config!B11,'94'!H$20))</f>
        <v>75378</v>
      </c>
      <c r="P50" s="6">
        <f>IF(ISBLANK(IF('94'!I$20=0,Config!C11,'94'!I$20)),P49,IF('94'!I$20=0,Config!C11,'94'!I$20))</f>
        <v>71410</v>
      </c>
      <c r="Q50" s="597">
        <f>IF(ISBLANK(IF('94'!L$10=0,Config!D11,'94'!L$10)),Q49,IF('94'!L$10=0,Config!D11,'94'!L$10))</f>
        <v>0.84</v>
      </c>
    </row>
    <row r="51" spans="1:17" ht="12.9" customHeight="1" thickBot="1" x14ac:dyDescent="0.3">
      <c r="A51" s="15">
        <f>'102'!M$26</f>
        <v>0</v>
      </c>
      <c r="B51" s="16">
        <f>'101'!T$14</f>
        <v>0</v>
      </c>
      <c r="C51" s="50">
        <f>'101'!W$14</f>
        <v>0</v>
      </c>
      <c r="D51" s="16">
        <f>'102'!N$26</f>
        <v>0</v>
      </c>
      <c r="E51" s="16">
        <f>'101'!T$15</f>
        <v>0</v>
      </c>
      <c r="F51" s="50">
        <f>'101'!W$15</f>
        <v>0</v>
      </c>
      <c r="G51" s="81">
        <f>'102'!O$26</f>
        <v>0</v>
      </c>
      <c r="H51" s="16">
        <f>'101'!T$16</f>
        <v>0</v>
      </c>
      <c r="I51" s="52">
        <f>'101'!W$16</f>
        <v>0</v>
      </c>
      <c r="K51" s="9">
        <f>IF(ISBLANK(IF('104'!G$20=0,Config!A25,'104'!G$16)),K50,IF('104'!G$20=0,Config!A25,'104'!G$16))</f>
        <v>125</v>
      </c>
      <c r="L51" s="10">
        <f>IF(ISBLANK(IF('104'!H$20=0,Config!B25,'104'!H$16)),L50,IF('104'!H$20=0,Config!B25,'104'!H$16))</f>
        <v>205</v>
      </c>
      <c r="M51" s="10">
        <f>IF(ISBLANK(IF('104'!I$20=0,Config!C25,'104'!I$16)),M50,IF('104'!I$20=0,Config!C25,'104'!I$16))</f>
        <v>315</v>
      </c>
      <c r="N51" s="588">
        <f>IF(ISBLANK(IF('104'!G$20=0,Config!A12,'104'!G$20)),N50,IF('104'!G$20=0,Config!A12,'104'!G$20))</f>
        <v>78498</v>
      </c>
      <c r="O51" s="10">
        <f>IF(ISBLANK(IF('104'!H$20=0,Config!B12,'104'!H$20)),O50,IF('104'!H$20=0,Config!B12,'104'!H$20))</f>
        <v>75387</v>
      </c>
      <c r="P51" s="10">
        <f>IF(ISBLANK(IF('104'!I$20=0,Config!C12,'104'!I$20)),P50,IF('104'!I$20=0,Config!C12,'104'!I$20))</f>
        <v>71419</v>
      </c>
      <c r="Q51" s="598">
        <f>IF(ISBLANK(IF('104'!L$10=0,Config!D12,'104'!L$10)),Q50,IF('104'!L$10=0,Config!D12,'104'!L$10))</f>
        <v>0.83</v>
      </c>
    </row>
    <row r="52" spans="1:17" ht="12.9" customHeight="1" thickBot="1" x14ac:dyDescent="0.3"/>
    <row r="53" spans="1:17" ht="12.9" customHeight="1" x14ac:dyDescent="0.25">
      <c r="A53" s="1100" t="str">
        <f>Lang!$A$74</f>
        <v>Prices</v>
      </c>
      <c r="B53" s="1101"/>
      <c r="C53" s="1101"/>
      <c r="D53" s="1101"/>
      <c r="E53" s="1101"/>
      <c r="F53" s="1101"/>
      <c r="G53" s="1101"/>
      <c r="H53" s="1101"/>
      <c r="I53" s="1102"/>
      <c r="K53" s="1080" t="str">
        <f>Lang!$A$192</f>
        <v>Web-site</v>
      </c>
      <c r="L53" s="1081"/>
      <c r="M53" s="1081"/>
      <c r="N53" s="1081"/>
      <c r="O53" s="1104"/>
      <c r="P53" s="1101" t="str">
        <f>Lang!$A$193</f>
        <v>Unemployment rate</v>
      </c>
      <c r="Q53" s="1102"/>
    </row>
    <row r="54" spans="1:17" ht="12.9" customHeight="1" x14ac:dyDescent="0.25">
      <c r="A54" s="1168" t="str">
        <f>Lang!$A$7</f>
        <v>Europe</v>
      </c>
      <c r="B54" s="1166"/>
      <c r="C54" s="1166"/>
      <c r="D54" s="1166" t="str">
        <f>Lang!$A$9</f>
        <v>Nafta</v>
      </c>
      <c r="E54" s="1166"/>
      <c r="F54" s="1166"/>
      <c r="G54" s="1166" t="str">
        <f>Lang!$A$11</f>
        <v>Internet</v>
      </c>
      <c r="H54" s="1166"/>
      <c r="I54" s="1167"/>
      <c r="K54" s="576" t="str">
        <f>Lang!$A$68</f>
        <v>Ports</v>
      </c>
      <c r="L54" s="577" t="str">
        <f>Lang!$A$194</f>
        <v>Visits</v>
      </c>
      <c r="M54" s="577" t="str">
        <f>Lang!$A$195</f>
        <v>%</v>
      </c>
      <c r="N54" s="577" t="str">
        <f>Lang!$A$196</f>
        <v>Development</v>
      </c>
      <c r="O54" s="577" t="str">
        <f>Lang!$A$197</f>
        <v>Star rating</v>
      </c>
      <c r="P54" s="577" t="str">
        <f>Lang!$A$7</f>
        <v>Europe</v>
      </c>
      <c r="Q54" s="578" t="str">
        <f>Lang!$A$9</f>
        <v>Nafta</v>
      </c>
    </row>
    <row r="55" spans="1:17" ht="12.9" customHeight="1" x14ac:dyDescent="0.25">
      <c r="A55" s="55">
        <f>'11'!F$19</f>
        <v>0</v>
      </c>
      <c r="B55" s="56">
        <f>'11'!H$19</f>
        <v>0</v>
      </c>
      <c r="C55" s="56">
        <f>'11'!J$19</f>
        <v>0</v>
      </c>
      <c r="D55" s="56">
        <f>'11'!F$20</f>
        <v>0</v>
      </c>
      <c r="E55" s="56">
        <f>'11'!H$20</f>
        <v>0</v>
      </c>
      <c r="F55" s="56">
        <f>'11'!J$20</f>
        <v>0</v>
      </c>
      <c r="G55" s="56">
        <f>'11'!F$21</f>
        <v>0</v>
      </c>
      <c r="H55" s="56">
        <f>'11'!H$21</f>
        <v>0</v>
      </c>
      <c r="I55" s="57">
        <f>'11'!J$21</f>
        <v>0</v>
      </c>
      <c r="K55" s="5">
        <f>'12'!G$42</f>
        <v>0</v>
      </c>
      <c r="L55" s="6">
        <f>'12'!G$43</f>
        <v>0</v>
      </c>
      <c r="M55" s="28">
        <f>'12'!G$44</f>
        <v>100</v>
      </c>
      <c r="N55" s="496">
        <f>'11'!W$21</f>
        <v>0</v>
      </c>
      <c r="O55" s="528" t="str">
        <f ca="1">TRIM(OFFSET('14'!E$110,,1))</f>
        <v/>
      </c>
      <c r="P55" s="6">
        <f>'14'!$G$5</f>
        <v>4798</v>
      </c>
      <c r="Q55" s="7">
        <f>'14'!$H$5</f>
        <v>4298</v>
      </c>
    </row>
    <row r="56" spans="1:17" ht="12.9" customHeight="1" x14ac:dyDescent="0.25">
      <c r="A56" s="55">
        <f>'21'!F$19</f>
        <v>285</v>
      </c>
      <c r="B56" s="56">
        <f>'21'!H$19</f>
        <v>450</v>
      </c>
      <c r="C56" s="56">
        <f>'21'!J$19</f>
        <v>680</v>
      </c>
      <c r="D56" s="56">
        <f>'21'!F$20</f>
        <v>0</v>
      </c>
      <c r="E56" s="56">
        <f>'21'!H$20</f>
        <v>0</v>
      </c>
      <c r="F56" s="56">
        <f>'21'!J$20</f>
        <v>0</v>
      </c>
      <c r="G56" s="56">
        <f>'21'!F$21</f>
        <v>0</v>
      </c>
      <c r="H56" s="56">
        <f>'21'!H$21</f>
        <v>0</v>
      </c>
      <c r="I56" s="57">
        <f>'21'!J$21</f>
        <v>0</v>
      </c>
      <c r="K56" s="5">
        <f>'22'!G$42</f>
        <v>0</v>
      </c>
      <c r="L56" s="6">
        <f>'22'!G$43</f>
        <v>0</v>
      </c>
      <c r="M56" s="78">
        <f>'22'!G$44</f>
        <v>100</v>
      </c>
      <c r="N56" s="497">
        <f>'21'!W$21</f>
        <v>0</v>
      </c>
      <c r="O56" s="529" t="str">
        <f ca="1">TRIM(OFFSET('24'!E$110,,1))</f>
        <v/>
      </c>
      <c r="P56" s="6">
        <f>'24'!$G$5</f>
        <v>4199</v>
      </c>
      <c r="Q56" s="7">
        <f>'24'!$H$5</f>
        <v>4310</v>
      </c>
    </row>
    <row r="57" spans="1:17" ht="12.9" customHeight="1" x14ac:dyDescent="0.25">
      <c r="A57" s="55">
        <f>'31'!F$19</f>
        <v>285</v>
      </c>
      <c r="B57" s="56">
        <f>'31'!H$19</f>
        <v>450</v>
      </c>
      <c r="C57" s="56">
        <f>'31'!J$19</f>
        <v>680</v>
      </c>
      <c r="D57" s="56">
        <f>'31'!F$20</f>
        <v>0</v>
      </c>
      <c r="E57" s="56">
        <f>'31'!H$20</f>
        <v>0</v>
      </c>
      <c r="F57" s="56">
        <f>'31'!J$20</f>
        <v>0</v>
      </c>
      <c r="G57" s="56">
        <f>'31'!F$21</f>
        <v>0</v>
      </c>
      <c r="H57" s="56">
        <f>'31'!H$21</f>
        <v>0</v>
      </c>
      <c r="I57" s="57">
        <f>'31'!J$21</f>
        <v>0</v>
      </c>
      <c r="K57" s="5">
        <f>'32'!G$42</f>
        <v>0</v>
      </c>
      <c r="L57" s="6">
        <f>'32'!G$43</f>
        <v>0</v>
      </c>
      <c r="M57" s="78">
        <f>'32'!G$44</f>
        <v>100</v>
      </c>
      <c r="N57" s="497">
        <f>'31'!W$21</f>
        <v>0</v>
      </c>
      <c r="O57" s="529" t="str">
        <f ca="1">TRIM(OFFSET('34'!E$110,,1))</f>
        <v/>
      </c>
      <c r="P57" s="6">
        <f>'34'!$G$5</f>
        <v>4237</v>
      </c>
      <c r="Q57" s="7">
        <f>'34'!$H$5</f>
        <v>4352</v>
      </c>
    </row>
    <row r="58" spans="1:17" ht="12.9" customHeight="1" x14ac:dyDescent="0.25">
      <c r="A58" s="55">
        <f>'41'!F$19</f>
        <v>300</v>
      </c>
      <c r="B58" s="56">
        <f>'41'!H$19</f>
        <v>450</v>
      </c>
      <c r="C58" s="56">
        <f>'41'!J$19</f>
        <v>690</v>
      </c>
      <c r="D58" s="56">
        <f>'41'!F$20</f>
        <v>290</v>
      </c>
      <c r="E58" s="56">
        <f>'41'!H$20</f>
        <v>440</v>
      </c>
      <c r="F58" s="56">
        <f>'41'!J$20</f>
        <v>680</v>
      </c>
      <c r="G58" s="56">
        <f>'41'!F$21</f>
        <v>0</v>
      </c>
      <c r="H58" s="56">
        <f>'41'!H$21</f>
        <v>0</v>
      </c>
      <c r="I58" s="57">
        <f>'41'!J$21</f>
        <v>0</v>
      </c>
      <c r="K58" s="5">
        <f>'42'!G$42</f>
        <v>5</v>
      </c>
      <c r="L58" s="6">
        <f>'42'!G$43</f>
        <v>4999</v>
      </c>
      <c r="M58" s="78">
        <f>'42'!G$44</f>
        <v>9.9999999999994316E-2</v>
      </c>
      <c r="N58" s="497">
        <f>'41'!W$21</f>
        <v>15</v>
      </c>
      <c r="O58" s="529" t="str">
        <f ca="1">TRIM(OFFSET('44'!E$110,,1))</f>
        <v>*</v>
      </c>
      <c r="P58" s="6">
        <f>'44'!$G$5</f>
        <v>4274</v>
      </c>
      <c r="Q58" s="7">
        <f>'44'!$H$5</f>
        <v>4391</v>
      </c>
    </row>
    <row r="59" spans="1:17" ht="12.9" customHeight="1" x14ac:dyDescent="0.25">
      <c r="A59" s="55">
        <f>'51'!F$19</f>
        <v>325</v>
      </c>
      <c r="B59" s="56">
        <f>'51'!H$19</f>
        <v>490</v>
      </c>
      <c r="C59" s="56">
        <f>'51'!J$19</f>
        <v>700</v>
      </c>
      <c r="D59" s="56">
        <f>'51'!F$20</f>
        <v>335</v>
      </c>
      <c r="E59" s="56">
        <f>'51'!H$20</f>
        <v>490</v>
      </c>
      <c r="F59" s="56">
        <f>'51'!J$20</f>
        <v>725</v>
      </c>
      <c r="G59" s="56">
        <f>'51'!F$21</f>
        <v>375</v>
      </c>
      <c r="H59" s="56">
        <f>'51'!H$21</f>
        <v>590</v>
      </c>
      <c r="I59" s="57">
        <f>'51'!J$21</f>
        <v>850</v>
      </c>
      <c r="K59" s="5">
        <f>'52'!G$42</f>
        <v>5</v>
      </c>
      <c r="L59" s="6">
        <f>'52'!G$43</f>
        <v>6897</v>
      </c>
      <c r="M59" s="78">
        <f>'52'!G$44</f>
        <v>9.9999999999994316E-2</v>
      </c>
      <c r="N59" s="497">
        <f>'51'!W$21</f>
        <v>15</v>
      </c>
      <c r="O59" s="529" t="str">
        <f ca="1">TRIM(OFFSET('54'!E$110,,1))</f>
        <v>**</v>
      </c>
      <c r="P59" s="6">
        <f>'54'!$G$5</f>
        <v>4155</v>
      </c>
      <c r="Q59" s="7">
        <f>'54'!$H$5</f>
        <v>4285</v>
      </c>
    </row>
    <row r="60" spans="1:17" ht="12.9" customHeight="1" x14ac:dyDescent="0.25">
      <c r="A60" s="55">
        <f>'61'!F$19</f>
        <v>328</v>
      </c>
      <c r="B60" s="56">
        <f>'61'!H$19</f>
        <v>490</v>
      </c>
      <c r="C60" s="56">
        <f>'61'!J$19</f>
        <v>700</v>
      </c>
      <c r="D60" s="56">
        <f>'61'!F$20</f>
        <v>340</v>
      </c>
      <c r="E60" s="56">
        <f>'61'!H$20</f>
        <v>490</v>
      </c>
      <c r="F60" s="56">
        <f>'61'!J$20</f>
        <v>730</v>
      </c>
      <c r="G60" s="56">
        <f>'61'!F$21</f>
        <v>380</v>
      </c>
      <c r="H60" s="56">
        <f>'61'!H$21</f>
        <v>590</v>
      </c>
      <c r="I60" s="57">
        <f>'61'!J$21</f>
        <v>850</v>
      </c>
      <c r="J60" s="23"/>
      <c r="K60" s="5">
        <f>'62'!G$42</f>
        <v>5</v>
      </c>
      <c r="L60" s="6">
        <f>'62'!G$43</f>
        <v>11617</v>
      </c>
      <c r="M60" s="78">
        <f>'62'!G$44</f>
        <v>0.20000000000000284</v>
      </c>
      <c r="N60" s="497">
        <f>'61'!W$21</f>
        <v>17</v>
      </c>
      <c r="O60" s="529" t="str">
        <f ca="1">TRIM(OFFSET('64'!E$110,,'61'!O$5))</f>
        <v>***</v>
      </c>
      <c r="P60" s="6">
        <f>'64'!$G$5</f>
        <v>4798</v>
      </c>
      <c r="Q60" s="7">
        <f>'64'!$H$5</f>
        <v>4298</v>
      </c>
    </row>
    <row r="61" spans="1:17" ht="12.9" customHeight="1" x14ac:dyDescent="0.25">
      <c r="A61" s="55">
        <f>'71'!F$19</f>
        <v>320</v>
      </c>
      <c r="B61" s="56">
        <f>'71'!H$19</f>
        <v>500</v>
      </c>
      <c r="C61" s="56">
        <f>'71'!J$19</f>
        <v>705</v>
      </c>
      <c r="D61" s="56">
        <f>'71'!F$20</f>
        <v>345</v>
      </c>
      <c r="E61" s="56">
        <f>'71'!H$20</f>
        <v>500</v>
      </c>
      <c r="F61" s="56">
        <f>'71'!J$20</f>
        <v>735</v>
      </c>
      <c r="G61" s="56">
        <f>'71'!F$21</f>
        <v>380</v>
      </c>
      <c r="H61" s="56">
        <f>'71'!H$21</f>
        <v>600</v>
      </c>
      <c r="I61" s="57">
        <f>'71'!J$21</f>
        <v>855</v>
      </c>
      <c r="J61" s="23"/>
      <c r="K61" s="5">
        <f>'72'!G$42</f>
        <v>6</v>
      </c>
      <c r="L61" s="6">
        <f>'72'!G$43</f>
        <v>18283</v>
      </c>
      <c r="M61" s="78">
        <f>'72'!G$44</f>
        <v>0.29999999999999716</v>
      </c>
      <c r="N61" s="497">
        <f>'71'!W$21</f>
        <v>15</v>
      </c>
      <c r="O61" s="529" t="str">
        <f ca="1">TRIM(OFFSET('74'!E$110,,'71'!O$5))</f>
        <v>***</v>
      </c>
      <c r="P61" s="6">
        <f>'74'!$G$5</f>
        <v>4199</v>
      </c>
      <c r="Q61" s="7">
        <f>'74'!$H$5</f>
        <v>4310</v>
      </c>
    </row>
    <row r="62" spans="1:17" ht="12.9" customHeight="1" x14ac:dyDescent="0.25">
      <c r="A62" s="55">
        <f>'81'!F$19</f>
        <v>343</v>
      </c>
      <c r="B62" s="56">
        <f>'81'!H$19</f>
        <v>492</v>
      </c>
      <c r="C62" s="56">
        <f>'81'!J$19</f>
        <v>712</v>
      </c>
      <c r="D62" s="56">
        <f>'81'!F$20</f>
        <v>330</v>
      </c>
      <c r="E62" s="56">
        <f>'81'!H$20</f>
        <v>490</v>
      </c>
      <c r="F62" s="56">
        <f>'81'!J$20</f>
        <v>720</v>
      </c>
      <c r="G62" s="56">
        <f>'81'!F$21</f>
        <v>365</v>
      </c>
      <c r="H62" s="56">
        <f>'81'!H$21</f>
        <v>580</v>
      </c>
      <c r="I62" s="57">
        <f>'81'!J$21</f>
        <v>855</v>
      </c>
      <c r="J62" s="23"/>
      <c r="K62" s="5">
        <f>'82'!G$42</f>
        <v>9</v>
      </c>
      <c r="L62" s="6">
        <f>'82'!G$43</f>
        <v>24110</v>
      </c>
      <c r="M62" s="78">
        <f>'82'!G$44</f>
        <v>9.9999999999994316E-2</v>
      </c>
      <c r="N62" s="497">
        <f>'81'!W$21</f>
        <v>18</v>
      </c>
      <c r="O62" s="529" t="str">
        <f ca="1">TRIM(OFFSET('84'!E$110,,'81'!O$5))</f>
        <v>***</v>
      </c>
      <c r="P62" s="6">
        <f>'84'!$G$5</f>
        <v>4237</v>
      </c>
      <c r="Q62" s="7">
        <f>'84'!$H$5</f>
        <v>4352</v>
      </c>
    </row>
    <row r="63" spans="1:17" ht="12.9" customHeight="1" x14ac:dyDescent="0.25">
      <c r="A63" s="55">
        <f>'91'!F$19</f>
        <v>0</v>
      </c>
      <c r="B63" s="56">
        <f>'91'!H$19</f>
        <v>0</v>
      </c>
      <c r="C63" s="56">
        <f>'91'!J$19</f>
        <v>0</v>
      </c>
      <c r="D63" s="56">
        <f>'91'!F$20</f>
        <v>0</v>
      </c>
      <c r="E63" s="56">
        <f>'91'!H$20</f>
        <v>0</v>
      </c>
      <c r="F63" s="56">
        <f>'91'!J$20</f>
        <v>0</v>
      </c>
      <c r="G63" s="56">
        <f>'91'!F$21</f>
        <v>0</v>
      </c>
      <c r="H63" s="56">
        <f>'91'!H$21</f>
        <v>0</v>
      </c>
      <c r="I63" s="57">
        <f>'91'!J$21</f>
        <v>0</v>
      </c>
      <c r="J63" s="23"/>
      <c r="K63" s="5">
        <f>'92'!G$42</f>
        <v>0</v>
      </c>
      <c r="L63" s="6">
        <f>'92'!G$43</f>
        <v>0</v>
      </c>
      <c r="M63" s="78">
        <f>'92'!G$44</f>
        <v>100</v>
      </c>
      <c r="N63" s="497">
        <f>'91'!W$21</f>
        <v>0</v>
      </c>
      <c r="O63" s="529" t="str">
        <f ca="1">TRIM(OFFSET('94'!E$110,,'91'!O$5))</f>
        <v/>
      </c>
      <c r="P63" s="6">
        <f>'94'!$G$5</f>
        <v>0</v>
      </c>
      <c r="Q63" s="7">
        <f>'94'!$H$5</f>
        <v>0</v>
      </c>
    </row>
    <row r="64" spans="1:17" ht="12.9" customHeight="1" thickBot="1" x14ac:dyDescent="0.3">
      <c r="A64" s="58">
        <f>'101'!F$19</f>
        <v>0</v>
      </c>
      <c r="B64" s="59">
        <f>'101'!H$19</f>
        <v>0</v>
      </c>
      <c r="C64" s="59">
        <f>'101'!J$19</f>
        <v>0</v>
      </c>
      <c r="D64" s="59">
        <f>'101'!F$20</f>
        <v>0</v>
      </c>
      <c r="E64" s="59">
        <f>'101'!H$20</f>
        <v>0</v>
      </c>
      <c r="F64" s="59">
        <f>'101'!J$20</f>
        <v>0</v>
      </c>
      <c r="G64" s="59">
        <f>'101'!F$21</f>
        <v>0</v>
      </c>
      <c r="H64" s="59">
        <f>'101'!H$21</f>
        <v>0</v>
      </c>
      <c r="I64" s="60">
        <f>'101'!J$21</f>
        <v>0</v>
      </c>
      <c r="K64" s="9">
        <f>'102'!G$42</f>
        <v>0</v>
      </c>
      <c r="L64" s="10">
        <f>'102'!G$43</f>
        <v>0</v>
      </c>
      <c r="M64" s="79">
        <f>'102'!G$44</f>
        <v>100</v>
      </c>
      <c r="N64" s="498">
        <f>'101'!W$21</f>
        <v>0</v>
      </c>
      <c r="O64" s="530" t="str">
        <f ca="1">TRIM(OFFSET('104'!E$110,,'101'!O$5))</f>
        <v/>
      </c>
      <c r="P64" s="10">
        <f>'104'!$G$5</f>
        <v>0</v>
      </c>
      <c r="Q64" s="11">
        <f>'104'!$H$5</f>
        <v>0</v>
      </c>
    </row>
    <row r="65" spans="1:15" ht="12.9" customHeight="1" thickBot="1" x14ac:dyDescent="0.3"/>
    <row r="66" spans="1:15" ht="12.9" customHeight="1" x14ac:dyDescent="0.25">
      <c r="A66" s="1100" t="str">
        <f>Lang!$A$84</f>
        <v>Market shares</v>
      </c>
      <c r="B66" s="1101"/>
      <c r="C66" s="1101"/>
      <c r="D66" s="1101"/>
      <c r="E66" s="1101"/>
      <c r="F66" s="1101"/>
      <c r="G66" s="1101"/>
      <c r="H66" s="1101"/>
      <c r="I66" s="1102"/>
      <c r="K66" s="1100" t="str">
        <f>Lang!$A$198</f>
        <v>Finance</v>
      </c>
      <c r="L66" s="1101"/>
      <c r="M66" s="1101"/>
      <c r="N66" s="1101"/>
      <c r="O66" s="1102"/>
    </row>
    <row r="67" spans="1:15" ht="12.9" customHeight="1" x14ac:dyDescent="0.25">
      <c r="A67" s="1168" t="str">
        <f>Lang!$A$7</f>
        <v>Europe</v>
      </c>
      <c r="B67" s="1166"/>
      <c r="C67" s="1166"/>
      <c r="D67" s="1166" t="str">
        <f>Lang!$A$9</f>
        <v>Nafta</v>
      </c>
      <c r="E67" s="1166"/>
      <c r="F67" s="1166"/>
      <c r="G67" s="1166" t="str">
        <f>Lang!$A$11</f>
        <v>Internet</v>
      </c>
      <c r="H67" s="1166"/>
      <c r="I67" s="1167"/>
      <c r="K67" s="573" t="str">
        <f>Lang!$A$158</f>
        <v>Bank overdraft</v>
      </c>
      <c r="L67" s="772" t="str">
        <f>Lang!$A$142</f>
        <v>Credit</v>
      </c>
      <c r="M67" s="772" t="str">
        <f>Lang!$A$159</f>
        <v>Long term loans</v>
      </c>
      <c r="N67" s="772" t="str">
        <f>Lang!$A$81</f>
        <v>Issue/repurchase shares</v>
      </c>
      <c r="O67" s="773" t="str">
        <f>Lang!$A$160</f>
        <v>Share capital</v>
      </c>
    </row>
    <row r="68" spans="1:15" ht="12.9" customHeight="1" x14ac:dyDescent="0.25">
      <c r="A68" s="55"/>
      <c r="B68" s="56"/>
      <c r="C68" s="56"/>
      <c r="D68" s="56"/>
      <c r="E68" s="56"/>
      <c r="F68" s="56"/>
      <c r="G68" s="56"/>
      <c r="H68" s="56"/>
      <c r="I68" s="57"/>
      <c r="K68" s="5"/>
      <c r="L68" s="6"/>
      <c r="M68" s="6"/>
      <c r="N68" s="6">
        <f>'11'!P$29</f>
        <v>0</v>
      </c>
      <c r="O68" s="777">
        <f>'13'!R$33</f>
        <v>4000000</v>
      </c>
    </row>
    <row r="69" spans="1:15" ht="12.9" customHeight="1" x14ac:dyDescent="0.25">
      <c r="A69" s="55"/>
      <c r="B69" s="56"/>
      <c r="C69" s="56"/>
      <c r="D69" s="56"/>
      <c r="E69" s="56"/>
      <c r="F69" s="56"/>
      <c r="G69" s="56"/>
      <c r="H69" s="56"/>
      <c r="I69" s="57"/>
      <c r="K69" s="5">
        <f>IF('23'!R$26-'13'!X$34&gt;0,'13'!X$34,'23'!R$26)/1000</f>
        <v>92.602999999999994</v>
      </c>
      <c r="L69" s="6">
        <f>IF('23'!R$26-'13'!X$34&gt;0,'23'!R$26-'13'!X$34,0)/1000</f>
        <v>0</v>
      </c>
      <c r="M69" s="53">
        <f>'23'!R$28/1000</f>
        <v>0</v>
      </c>
      <c r="N69" s="6">
        <f>'21'!P$29</f>
        <v>0</v>
      </c>
      <c r="O69" s="777">
        <f>'23'!R$33</f>
        <v>4000000</v>
      </c>
    </row>
    <row r="70" spans="1:15" ht="12.9" customHeight="1" x14ac:dyDescent="0.25">
      <c r="A70" s="55"/>
      <c r="B70" s="56"/>
      <c r="C70" s="56"/>
      <c r="D70" s="56"/>
      <c r="E70" s="56"/>
      <c r="F70" s="56"/>
      <c r="G70" s="56"/>
      <c r="H70" s="56"/>
      <c r="I70" s="57"/>
      <c r="K70" s="5">
        <f>IF('33'!R$26-'23'!X$34&gt;0,'23'!X$34,'33'!R$26)/1000</f>
        <v>0</v>
      </c>
      <c r="L70" s="6">
        <f>IF('33'!R$26-'23'!X$34&gt;0,'33'!R$26-'23'!X$34,0)/1000</f>
        <v>0</v>
      </c>
      <c r="M70" s="53">
        <f>'33'!R$28/1000</f>
        <v>0</v>
      </c>
      <c r="N70" s="6">
        <f>'31'!P$29</f>
        <v>0</v>
      </c>
      <c r="O70" s="777">
        <f>'33'!R$33</f>
        <v>4000000</v>
      </c>
    </row>
    <row r="71" spans="1:15" ht="12.9" customHeight="1" x14ac:dyDescent="0.25">
      <c r="A71" s="55"/>
      <c r="B71" s="56"/>
      <c r="C71" s="56"/>
      <c r="D71" s="56"/>
      <c r="E71" s="56"/>
      <c r="F71" s="56"/>
      <c r="G71" s="56"/>
      <c r="H71" s="56"/>
      <c r="I71" s="57"/>
      <c r="K71" s="5">
        <f>IF('43'!R$26-'33'!X$34&gt;0,'33'!X$34,'43'!R$26)/1000</f>
        <v>0</v>
      </c>
      <c r="L71" s="6">
        <f>IF('43'!R$26-'33'!X$34&gt;0,'43'!R$26-'33'!X$34,0)/1000</f>
        <v>0</v>
      </c>
      <c r="M71" s="53">
        <f>'43'!R$28/1000</f>
        <v>0</v>
      </c>
      <c r="N71" s="6">
        <f>'41'!P$29</f>
        <v>0</v>
      </c>
      <c r="O71" s="777">
        <f>'43'!R$33</f>
        <v>4000000</v>
      </c>
    </row>
    <row r="72" spans="1:15" ht="12.9" customHeight="1" x14ac:dyDescent="0.25">
      <c r="A72" s="55"/>
      <c r="B72" s="56"/>
      <c r="C72" s="56"/>
      <c r="D72" s="56"/>
      <c r="E72" s="56"/>
      <c r="F72" s="56"/>
      <c r="G72" s="56"/>
      <c r="H72" s="56"/>
      <c r="I72" s="57"/>
      <c r="K72" s="5">
        <f>IF('53'!R$26-'43'!X$34&gt;0,'43'!X$34,'53'!R$26)/1000</f>
        <v>0</v>
      </c>
      <c r="L72" s="6">
        <f>IF('53'!R$26-'43'!X$34&gt;0,'53'!R$26-'43'!X$34,0)/1000</f>
        <v>0</v>
      </c>
      <c r="M72" s="53">
        <f>'53'!R$28/1000</f>
        <v>0</v>
      </c>
      <c r="N72" s="6">
        <f>'51'!P$29</f>
        <v>0</v>
      </c>
      <c r="O72" s="777">
        <f>'53'!R$33</f>
        <v>4000000</v>
      </c>
    </row>
    <row r="73" spans="1:15" ht="12.9" customHeight="1" x14ac:dyDescent="0.25">
      <c r="A73" s="55">
        <f>Finance!AE26</f>
        <v>31.1</v>
      </c>
      <c r="B73" s="56">
        <f>Finance!AE29</f>
        <v>39.1</v>
      </c>
      <c r="C73" s="56">
        <f>Finance!AE32</f>
        <v>51.900000000000006</v>
      </c>
      <c r="D73" s="56">
        <f>Finance!AE27</f>
        <v>8.5</v>
      </c>
      <c r="E73" s="56">
        <f>Finance!AE30</f>
        <v>14.5</v>
      </c>
      <c r="F73" s="56">
        <f>Finance!AE33</f>
        <v>20.7</v>
      </c>
      <c r="G73" s="56">
        <f>Finance!AE28</f>
        <v>23.5</v>
      </c>
      <c r="H73" s="56">
        <f>Finance!AE31</f>
        <v>28.4</v>
      </c>
      <c r="I73" s="57">
        <f>Finance!AE34</f>
        <v>43.599999999999994</v>
      </c>
      <c r="K73" s="5">
        <f>IF('63'!R$26-'53'!X$34&gt;0,'53'!X$34,'63'!R$26)/1000</f>
        <v>0</v>
      </c>
      <c r="L73" s="6">
        <f>IF('63'!R$26-'53'!X$34&gt;0,'63'!R$26-'53'!X$34,0)/1000</f>
        <v>0</v>
      </c>
      <c r="M73" s="53">
        <f>'63'!R$28/1000</f>
        <v>0</v>
      </c>
      <c r="N73" s="6">
        <f>'61'!P$29</f>
        <v>0</v>
      </c>
      <c r="O73" s="777">
        <f>'63'!R$33</f>
        <v>4000000</v>
      </c>
    </row>
    <row r="74" spans="1:15" ht="12.9" customHeight="1" x14ac:dyDescent="0.25">
      <c r="A74" s="55">
        <f>Finance!AE51</f>
        <v>33.6</v>
      </c>
      <c r="B74" s="56">
        <f>Finance!AE54</f>
        <v>38.800000000000004</v>
      </c>
      <c r="C74" s="56">
        <f>Finance!AE57</f>
        <v>52.2</v>
      </c>
      <c r="D74" s="56">
        <f>Finance!AE52</f>
        <v>9.6999999999999993</v>
      </c>
      <c r="E74" s="56">
        <f>Finance!AE55</f>
        <v>16.399999999999999</v>
      </c>
      <c r="F74" s="56">
        <f>Finance!AE58</f>
        <v>22.5</v>
      </c>
      <c r="G74" s="56">
        <f>Finance!AE53</f>
        <v>35</v>
      </c>
      <c r="H74" s="56">
        <f>Finance!AE56</f>
        <v>37.1</v>
      </c>
      <c r="I74" s="57">
        <f>Finance!AE59</f>
        <v>51.5</v>
      </c>
      <c r="K74" s="5">
        <f>IF('73'!R$26-'63'!X$34&gt;0,'63'!X$34,'73'!R$26)/1000</f>
        <v>0</v>
      </c>
      <c r="L74" s="6">
        <f>IF('73'!R$26-'63'!X$34&gt;0,'73'!R$26-'63'!X$34,0)/1000</f>
        <v>0</v>
      </c>
      <c r="M74" s="53">
        <f>'73'!R$28/1000</f>
        <v>0</v>
      </c>
      <c r="N74" s="6">
        <f>'71'!P$29</f>
        <v>0</v>
      </c>
      <c r="O74" s="777">
        <f>'73'!R$33</f>
        <v>4000000</v>
      </c>
    </row>
    <row r="75" spans="1:15" ht="12.9" customHeight="1" x14ac:dyDescent="0.25">
      <c r="A75" s="55">
        <f>Finance!AE76</f>
        <v>38.1</v>
      </c>
      <c r="B75" s="56">
        <f>Finance!AE79</f>
        <v>44.900000000000006</v>
      </c>
      <c r="C75" s="56">
        <f>Finance!AE82</f>
        <v>59.100000000000009</v>
      </c>
      <c r="D75" s="56">
        <f>Finance!AE77</f>
        <v>18.8</v>
      </c>
      <c r="E75" s="56">
        <f>Finance!AE80</f>
        <v>32.9</v>
      </c>
      <c r="F75" s="56">
        <f>Finance!AE83</f>
        <v>42.499999999999993</v>
      </c>
      <c r="G75" s="56">
        <f>Finance!AE78</f>
        <v>45.199999999999996</v>
      </c>
      <c r="H75" s="56">
        <f>Finance!AE81</f>
        <v>49.900000000000006</v>
      </c>
      <c r="I75" s="57">
        <f>Finance!AE84</f>
        <v>60.899999999999991</v>
      </c>
      <c r="K75" s="5">
        <f>IF('83'!R$26-'73'!X$34&gt;0,'73'!X$34,'83'!R$26)/1000</f>
        <v>34.563000000000002</v>
      </c>
      <c r="L75" s="6">
        <f>IF('83'!R$26-'73'!X$34&gt;0,'83'!R$26-'73'!X$34,0)/1000</f>
        <v>0</v>
      </c>
      <c r="M75" s="53">
        <f>'83'!R$28/1000</f>
        <v>0</v>
      </c>
      <c r="N75" s="6">
        <f>'81'!P$29</f>
        <v>0</v>
      </c>
      <c r="O75" s="777">
        <f>'83'!R$33</f>
        <v>4000000</v>
      </c>
    </row>
    <row r="76" spans="1:15" ht="12.9" customHeight="1" x14ac:dyDescent="0.25">
      <c r="A76" s="55">
        <f>Finance!AE101</f>
        <v>0</v>
      </c>
      <c r="B76" s="56">
        <f>Finance!AE104</f>
        <v>0</v>
      </c>
      <c r="C76" s="56">
        <f>Finance!AE107</f>
        <v>0</v>
      </c>
      <c r="D76" s="56">
        <f>Finance!AE102</f>
        <v>0</v>
      </c>
      <c r="E76" s="56">
        <f>Finance!AE105</f>
        <v>0</v>
      </c>
      <c r="F76" s="56">
        <f>Finance!AE108</f>
        <v>0</v>
      </c>
      <c r="G76" s="56">
        <f>Finance!AE103</f>
        <v>0</v>
      </c>
      <c r="H76" s="56">
        <f>Finance!AE106</f>
        <v>0</v>
      </c>
      <c r="I76" s="57">
        <f>Finance!AE109</f>
        <v>0</v>
      </c>
      <c r="K76" s="5">
        <f>IF('93'!R$26-'83'!X$34&gt;0,'83'!X$34,'93'!R$26)/1000</f>
        <v>0</v>
      </c>
      <c r="L76" s="6">
        <f>IF('93'!R$26-'83'!X$34&gt;0,'93'!R$26-'83'!X$34,0)/1000</f>
        <v>0</v>
      </c>
      <c r="M76" s="53">
        <f>'93'!R$28/1000</f>
        <v>0</v>
      </c>
      <c r="N76" s="6">
        <f>'91'!P$29</f>
        <v>0</v>
      </c>
      <c r="O76" s="777">
        <f>'93'!R$33</f>
        <v>0</v>
      </c>
    </row>
    <row r="77" spans="1:15" ht="12.9" customHeight="1" thickBot="1" x14ac:dyDescent="0.3">
      <c r="A77" s="58">
        <f>Finance!AE126</f>
        <v>0</v>
      </c>
      <c r="B77" s="59">
        <f>Finance!AE129</f>
        <v>0</v>
      </c>
      <c r="C77" s="59">
        <f>Finance!AE132</f>
        <v>0</v>
      </c>
      <c r="D77" s="59">
        <f>Finance!AE127</f>
        <v>0</v>
      </c>
      <c r="E77" s="59">
        <f>Finance!AE130</f>
        <v>0</v>
      </c>
      <c r="F77" s="59">
        <f>Finance!AE133</f>
        <v>0</v>
      </c>
      <c r="G77" s="59">
        <f>Finance!AE128</f>
        <v>0</v>
      </c>
      <c r="H77" s="59">
        <f>Finance!AE131</f>
        <v>0</v>
      </c>
      <c r="I77" s="60">
        <f>Finance!AE134</f>
        <v>0</v>
      </c>
      <c r="K77" s="9">
        <f>IF('103'!R$26-'93'!X$34&gt;0,'93'!X$34,'103'!R$26)/1000</f>
        <v>0</v>
      </c>
      <c r="L77" s="10">
        <f>IF('103'!R$26-'93'!X$34&gt;0,'103'!R$26-'93'!X$34,0)/1000</f>
        <v>0</v>
      </c>
      <c r="M77" s="54">
        <f>'103'!R$28/1000</f>
        <v>0</v>
      </c>
      <c r="N77" s="10">
        <f>'101'!P$29</f>
        <v>0</v>
      </c>
      <c r="O77" s="778">
        <f>'103'!R$33</f>
        <v>0</v>
      </c>
    </row>
    <row r="78" spans="1:15" ht="12.9" customHeight="1" thickBot="1" x14ac:dyDescent="0.3"/>
    <row r="79" spans="1:15" ht="12.9" customHeight="1" x14ac:dyDescent="0.25">
      <c r="A79" s="1080" t="str">
        <f>Lang!$A$199</f>
        <v>Component cost</v>
      </c>
      <c r="B79" s="1081"/>
      <c r="C79" s="1081"/>
      <c r="D79" s="1081"/>
      <c r="E79" s="1081"/>
      <c r="F79" s="1081"/>
      <c r="G79" s="1081"/>
      <c r="H79" s="1081"/>
      <c r="I79" s="1081"/>
      <c r="J79" s="1081"/>
      <c r="K79" s="1081"/>
      <c r="L79" s="1081"/>
      <c r="M79" s="1103"/>
    </row>
    <row r="80" spans="1:15" ht="12.9" customHeight="1" x14ac:dyDescent="0.25">
      <c r="A80" s="1141" t="str">
        <f>Lang!$A$200</f>
        <v>Stocks</v>
      </c>
      <c r="B80" s="1142"/>
      <c r="C80" s="1142"/>
      <c r="D80" s="1142" t="str">
        <f>Lang!$A$201</f>
        <v>Order</v>
      </c>
      <c r="E80" s="1142"/>
      <c r="F80" s="1142"/>
      <c r="G80" s="1142" t="str">
        <f>Lang!$A$74</f>
        <v>Prices</v>
      </c>
      <c r="H80" s="1142"/>
      <c r="I80" s="1169"/>
      <c r="J80" s="1142" t="str">
        <f>Lang!$A$140</f>
        <v>Balance</v>
      </c>
      <c r="K80" s="1142"/>
      <c r="L80" s="1169"/>
      <c r="M80" s="666" t="str">
        <f>Lang!$A$202</f>
        <v>Warehouse</v>
      </c>
    </row>
    <row r="81" spans="1:13" ht="12.9" customHeight="1" x14ac:dyDescent="0.25">
      <c r="A81" s="55">
        <f>'12'!U$45</f>
        <v>0</v>
      </c>
      <c r="B81" s="56">
        <f>'12'!W$45</f>
        <v>0</v>
      </c>
      <c r="C81" s="56">
        <f>'12'!Y$45</f>
        <v>0</v>
      </c>
      <c r="D81" s="56">
        <f>'12'!U$43</f>
        <v>0</v>
      </c>
      <c r="E81" s="56">
        <f>'12'!W$43</f>
        <v>0</v>
      </c>
      <c r="F81" s="56">
        <f>'12'!Y$43</f>
        <v>0</v>
      </c>
      <c r="G81" s="56">
        <f>'14'!G$16+('14'!G$17-'14'!G$16)*'11'!F$32/100</f>
        <v>126</v>
      </c>
      <c r="H81" s="56">
        <f>'14'!H$16+('14'!H$17-'14'!H$16)*'11'!H$32/100</f>
        <v>207</v>
      </c>
      <c r="I81" s="116">
        <f>'14'!I$16+('14'!I$17-'14'!I$16)*'11'!J$32/100</f>
        <v>318</v>
      </c>
      <c r="J81" s="56">
        <f>IF(A81&gt;D81,A81-D81,0)</f>
        <v>0</v>
      </c>
      <c r="K81" s="56">
        <f>IF(B81&gt;E81,B81-E81,0)</f>
        <v>0</v>
      </c>
      <c r="L81" s="116">
        <f>IF(C81&gt;F81,C81-F81,0)</f>
        <v>0</v>
      </c>
      <c r="M81" s="57"/>
    </row>
    <row r="82" spans="1:13" ht="12.9" customHeight="1" x14ac:dyDescent="0.25">
      <c r="A82" s="55">
        <f>'22'!U$45</f>
        <v>0</v>
      </c>
      <c r="B82" s="56">
        <f>'22'!W$45</f>
        <v>0</v>
      </c>
      <c r="C82" s="56">
        <f>'22'!Y$45</f>
        <v>0</v>
      </c>
      <c r="D82" s="56">
        <f>'22'!U$43</f>
        <v>0</v>
      </c>
      <c r="E82" s="56">
        <f>'22'!W$43</f>
        <v>0</v>
      </c>
      <c r="F82" s="56">
        <f>'22'!Y$43</f>
        <v>0</v>
      </c>
      <c r="G82" s="56">
        <f>'24'!G$16+('24'!G$17-'24'!G$16)*'21'!F$32/100</f>
        <v>125</v>
      </c>
      <c r="H82" s="56">
        <f>'24'!H$16+('24'!H$17-'24'!H$16)*'21'!H$32/100</f>
        <v>205</v>
      </c>
      <c r="I82" s="116">
        <f>'24'!I$16+('24'!I$17-'24'!I$16)*'21'!J$32/100</f>
        <v>315</v>
      </c>
      <c r="J82" s="56">
        <f t="shared" ref="J82:J90" si="6">IF(A82&gt;D82,A82-D82,0)</f>
        <v>0</v>
      </c>
      <c r="K82" s="56">
        <f t="shared" ref="K82:K90" si="7">IF(B82&gt;E82,B82-E82,0)</f>
        <v>0</v>
      </c>
      <c r="L82" s="116">
        <f t="shared" ref="L82:L90" si="8">IF(C82&gt;F82,C82-F82,0)</f>
        <v>0</v>
      </c>
      <c r="M82" s="57"/>
    </row>
    <row r="83" spans="1:13" ht="12.9" customHeight="1" x14ac:dyDescent="0.25">
      <c r="A83" s="55">
        <f>'32'!U$45</f>
        <v>0</v>
      </c>
      <c r="B83" s="56">
        <f>'32'!W$45</f>
        <v>0</v>
      </c>
      <c r="C83" s="56">
        <f>'32'!Y$45</f>
        <v>0</v>
      </c>
      <c r="D83" s="56">
        <f>'32'!U$43</f>
        <v>0</v>
      </c>
      <c r="E83" s="56">
        <f>'32'!W$43</f>
        <v>0</v>
      </c>
      <c r="F83" s="56">
        <f>'32'!Y$43</f>
        <v>0</v>
      </c>
      <c r="G83" s="56">
        <f>'34'!G$16+('34'!G$17-'34'!G$16)*'31'!F$32/100</f>
        <v>125</v>
      </c>
      <c r="H83" s="56">
        <f>'34'!H$16+('34'!H$17-'34'!H$16)*'31'!H$32/100</f>
        <v>206</v>
      </c>
      <c r="I83" s="116">
        <f>'34'!I$16+('34'!I$17-'34'!I$16)*'31'!J$32/100</f>
        <v>317</v>
      </c>
      <c r="J83" s="56">
        <f t="shared" si="6"/>
        <v>0</v>
      </c>
      <c r="K83" s="56">
        <f t="shared" si="7"/>
        <v>0</v>
      </c>
      <c r="L83" s="116">
        <f t="shared" si="8"/>
        <v>0</v>
      </c>
      <c r="M83" s="57"/>
    </row>
    <row r="84" spans="1:13" ht="12.9" customHeight="1" x14ac:dyDescent="0.25">
      <c r="A84" s="55">
        <f>'42'!U$45</f>
        <v>0</v>
      </c>
      <c r="B84" s="56">
        <f>'42'!W$45</f>
        <v>0</v>
      </c>
      <c r="C84" s="56">
        <f>'42'!Y$45</f>
        <v>0</v>
      </c>
      <c r="D84" s="56">
        <f>'42'!U$43</f>
        <v>0</v>
      </c>
      <c r="E84" s="56">
        <f>'42'!W$43</f>
        <v>0</v>
      </c>
      <c r="F84" s="56">
        <f>'42'!Y$43</f>
        <v>0</v>
      </c>
      <c r="G84" s="56">
        <f>'44'!G$16+('44'!G$17-'44'!G$16)*'41'!F$32/100</f>
        <v>125</v>
      </c>
      <c r="H84" s="56">
        <f>'44'!H$16+('44'!H$17-'44'!H$16)*'41'!H$32/100</f>
        <v>206</v>
      </c>
      <c r="I84" s="116">
        <f>'44'!I$16+('44'!I$17-'44'!I$16)*'41'!J$32/100</f>
        <v>317</v>
      </c>
      <c r="J84" s="56">
        <f t="shared" si="6"/>
        <v>0</v>
      </c>
      <c r="K84" s="56">
        <f t="shared" si="7"/>
        <v>0</v>
      </c>
      <c r="L84" s="116">
        <f t="shared" si="8"/>
        <v>0</v>
      </c>
      <c r="M84" s="57"/>
    </row>
    <row r="85" spans="1:13" ht="12.9" customHeight="1" x14ac:dyDescent="0.25">
      <c r="A85" s="55">
        <f>'52'!U$45</f>
        <v>0</v>
      </c>
      <c r="B85" s="56">
        <f>'52'!W$45</f>
        <v>0</v>
      </c>
      <c r="C85" s="56">
        <f>'52'!Y$45</f>
        <v>0</v>
      </c>
      <c r="D85" s="56">
        <f>'52'!U$43</f>
        <v>0</v>
      </c>
      <c r="E85" s="56">
        <f>'52'!W$43</f>
        <v>0</v>
      </c>
      <c r="F85" s="56">
        <f>'52'!Y$43</f>
        <v>0</v>
      </c>
      <c r="G85" s="56">
        <f>'54'!G$16+('54'!G$17-'54'!G$16)*'51'!F$32/100</f>
        <v>125</v>
      </c>
      <c r="H85" s="56">
        <f>'54'!H$16+('54'!H$17-'54'!H$16)*'51'!H$32/100</f>
        <v>205</v>
      </c>
      <c r="I85" s="116">
        <f>'54'!I$16+('54'!I$17-'54'!I$16)*'51'!J$32/100</f>
        <v>315</v>
      </c>
      <c r="J85" s="56">
        <f t="shared" si="6"/>
        <v>0</v>
      </c>
      <c r="K85" s="56">
        <f t="shared" si="7"/>
        <v>0</v>
      </c>
      <c r="L85" s="116">
        <f t="shared" si="8"/>
        <v>0</v>
      </c>
      <c r="M85" s="57"/>
    </row>
    <row r="86" spans="1:13" ht="12.9" customHeight="1" x14ac:dyDescent="0.25">
      <c r="A86" s="56">
        <f ca="1">'1'!B$9</f>
        <v>500</v>
      </c>
      <c r="B86" s="56">
        <f ca="1">'1'!C$9</f>
        <v>500</v>
      </c>
      <c r="C86" s="56">
        <f ca="1">'1'!D$9</f>
        <v>0</v>
      </c>
      <c r="D86" s="56">
        <f>'1'!B$8</f>
        <v>500</v>
      </c>
      <c r="E86" s="56">
        <f>'1'!C$8</f>
        <v>500</v>
      </c>
      <c r="F86" s="56">
        <f>'1'!D$8</f>
        <v>0</v>
      </c>
      <c r="G86" s="56">
        <f ca="1">'1'!B$10</f>
        <v>125</v>
      </c>
      <c r="H86" s="56">
        <f ca="1">'1'!C$10</f>
        <v>205</v>
      </c>
      <c r="I86" s="56">
        <f ca="1">'1'!D$10</f>
        <v>324.8</v>
      </c>
      <c r="J86" s="56">
        <f t="shared" ca="1" si="6"/>
        <v>0</v>
      </c>
      <c r="K86" s="56">
        <f t="shared" ca="1" si="7"/>
        <v>0</v>
      </c>
      <c r="L86" s="116">
        <f t="shared" ca="1" si="8"/>
        <v>0</v>
      </c>
      <c r="M86" s="57">
        <f ca="1">J86*G85+K86*H85+L86*I85</f>
        <v>0</v>
      </c>
    </row>
    <row r="87" spans="1:13" ht="12.9" customHeight="1" x14ac:dyDescent="0.25">
      <c r="A87" s="55">
        <f ca="1">'2'!B$9</f>
        <v>800</v>
      </c>
      <c r="B87" s="56">
        <f ca="1">'2'!C$9</f>
        <v>800</v>
      </c>
      <c r="C87" s="56">
        <f ca="1">'2'!D$9</f>
        <v>0</v>
      </c>
      <c r="D87" s="56">
        <f>'2'!B$8</f>
        <v>800</v>
      </c>
      <c r="E87" s="56">
        <f>'2'!C$8</f>
        <v>800</v>
      </c>
      <c r="F87" s="56">
        <f>'2'!D$8</f>
        <v>0</v>
      </c>
      <c r="G87" s="56">
        <f ca="1">IF(D87&gt;0,'2'!B$10,G86)</f>
        <v>128.31</v>
      </c>
      <c r="H87" s="56">
        <f ca="1">IF(E87&gt;0,'2'!C$10,H86)</f>
        <v>211.62</v>
      </c>
      <c r="I87" s="116">
        <f ca="1">IF(F87&gt;0,'2'!D$10,I86)</f>
        <v>324.8</v>
      </c>
      <c r="J87" s="56">
        <f t="shared" ca="1" si="6"/>
        <v>0</v>
      </c>
      <c r="K87" s="56">
        <f t="shared" ca="1" si="7"/>
        <v>0</v>
      </c>
      <c r="L87" s="116">
        <f t="shared" ca="1" si="8"/>
        <v>0</v>
      </c>
      <c r="M87" s="57">
        <f ca="1">J87*G86+K87*H86+L87*I86</f>
        <v>0</v>
      </c>
    </row>
    <row r="88" spans="1:13" ht="12.9" customHeight="1" x14ac:dyDescent="0.25">
      <c r="A88" s="55">
        <f ca="1">'3'!B$9</f>
        <v>1000</v>
      </c>
      <c r="B88" s="56">
        <f ca="1">'3'!C$9</f>
        <v>1000</v>
      </c>
      <c r="C88" s="56">
        <f ca="1">'3'!D$9</f>
        <v>500</v>
      </c>
      <c r="D88" s="56">
        <f>'3'!B$8</f>
        <v>1000</v>
      </c>
      <c r="E88" s="56">
        <f>'3'!C$8</f>
        <v>1000</v>
      </c>
      <c r="F88" s="56">
        <f>'3'!D$8</f>
        <v>500</v>
      </c>
      <c r="G88" s="56">
        <f ca="1">IF(D88&gt;0,'3'!B$10,G87)</f>
        <v>127.24</v>
      </c>
      <c r="H88" s="56">
        <f ca="1">IF(E88&gt;0,'3'!C$10,H87)</f>
        <v>209.55</v>
      </c>
      <c r="I88" s="116">
        <f ca="1">IF(F88&gt;0,'3'!D$10,I87)</f>
        <v>324.7</v>
      </c>
      <c r="J88" s="56">
        <f t="shared" ca="1" si="6"/>
        <v>0</v>
      </c>
      <c r="K88" s="56">
        <f t="shared" ca="1" si="7"/>
        <v>0</v>
      </c>
      <c r="L88" s="116">
        <f t="shared" ca="1" si="8"/>
        <v>0</v>
      </c>
      <c r="M88" s="57">
        <f ca="1">J88*G87+K88*H87+L88*I87</f>
        <v>0</v>
      </c>
    </row>
    <row r="89" spans="1:13" ht="12.75" customHeight="1" x14ac:dyDescent="0.25">
      <c r="A89" s="55">
        <f ca="1">'4'!B$9</f>
        <v>1500</v>
      </c>
      <c r="B89" s="56">
        <f ca="1">'4'!C$9</f>
        <v>1500</v>
      </c>
      <c r="C89" s="56">
        <f ca="1">'4'!D$9</f>
        <v>1250</v>
      </c>
      <c r="D89" s="56">
        <f>'4'!B$8</f>
        <v>1500</v>
      </c>
      <c r="E89" s="56">
        <f>'4'!C$8</f>
        <v>1500</v>
      </c>
      <c r="F89" s="56">
        <f>'4'!D$8</f>
        <v>1250</v>
      </c>
      <c r="G89" s="56">
        <f ca="1">IF(D89&gt;0,'4'!B$10,G88)</f>
        <v>127.31</v>
      </c>
      <c r="H89" s="56">
        <f ca="1">IF(E89&gt;0,'4'!C$10,H88)</f>
        <v>210.62</v>
      </c>
      <c r="I89" s="116">
        <f ca="1">IF(F89&gt;0,'4'!D$10,I88)</f>
        <v>326.89999999999998</v>
      </c>
      <c r="J89" s="56">
        <f t="shared" ca="1" si="6"/>
        <v>0</v>
      </c>
      <c r="K89" s="56">
        <f t="shared" ca="1" si="7"/>
        <v>0</v>
      </c>
      <c r="L89" s="116">
        <f t="shared" ca="1" si="8"/>
        <v>0</v>
      </c>
      <c r="M89" s="57">
        <f ca="1">J89*G88+K89*H88+L89*I88</f>
        <v>0</v>
      </c>
    </row>
    <row r="90" spans="1:13" ht="12.75" customHeight="1" thickBot="1" x14ac:dyDescent="0.3">
      <c r="A90" s="58" t="e">
        <f ca="1">'5'!B$9</f>
        <v>#VALUE!</v>
      </c>
      <c r="B90" s="59" t="e">
        <f ca="1">'5'!C$9</f>
        <v>#VALUE!</v>
      </c>
      <c r="C90" s="59" t="e">
        <f ca="1">'5'!D$9</f>
        <v>#VALUE!</v>
      </c>
      <c r="D90" s="59">
        <f>'5'!B$8</f>
        <v>0</v>
      </c>
      <c r="E90" s="59">
        <f>'5'!C$8</f>
        <v>0</v>
      </c>
      <c r="F90" s="59">
        <f>'5'!D$8</f>
        <v>0</v>
      </c>
      <c r="G90" s="59">
        <f ca="1">IF(D90&gt;0,'5'!B$10,G89)</f>
        <v>127.31</v>
      </c>
      <c r="H90" s="59">
        <f ca="1">IF(E90&gt;0,'5'!C$10,H89)</f>
        <v>210.62</v>
      </c>
      <c r="I90" s="117">
        <f ca="1">IF(F90&gt;0,'5'!D$10,I89)</f>
        <v>326.89999999999998</v>
      </c>
      <c r="J90" s="59" t="e">
        <f t="shared" ca="1" si="6"/>
        <v>#VALUE!</v>
      </c>
      <c r="K90" s="59" t="e">
        <f t="shared" ca="1" si="7"/>
        <v>#VALUE!</v>
      </c>
      <c r="L90" s="117" t="e">
        <f t="shared" ca="1" si="8"/>
        <v>#VALUE!</v>
      </c>
      <c r="M90" s="60" t="e">
        <f ca="1">J90*G89+K90*H89+L90*I89</f>
        <v>#VALUE!</v>
      </c>
    </row>
    <row r="91" spans="1:13" ht="12.75" customHeight="1" x14ac:dyDescent="0.25"/>
    <row r="93" spans="1:13" x14ac:dyDescent="0.25">
      <c r="A93" s="25"/>
      <c r="B93" s="25"/>
      <c r="C93" s="25"/>
      <c r="D93" s="25"/>
      <c r="E93" s="25"/>
      <c r="F93" s="25"/>
      <c r="G93" s="25"/>
      <c r="H93" s="25"/>
      <c r="I93" s="25"/>
    </row>
    <row r="98" spans="6:16" x14ac:dyDescent="0.25">
      <c r="F98" s="107"/>
    </row>
    <row r="111" spans="6:16" x14ac:dyDescent="0.25">
      <c r="K111"/>
      <c r="L111" s="381"/>
      <c r="M111" s="382"/>
      <c r="N111" s="383"/>
      <c r="O111" s="384"/>
      <c r="P111"/>
    </row>
    <row r="124" spans="11:17" x14ac:dyDescent="0.25">
      <c r="K124" s="30"/>
      <c r="L124" s="30"/>
      <c r="M124" s="30"/>
      <c r="N124" s="30"/>
      <c r="O124" s="30"/>
      <c r="P124" s="30"/>
      <c r="Q124" s="30"/>
    </row>
    <row r="138" spans="5:6" x14ac:dyDescent="0.25">
      <c r="E138" s="23"/>
      <c r="F138" s="23"/>
    </row>
    <row r="153" spans="14:14" x14ac:dyDescent="0.25">
      <c r="N153" s="25"/>
    </row>
  </sheetData>
  <mergeCells count="44">
    <mergeCell ref="K66:O66"/>
    <mergeCell ref="A79:M79"/>
    <mergeCell ref="A80:C80"/>
    <mergeCell ref="D80:F80"/>
    <mergeCell ref="G80:I80"/>
    <mergeCell ref="J80:L80"/>
    <mergeCell ref="A67:C67"/>
    <mergeCell ref="D67:F67"/>
    <mergeCell ref="G67:I67"/>
    <mergeCell ref="A66:I66"/>
    <mergeCell ref="K53:O53"/>
    <mergeCell ref="P53:Q53"/>
    <mergeCell ref="A40:C40"/>
    <mergeCell ref="D54:F54"/>
    <mergeCell ref="K40:M40"/>
    <mergeCell ref="G54:I54"/>
    <mergeCell ref="A54:C54"/>
    <mergeCell ref="A53:I53"/>
    <mergeCell ref="Z1:AA1"/>
    <mergeCell ref="S1:Y1"/>
    <mergeCell ref="S2:S11"/>
    <mergeCell ref="G40:I40"/>
    <mergeCell ref="J14:L14"/>
    <mergeCell ref="J1:L1"/>
    <mergeCell ref="N1:P1"/>
    <mergeCell ref="N27:O27"/>
    <mergeCell ref="D1:I1"/>
    <mergeCell ref="S22:S31"/>
    <mergeCell ref="S12:S21"/>
    <mergeCell ref="A27:L27"/>
    <mergeCell ref="A1:C1"/>
    <mergeCell ref="Q14:Q15"/>
    <mergeCell ref="E28:H28"/>
    <mergeCell ref="I28:L28"/>
    <mergeCell ref="N14:P14"/>
    <mergeCell ref="Q40:Q41"/>
    <mergeCell ref="A28:D28"/>
    <mergeCell ref="D14:F14"/>
    <mergeCell ref="N40:P40"/>
    <mergeCell ref="P27:P28"/>
    <mergeCell ref="Q27:Q28"/>
    <mergeCell ref="A14:C14"/>
    <mergeCell ref="G14:I14"/>
    <mergeCell ref="D40:F40"/>
  </mergeCells>
  <conditionalFormatting sqref="V2:V31">
    <cfRule type="cellIs" dxfId="311" priority="240" operator="greaterThan">
      <formula>0</formula>
    </cfRule>
  </conditionalFormatting>
  <conditionalFormatting sqref="M55:M64">
    <cfRule type="cellIs" dxfId="310" priority="234" operator="greaterThan">
      <formula>0.4</formula>
    </cfRule>
  </conditionalFormatting>
  <conditionalFormatting sqref="L55:L64">
    <cfRule type="colorScale" priority="231">
      <colorScale>
        <cfvo type="min"/>
        <cfvo type="percentile" val="50"/>
        <cfvo type="max"/>
        <color rgb="FFF8696B"/>
        <color rgb="FFFFEB84"/>
        <color rgb="FF63BE7B"/>
      </colorScale>
    </cfRule>
  </conditionalFormatting>
  <conditionalFormatting sqref="N42:P51">
    <cfRule type="colorScale" priority="229">
      <colorScale>
        <cfvo type="min"/>
        <cfvo type="percentile" val="50"/>
        <cfvo type="max"/>
        <color rgb="FF63BE7B"/>
        <color rgb="FFFFEB84"/>
        <color rgb="FFF8696B"/>
      </colorScale>
    </cfRule>
  </conditionalFormatting>
  <conditionalFormatting sqref="C16:C25">
    <cfRule type="cellIs" dxfId="309" priority="217" operator="greaterThan">
      <formula>0.04</formula>
    </cfRule>
    <cfRule type="cellIs" dxfId="308" priority="218" operator="between">
      <formula>0.01</formula>
      <formula>0.04</formula>
    </cfRule>
  </conditionalFormatting>
  <conditionalFormatting sqref="G16:G25">
    <cfRule type="colorScale" priority="215">
      <colorScale>
        <cfvo type="min"/>
        <cfvo type="percentile" val="50"/>
        <cfvo type="max"/>
        <color rgb="FFF8696B"/>
        <color rgb="FFFFEB84"/>
        <color rgb="FF63BE7B"/>
      </colorScale>
    </cfRule>
  </conditionalFormatting>
  <conditionalFormatting sqref="H16:H25">
    <cfRule type="colorScale" priority="214">
      <colorScale>
        <cfvo type="min"/>
        <cfvo type="percentile" val="50"/>
        <cfvo type="max"/>
        <color rgb="FFF8696B"/>
        <color rgb="FFFFEB84"/>
        <color rgb="FF63BE7B"/>
      </colorScale>
    </cfRule>
  </conditionalFormatting>
  <conditionalFormatting sqref="I16:I25">
    <cfRule type="colorScale" priority="213">
      <colorScale>
        <cfvo type="min"/>
        <cfvo type="percentile" val="50"/>
        <cfvo type="max"/>
        <color rgb="FFF8696B"/>
        <color rgb="FFFFEB84"/>
        <color rgb="FF63BE7B"/>
      </colorScale>
    </cfRule>
  </conditionalFormatting>
  <conditionalFormatting sqref="A29:L38">
    <cfRule type="colorScale" priority="206">
      <colorScale>
        <cfvo type="min"/>
        <cfvo type="percentile" val="50"/>
        <cfvo type="max"/>
        <color rgb="FFF8696B"/>
        <color rgb="FFFFEB84"/>
        <color rgb="FF63BE7B"/>
      </colorScale>
    </cfRule>
  </conditionalFormatting>
  <conditionalFormatting sqref="A55:A64">
    <cfRule type="colorScale" priority="205">
      <colorScale>
        <cfvo type="min"/>
        <cfvo type="percentile" val="50"/>
        <cfvo type="max"/>
        <color rgb="FFF8696B"/>
        <color rgb="FFFFEB84"/>
        <color rgb="FF63BE7B"/>
      </colorScale>
    </cfRule>
  </conditionalFormatting>
  <conditionalFormatting sqref="B55:B64">
    <cfRule type="colorScale" priority="204">
      <colorScale>
        <cfvo type="min"/>
        <cfvo type="percentile" val="50"/>
        <cfvo type="max"/>
        <color rgb="FFF8696B"/>
        <color rgb="FFFFEB84"/>
        <color rgb="FF63BE7B"/>
      </colorScale>
    </cfRule>
  </conditionalFormatting>
  <conditionalFormatting sqref="C55:C64">
    <cfRule type="colorScale" priority="203">
      <colorScale>
        <cfvo type="min"/>
        <cfvo type="percentile" val="50"/>
        <cfvo type="max"/>
        <color rgb="FFF8696B"/>
        <color rgb="FFFFEB84"/>
        <color rgb="FF63BE7B"/>
      </colorScale>
    </cfRule>
  </conditionalFormatting>
  <conditionalFormatting sqref="D55:D64">
    <cfRule type="colorScale" priority="202">
      <colorScale>
        <cfvo type="min"/>
        <cfvo type="percentile" val="50"/>
        <cfvo type="max"/>
        <color rgb="FFF8696B"/>
        <color rgb="FFFFEB84"/>
        <color rgb="FF63BE7B"/>
      </colorScale>
    </cfRule>
  </conditionalFormatting>
  <conditionalFormatting sqref="E55:E64">
    <cfRule type="colorScale" priority="201">
      <colorScale>
        <cfvo type="min"/>
        <cfvo type="percentile" val="50"/>
        <cfvo type="max"/>
        <color rgb="FFF8696B"/>
        <color rgb="FFFFEB84"/>
        <color rgb="FF63BE7B"/>
      </colorScale>
    </cfRule>
  </conditionalFormatting>
  <conditionalFormatting sqref="F55:F64">
    <cfRule type="colorScale" priority="200">
      <colorScale>
        <cfvo type="min"/>
        <cfvo type="percentile" val="50"/>
        <cfvo type="max"/>
        <color rgb="FFF8696B"/>
        <color rgb="FFFFEB84"/>
        <color rgb="FF63BE7B"/>
      </colorScale>
    </cfRule>
  </conditionalFormatting>
  <conditionalFormatting sqref="G55:G64">
    <cfRule type="colorScale" priority="199">
      <colorScale>
        <cfvo type="min"/>
        <cfvo type="percentile" val="50"/>
        <cfvo type="max"/>
        <color rgb="FFF8696B"/>
        <color rgb="FFFFEB84"/>
        <color rgb="FF63BE7B"/>
      </colorScale>
    </cfRule>
  </conditionalFormatting>
  <conditionalFormatting sqref="H55:H64">
    <cfRule type="colorScale" priority="198">
      <colorScale>
        <cfvo type="min"/>
        <cfvo type="percentile" val="50"/>
        <cfvo type="max"/>
        <color rgb="FFF8696B"/>
        <color rgb="FFFFEB84"/>
        <color rgb="FF63BE7B"/>
      </colorScale>
    </cfRule>
  </conditionalFormatting>
  <conditionalFormatting sqref="I55:I64">
    <cfRule type="colorScale" priority="197">
      <colorScale>
        <cfvo type="min"/>
        <cfvo type="percentile" val="50"/>
        <cfvo type="max"/>
        <color rgb="FFF8696B"/>
        <color rgb="FFFFEB84"/>
        <color rgb="FF63BE7B"/>
      </colorScale>
    </cfRule>
  </conditionalFormatting>
  <conditionalFormatting sqref="A55:I64">
    <cfRule type="colorScale" priority="196">
      <colorScale>
        <cfvo type="min"/>
        <cfvo type="percentile" val="50"/>
        <cfvo type="max"/>
        <color rgb="FFF8696B"/>
        <color rgb="FFFFEB84"/>
        <color rgb="FF63BE7B"/>
      </colorScale>
    </cfRule>
  </conditionalFormatting>
  <conditionalFormatting sqref="K124:Q124">
    <cfRule type="colorScale" priority="192">
      <colorScale>
        <cfvo type="min"/>
        <cfvo type="percentile" val="50"/>
        <cfvo type="max"/>
        <color rgb="FFF8696B"/>
        <color rgb="FFFFEB84"/>
        <color rgb="FF63BE7B"/>
      </colorScale>
    </cfRule>
  </conditionalFormatting>
  <conditionalFormatting sqref="U52:U53">
    <cfRule type="cellIs" dxfId="307" priority="177" operator="equal">
      <formula>"БОЛЬШАЯ"</formula>
    </cfRule>
    <cfRule type="containsText" dxfId="306" priority="178" operator="containsText" text="БОЛЬШИЕ">
      <formula>NOT(ISERROR(SEARCH("БОЛЬШИЕ",U52)))</formula>
    </cfRule>
  </conditionalFormatting>
  <conditionalFormatting sqref="J16:J25">
    <cfRule type="colorScale" priority="176">
      <colorScale>
        <cfvo type="min"/>
        <cfvo type="percentile" val="50"/>
        <cfvo type="max"/>
        <color rgb="FFF8696B"/>
        <color rgb="FFFFEB84"/>
        <color rgb="FF63BE7B"/>
      </colorScale>
    </cfRule>
  </conditionalFormatting>
  <conditionalFormatting sqref="K16:K25">
    <cfRule type="colorScale" priority="175">
      <colorScale>
        <cfvo type="min"/>
        <cfvo type="percentile" val="50"/>
        <cfvo type="max"/>
        <color rgb="FFF8696B"/>
        <color rgb="FFFFEB84"/>
        <color rgb="FF63BE7B"/>
      </colorScale>
    </cfRule>
  </conditionalFormatting>
  <conditionalFormatting sqref="L16:L25">
    <cfRule type="colorScale" priority="174">
      <colorScale>
        <cfvo type="min"/>
        <cfvo type="percentile" val="50"/>
        <cfvo type="max"/>
        <color rgb="FFF8696B"/>
        <color rgb="FFFFEB84"/>
        <color rgb="FF63BE7B"/>
      </colorScale>
    </cfRule>
  </conditionalFormatting>
  <conditionalFormatting sqref="N16:P25">
    <cfRule type="colorScale" priority="171">
      <colorScale>
        <cfvo type="min"/>
        <cfvo type="percentile" val="50"/>
        <cfvo type="max"/>
        <color rgb="FFF8696B"/>
        <color rgb="FFFFEB84"/>
        <color rgb="FF63BE7B"/>
      </colorScale>
    </cfRule>
  </conditionalFormatting>
  <conditionalFormatting sqref="U7">
    <cfRule type="cellIs" dxfId="305" priority="165" operator="equal">
      <formula>$AA7</formula>
    </cfRule>
  </conditionalFormatting>
  <conditionalFormatting sqref="U8">
    <cfRule type="cellIs" dxfId="304" priority="164" operator="equal">
      <formula>$AA8</formula>
    </cfRule>
  </conditionalFormatting>
  <conditionalFormatting sqref="U9">
    <cfRule type="cellIs" dxfId="303" priority="163" operator="equal">
      <formula>$AA9</formula>
    </cfRule>
  </conditionalFormatting>
  <conditionalFormatting sqref="U10">
    <cfRule type="cellIs" dxfId="302" priority="162" operator="equal">
      <formula>$AA10</formula>
    </cfRule>
  </conditionalFormatting>
  <conditionalFormatting sqref="U11">
    <cfRule type="cellIs" dxfId="301" priority="161" operator="equal">
      <formula>$AA11</formula>
    </cfRule>
  </conditionalFormatting>
  <conditionalFormatting sqref="U17">
    <cfRule type="cellIs" dxfId="300" priority="160" operator="equal">
      <formula>$AA17</formula>
    </cfRule>
  </conditionalFormatting>
  <conditionalFormatting sqref="U18">
    <cfRule type="cellIs" dxfId="299" priority="159" operator="equal">
      <formula>$AA18</formula>
    </cfRule>
  </conditionalFormatting>
  <conditionalFormatting sqref="U19">
    <cfRule type="cellIs" dxfId="298" priority="158" operator="equal">
      <formula>$AA19</formula>
    </cfRule>
  </conditionalFormatting>
  <conditionalFormatting sqref="U20">
    <cfRule type="cellIs" dxfId="297" priority="157" operator="equal">
      <formula>$AA20</formula>
    </cfRule>
  </conditionalFormatting>
  <conditionalFormatting sqref="U21">
    <cfRule type="cellIs" dxfId="296" priority="156" operator="equal">
      <formula>$AA21</formula>
    </cfRule>
  </conditionalFormatting>
  <conditionalFormatting sqref="U27">
    <cfRule type="cellIs" dxfId="295" priority="155" operator="equal">
      <formula>$AA27</formula>
    </cfRule>
  </conditionalFormatting>
  <conditionalFormatting sqref="U28">
    <cfRule type="cellIs" dxfId="294" priority="154" operator="equal">
      <formula>$AA28</formula>
    </cfRule>
  </conditionalFormatting>
  <conditionalFormatting sqref="U29">
    <cfRule type="cellIs" dxfId="293" priority="153" operator="equal">
      <formula>$AA29</formula>
    </cfRule>
  </conditionalFormatting>
  <conditionalFormatting sqref="U30">
    <cfRule type="cellIs" dxfId="292" priority="152" operator="equal">
      <formula>$AA30</formula>
    </cfRule>
  </conditionalFormatting>
  <conditionalFormatting sqref="U31">
    <cfRule type="cellIs" dxfId="291" priority="151" operator="equal">
      <formula>$AA31</formula>
    </cfRule>
  </conditionalFormatting>
  <conditionalFormatting sqref="F16:F25">
    <cfRule type="cellIs" dxfId="290" priority="150" operator="greaterThan">
      <formula>0</formula>
    </cfRule>
  </conditionalFormatting>
  <conditionalFormatting sqref="U33">
    <cfRule type="cellIs" dxfId="289" priority="148" operator="equal">
      <formula>"БОЛЬШАЯ"</formula>
    </cfRule>
    <cfRule type="containsText" dxfId="288" priority="149" operator="containsText" text="БОЛЬШИЕ">
      <formula>NOT(ISERROR(SEARCH("БОЛЬШИЕ",U33)))</formula>
    </cfRule>
  </conditionalFormatting>
  <conditionalFormatting sqref="A68:A73">
    <cfRule type="colorScale" priority="147">
      <colorScale>
        <cfvo type="min"/>
        <cfvo type="percentile" val="50"/>
        <cfvo type="max"/>
        <color rgb="FFF8696B"/>
        <color rgb="FFFFEB84"/>
        <color rgb="FF63BE7B"/>
      </colorScale>
    </cfRule>
  </conditionalFormatting>
  <conditionalFormatting sqref="B68:B73">
    <cfRule type="colorScale" priority="146">
      <colorScale>
        <cfvo type="min"/>
        <cfvo type="percentile" val="50"/>
        <cfvo type="max"/>
        <color rgb="FFF8696B"/>
        <color rgb="FFFFEB84"/>
        <color rgb="FF63BE7B"/>
      </colorScale>
    </cfRule>
  </conditionalFormatting>
  <conditionalFormatting sqref="C68:C73">
    <cfRule type="colorScale" priority="145">
      <colorScale>
        <cfvo type="min"/>
        <cfvo type="percentile" val="50"/>
        <cfvo type="max"/>
        <color rgb="FFF8696B"/>
        <color rgb="FFFFEB84"/>
        <color rgb="FF63BE7B"/>
      </colorScale>
    </cfRule>
  </conditionalFormatting>
  <conditionalFormatting sqref="D68:D73">
    <cfRule type="colorScale" priority="144">
      <colorScale>
        <cfvo type="min"/>
        <cfvo type="percentile" val="50"/>
        <cfvo type="max"/>
        <color rgb="FFF8696B"/>
        <color rgb="FFFFEB84"/>
        <color rgb="FF63BE7B"/>
      </colorScale>
    </cfRule>
  </conditionalFormatting>
  <conditionalFormatting sqref="E68:E73">
    <cfRule type="colorScale" priority="143">
      <colorScale>
        <cfvo type="min"/>
        <cfvo type="percentile" val="50"/>
        <cfvo type="max"/>
        <color rgb="FFF8696B"/>
        <color rgb="FFFFEB84"/>
        <color rgb="FF63BE7B"/>
      </colorScale>
    </cfRule>
  </conditionalFormatting>
  <conditionalFormatting sqref="F68:F73">
    <cfRule type="colorScale" priority="142">
      <colorScale>
        <cfvo type="min"/>
        <cfvo type="percentile" val="50"/>
        <cfvo type="max"/>
        <color rgb="FFF8696B"/>
        <color rgb="FFFFEB84"/>
        <color rgb="FF63BE7B"/>
      </colorScale>
    </cfRule>
  </conditionalFormatting>
  <conditionalFormatting sqref="G68:G73">
    <cfRule type="colorScale" priority="141">
      <colorScale>
        <cfvo type="min"/>
        <cfvo type="percentile" val="50"/>
        <cfvo type="max"/>
        <color rgb="FFF8696B"/>
        <color rgb="FFFFEB84"/>
        <color rgb="FF63BE7B"/>
      </colorScale>
    </cfRule>
  </conditionalFormatting>
  <conditionalFormatting sqref="H68:H73">
    <cfRule type="colorScale" priority="140">
      <colorScale>
        <cfvo type="min"/>
        <cfvo type="percentile" val="50"/>
        <cfvo type="max"/>
        <color rgb="FFF8696B"/>
        <color rgb="FFFFEB84"/>
        <color rgb="FF63BE7B"/>
      </colorScale>
    </cfRule>
  </conditionalFormatting>
  <conditionalFormatting sqref="I68:I73">
    <cfRule type="colorScale" priority="139">
      <colorScale>
        <cfvo type="min"/>
        <cfvo type="percentile" val="50"/>
        <cfvo type="max"/>
        <color rgb="FFF8696B"/>
        <color rgb="FFFFEB84"/>
        <color rgb="FF63BE7B"/>
      </colorScale>
    </cfRule>
  </conditionalFormatting>
  <conditionalFormatting sqref="A68:I73">
    <cfRule type="colorScale" priority="138">
      <colorScale>
        <cfvo type="min"/>
        <cfvo type="percentile" val="50"/>
        <cfvo type="max"/>
        <color rgb="FFF8696B"/>
        <color rgb="FFFFEB84"/>
        <color rgb="FF63BE7B"/>
      </colorScale>
    </cfRule>
  </conditionalFormatting>
  <conditionalFormatting sqref="K42:K51">
    <cfRule type="colorScale" priority="137">
      <colorScale>
        <cfvo type="min"/>
        <cfvo type="percentile" val="50"/>
        <cfvo type="max"/>
        <color rgb="FF63BE7B"/>
        <color rgb="FFFFEB84"/>
        <color rgb="FFF8696B"/>
      </colorScale>
    </cfRule>
  </conditionalFormatting>
  <conditionalFormatting sqref="L42:L51">
    <cfRule type="colorScale" priority="136">
      <colorScale>
        <cfvo type="min"/>
        <cfvo type="percentile" val="50"/>
        <cfvo type="max"/>
        <color rgb="FF63BE7B"/>
        <color rgb="FFFFEB84"/>
        <color rgb="FFF8696B"/>
      </colorScale>
    </cfRule>
  </conditionalFormatting>
  <conditionalFormatting sqref="M42:M51">
    <cfRule type="colorScale" priority="134">
      <colorScale>
        <cfvo type="min"/>
        <cfvo type="percentile" val="50"/>
        <cfvo type="max"/>
        <color rgb="FF63BE7B"/>
        <color rgb="FFFFEB84"/>
        <color rgb="FFF8696B"/>
      </colorScale>
    </cfRule>
  </conditionalFormatting>
  <conditionalFormatting sqref="A74">
    <cfRule type="colorScale" priority="133">
      <colorScale>
        <cfvo type="min"/>
        <cfvo type="percentile" val="50"/>
        <cfvo type="max"/>
        <color rgb="FFF8696B"/>
        <color rgb="FFFFEB84"/>
        <color rgb="FF63BE7B"/>
      </colorScale>
    </cfRule>
  </conditionalFormatting>
  <conditionalFormatting sqref="B74">
    <cfRule type="colorScale" priority="132">
      <colorScale>
        <cfvo type="min"/>
        <cfvo type="percentile" val="50"/>
        <cfvo type="max"/>
        <color rgb="FFF8696B"/>
        <color rgb="FFFFEB84"/>
        <color rgb="FF63BE7B"/>
      </colorScale>
    </cfRule>
  </conditionalFormatting>
  <conditionalFormatting sqref="C74">
    <cfRule type="colorScale" priority="131">
      <colorScale>
        <cfvo type="min"/>
        <cfvo type="percentile" val="50"/>
        <cfvo type="max"/>
        <color rgb="FFF8696B"/>
        <color rgb="FFFFEB84"/>
        <color rgb="FF63BE7B"/>
      </colorScale>
    </cfRule>
  </conditionalFormatting>
  <conditionalFormatting sqref="D74">
    <cfRule type="colorScale" priority="130">
      <colorScale>
        <cfvo type="min"/>
        <cfvo type="percentile" val="50"/>
        <cfvo type="max"/>
        <color rgb="FFF8696B"/>
        <color rgb="FFFFEB84"/>
        <color rgb="FF63BE7B"/>
      </colorScale>
    </cfRule>
  </conditionalFormatting>
  <conditionalFormatting sqref="E74">
    <cfRule type="colorScale" priority="129">
      <colorScale>
        <cfvo type="min"/>
        <cfvo type="percentile" val="50"/>
        <cfvo type="max"/>
        <color rgb="FFF8696B"/>
        <color rgb="FFFFEB84"/>
        <color rgb="FF63BE7B"/>
      </colorScale>
    </cfRule>
  </conditionalFormatting>
  <conditionalFormatting sqref="F74">
    <cfRule type="colorScale" priority="128">
      <colorScale>
        <cfvo type="min"/>
        <cfvo type="percentile" val="50"/>
        <cfvo type="max"/>
        <color rgb="FFF8696B"/>
        <color rgb="FFFFEB84"/>
        <color rgb="FF63BE7B"/>
      </colorScale>
    </cfRule>
  </conditionalFormatting>
  <conditionalFormatting sqref="G74">
    <cfRule type="colorScale" priority="127">
      <colorScale>
        <cfvo type="min"/>
        <cfvo type="percentile" val="50"/>
        <cfvo type="max"/>
        <color rgb="FFF8696B"/>
        <color rgb="FFFFEB84"/>
        <color rgb="FF63BE7B"/>
      </colorScale>
    </cfRule>
  </conditionalFormatting>
  <conditionalFormatting sqref="H74">
    <cfRule type="colorScale" priority="126">
      <colorScale>
        <cfvo type="min"/>
        <cfvo type="percentile" val="50"/>
        <cfvo type="max"/>
        <color rgb="FFF8696B"/>
        <color rgb="FFFFEB84"/>
        <color rgb="FF63BE7B"/>
      </colorScale>
    </cfRule>
  </conditionalFormatting>
  <conditionalFormatting sqref="I74">
    <cfRule type="colorScale" priority="125">
      <colorScale>
        <cfvo type="min"/>
        <cfvo type="percentile" val="50"/>
        <cfvo type="max"/>
        <color rgb="FFF8696B"/>
        <color rgb="FFFFEB84"/>
        <color rgb="FF63BE7B"/>
      </colorScale>
    </cfRule>
  </conditionalFormatting>
  <conditionalFormatting sqref="A74:I74">
    <cfRule type="colorScale" priority="124">
      <colorScale>
        <cfvo type="min"/>
        <cfvo type="percentile" val="50"/>
        <cfvo type="max"/>
        <color rgb="FFF8696B"/>
        <color rgb="FFFFEB84"/>
        <color rgb="FF63BE7B"/>
      </colorScale>
    </cfRule>
  </conditionalFormatting>
  <conditionalFormatting sqref="A75">
    <cfRule type="colorScale" priority="123">
      <colorScale>
        <cfvo type="min"/>
        <cfvo type="percentile" val="50"/>
        <cfvo type="max"/>
        <color rgb="FFF8696B"/>
        <color rgb="FFFFEB84"/>
        <color rgb="FF63BE7B"/>
      </colorScale>
    </cfRule>
  </conditionalFormatting>
  <conditionalFormatting sqref="B75">
    <cfRule type="colorScale" priority="122">
      <colorScale>
        <cfvo type="min"/>
        <cfvo type="percentile" val="50"/>
        <cfvo type="max"/>
        <color rgb="FFF8696B"/>
        <color rgb="FFFFEB84"/>
        <color rgb="FF63BE7B"/>
      </colorScale>
    </cfRule>
  </conditionalFormatting>
  <conditionalFormatting sqref="C75">
    <cfRule type="colorScale" priority="121">
      <colorScale>
        <cfvo type="min"/>
        <cfvo type="percentile" val="50"/>
        <cfvo type="max"/>
        <color rgb="FFF8696B"/>
        <color rgb="FFFFEB84"/>
        <color rgb="FF63BE7B"/>
      </colorScale>
    </cfRule>
  </conditionalFormatting>
  <conditionalFormatting sqref="D75">
    <cfRule type="colorScale" priority="120">
      <colorScale>
        <cfvo type="min"/>
        <cfvo type="percentile" val="50"/>
        <cfvo type="max"/>
        <color rgb="FFF8696B"/>
        <color rgb="FFFFEB84"/>
        <color rgb="FF63BE7B"/>
      </colorScale>
    </cfRule>
  </conditionalFormatting>
  <conditionalFormatting sqref="E75">
    <cfRule type="colorScale" priority="119">
      <colorScale>
        <cfvo type="min"/>
        <cfvo type="percentile" val="50"/>
        <cfvo type="max"/>
        <color rgb="FFF8696B"/>
        <color rgb="FFFFEB84"/>
        <color rgb="FF63BE7B"/>
      </colorScale>
    </cfRule>
  </conditionalFormatting>
  <conditionalFormatting sqref="F75">
    <cfRule type="colorScale" priority="118">
      <colorScale>
        <cfvo type="min"/>
        <cfvo type="percentile" val="50"/>
        <cfvo type="max"/>
        <color rgb="FFF8696B"/>
        <color rgb="FFFFEB84"/>
        <color rgb="FF63BE7B"/>
      </colorScale>
    </cfRule>
  </conditionalFormatting>
  <conditionalFormatting sqref="G75">
    <cfRule type="colorScale" priority="117">
      <colorScale>
        <cfvo type="min"/>
        <cfvo type="percentile" val="50"/>
        <cfvo type="max"/>
        <color rgb="FFF8696B"/>
        <color rgb="FFFFEB84"/>
        <color rgb="FF63BE7B"/>
      </colorScale>
    </cfRule>
  </conditionalFormatting>
  <conditionalFormatting sqref="H75">
    <cfRule type="colorScale" priority="116">
      <colorScale>
        <cfvo type="min"/>
        <cfvo type="percentile" val="50"/>
        <cfvo type="max"/>
        <color rgb="FFF8696B"/>
        <color rgb="FFFFEB84"/>
        <color rgb="FF63BE7B"/>
      </colorScale>
    </cfRule>
  </conditionalFormatting>
  <conditionalFormatting sqref="I75">
    <cfRule type="colorScale" priority="115">
      <colorScale>
        <cfvo type="min"/>
        <cfvo type="percentile" val="50"/>
        <cfvo type="max"/>
        <color rgb="FFF8696B"/>
        <color rgb="FFFFEB84"/>
        <color rgb="FF63BE7B"/>
      </colorScale>
    </cfRule>
  </conditionalFormatting>
  <conditionalFormatting sqref="A75:I75">
    <cfRule type="colorScale" priority="114">
      <colorScale>
        <cfvo type="min"/>
        <cfvo type="percentile" val="50"/>
        <cfvo type="max"/>
        <color rgb="FFF8696B"/>
        <color rgb="FFFFEB84"/>
        <color rgb="FF63BE7B"/>
      </colorScale>
    </cfRule>
  </conditionalFormatting>
  <conditionalFormatting sqref="A76">
    <cfRule type="colorScale" priority="113">
      <colorScale>
        <cfvo type="min"/>
        <cfvo type="percentile" val="50"/>
        <cfvo type="max"/>
        <color rgb="FFF8696B"/>
        <color rgb="FFFFEB84"/>
        <color rgb="FF63BE7B"/>
      </colorScale>
    </cfRule>
  </conditionalFormatting>
  <conditionalFormatting sqref="B76">
    <cfRule type="colorScale" priority="112">
      <colorScale>
        <cfvo type="min"/>
        <cfvo type="percentile" val="50"/>
        <cfvo type="max"/>
        <color rgb="FFF8696B"/>
        <color rgb="FFFFEB84"/>
        <color rgb="FF63BE7B"/>
      </colorScale>
    </cfRule>
  </conditionalFormatting>
  <conditionalFormatting sqref="C76">
    <cfRule type="colorScale" priority="111">
      <colorScale>
        <cfvo type="min"/>
        <cfvo type="percentile" val="50"/>
        <cfvo type="max"/>
        <color rgb="FFF8696B"/>
        <color rgb="FFFFEB84"/>
        <color rgb="FF63BE7B"/>
      </colorScale>
    </cfRule>
  </conditionalFormatting>
  <conditionalFormatting sqref="D76">
    <cfRule type="colorScale" priority="110">
      <colorScale>
        <cfvo type="min"/>
        <cfvo type="percentile" val="50"/>
        <cfvo type="max"/>
        <color rgb="FFF8696B"/>
        <color rgb="FFFFEB84"/>
        <color rgb="FF63BE7B"/>
      </colorScale>
    </cfRule>
  </conditionalFormatting>
  <conditionalFormatting sqref="E76">
    <cfRule type="colorScale" priority="109">
      <colorScale>
        <cfvo type="min"/>
        <cfvo type="percentile" val="50"/>
        <cfvo type="max"/>
        <color rgb="FFF8696B"/>
        <color rgb="FFFFEB84"/>
        <color rgb="FF63BE7B"/>
      </colorScale>
    </cfRule>
  </conditionalFormatting>
  <conditionalFormatting sqref="F76">
    <cfRule type="colorScale" priority="108">
      <colorScale>
        <cfvo type="min"/>
        <cfvo type="percentile" val="50"/>
        <cfvo type="max"/>
        <color rgb="FFF8696B"/>
        <color rgb="FFFFEB84"/>
        <color rgb="FF63BE7B"/>
      </colorScale>
    </cfRule>
  </conditionalFormatting>
  <conditionalFormatting sqref="G76">
    <cfRule type="colorScale" priority="107">
      <colorScale>
        <cfvo type="min"/>
        <cfvo type="percentile" val="50"/>
        <cfvo type="max"/>
        <color rgb="FFF8696B"/>
        <color rgb="FFFFEB84"/>
        <color rgb="FF63BE7B"/>
      </colorScale>
    </cfRule>
  </conditionalFormatting>
  <conditionalFormatting sqref="H76">
    <cfRule type="colorScale" priority="106">
      <colorScale>
        <cfvo type="min"/>
        <cfvo type="percentile" val="50"/>
        <cfvo type="max"/>
        <color rgb="FFF8696B"/>
        <color rgb="FFFFEB84"/>
        <color rgb="FF63BE7B"/>
      </colorScale>
    </cfRule>
  </conditionalFormatting>
  <conditionalFormatting sqref="I76">
    <cfRule type="colorScale" priority="105">
      <colorScale>
        <cfvo type="min"/>
        <cfvo type="percentile" val="50"/>
        <cfvo type="max"/>
        <color rgb="FFF8696B"/>
        <color rgb="FFFFEB84"/>
        <color rgb="FF63BE7B"/>
      </colorScale>
    </cfRule>
  </conditionalFormatting>
  <conditionalFormatting sqref="A76:I76">
    <cfRule type="colorScale" priority="104">
      <colorScale>
        <cfvo type="min"/>
        <cfvo type="percentile" val="50"/>
        <cfvo type="max"/>
        <color rgb="FFF8696B"/>
        <color rgb="FFFFEB84"/>
        <color rgb="FF63BE7B"/>
      </colorScale>
    </cfRule>
  </conditionalFormatting>
  <conditionalFormatting sqref="A77">
    <cfRule type="colorScale" priority="103">
      <colorScale>
        <cfvo type="min"/>
        <cfvo type="percentile" val="50"/>
        <cfvo type="max"/>
        <color rgb="FFF8696B"/>
        <color rgb="FFFFEB84"/>
        <color rgb="FF63BE7B"/>
      </colorScale>
    </cfRule>
  </conditionalFormatting>
  <conditionalFormatting sqref="B77">
    <cfRule type="colorScale" priority="102">
      <colorScale>
        <cfvo type="min"/>
        <cfvo type="percentile" val="50"/>
        <cfvo type="max"/>
        <color rgb="FFF8696B"/>
        <color rgb="FFFFEB84"/>
        <color rgb="FF63BE7B"/>
      </colorScale>
    </cfRule>
  </conditionalFormatting>
  <conditionalFormatting sqref="C77">
    <cfRule type="colorScale" priority="101">
      <colorScale>
        <cfvo type="min"/>
        <cfvo type="percentile" val="50"/>
        <cfvo type="max"/>
        <color rgb="FFF8696B"/>
        <color rgb="FFFFEB84"/>
        <color rgb="FF63BE7B"/>
      </colorScale>
    </cfRule>
  </conditionalFormatting>
  <conditionalFormatting sqref="D77">
    <cfRule type="colorScale" priority="100">
      <colorScale>
        <cfvo type="min"/>
        <cfvo type="percentile" val="50"/>
        <cfvo type="max"/>
        <color rgb="FFF8696B"/>
        <color rgb="FFFFEB84"/>
        <color rgb="FF63BE7B"/>
      </colorScale>
    </cfRule>
  </conditionalFormatting>
  <conditionalFormatting sqref="E77">
    <cfRule type="colorScale" priority="99">
      <colorScale>
        <cfvo type="min"/>
        <cfvo type="percentile" val="50"/>
        <cfvo type="max"/>
        <color rgb="FFF8696B"/>
        <color rgb="FFFFEB84"/>
        <color rgb="FF63BE7B"/>
      </colorScale>
    </cfRule>
  </conditionalFormatting>
  <conditionalFormatting sqref="F77">
    <cfRule type="colorScale" priority="98">
      <colorScale>
        <cfvo type="min"/>
        <cfvo type="percentile" val="50"/>
        <cfvo type="max"/>
        <color rgb="FFF8696B"/>
        <color rgb="FFFFEB84"/>
        <color rgb="FF63BE7B"/>
      </colorScale>
    </cfRule>
  </conditionalFormatting>
  <conditionalFormatting sqref="G77">
    <cfRule type="colorScale" priority="97">
      <colorScale>
        <cfvo type="min"/>
        <cfvo type="percentile" val="50"/>
        <cfvo type="max"/>
        <color rgb="FFF8696B"/>
        <color rgb="FFFFEB84"/>
        <color rgb="FF63BE7B"/>
      </colorScale>
    </cfRule>
  </conditionalFormatting>
  <conditionalFormatting sqref="H77">
    <cfRule type="colorScale" priority="96">
      <colorScale>
        <cfvo type="min"/>
        <cfvo type="percentile" val="50"/>
        <cfvo type="max"/>
        <color rgb="FFF8696B"/>
        <color rgb="FFFFEB84"/>
        <color rgb="FF63BE7B"/>
      </colorScale>
    </cfRule>
  </conditionalFormatting>
  <conditionalFormatting sqref="I77">
    <cfRule type="colorScale" priority="95">
      <colorScale>
        <cfvo type="min"/>
        <cfvo type="percentile" val="50"/>
        <cfvo type="max"/>
        <color rgb="FFF8696B"/>
        <color rgb="FFFFEB84"/>
        <color rgb="FF63BE7B"/>
      </colorScale>
    </cfRule>
  </conditionalFormatting>
  <conditionalFormatting sqref="A77:I77">
    <cfRule type="colorScale" priority="94">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
  <dimension ref="A1:R44"/>
  <sheetViews>
    <sheetView topLeftCell="A13" zoomScale="80" zoomScaleNormal="80" workbookViewId="0">
      <selection activeCell="J38" sqref="J38"/>
    </sheetView>
  </sheetViews>
  <sheetFormatPr baseColWidth="10" defaultColWidth="9.109375" defaultRowHeight="13.2" x14ac:dyDescent="0.25"/>
  <cols>
    <col min="1" max="1" width="20.44140625" style="68" customWidth="1"/>
    <col min="2" max="12" width="10.6640625" style="68" customWidth="1"/>
    <col min="13" max="13" width="10" style="68" customWidth="1"/>
    <col min="14" max="16384" width="9.109375" style="68"/>
  </cols>
  <sheetData>
    <row r="1" spans="1:13" x14ac:dyDescent="0.25">
      <c r="A1" s="820" t="str">
        <f>Lang!$A$164</f>
        <v>Goodwill</v>
      </c>
      <c r="B1" s="90">
        <f>'11'!S9</f>
        <v>2</v>
      </c>
      <c r="C1" s="90">
        <f>IF(B1=4,1,B1+1)</f>
        <v>3</v>
      </c>
      <c r="D1" s="90">
        <f t="shared" ref="D1:K1" si="0">IF(C1=4,1,C1+1)</f>
        <v>4</v>
      </c>
      <c r="E1" s="90">
        <f t="shared" si="0"/>
        <v>1</v>
      </c>
      <c r="F1" s="670">
        <f t="shared" si="0"/>
        <v>2</v>
      </c>
      <c r="G1" s="676">
        <f t="shared" si="0"/>
        <v>3</v>
      </c>
      <c r="H1" s="90">
        <f t="shared" si="0"/>
        <v>4</v>
      </c>
      <c r="I1" s="90">
        <f t="shared" si="0"/>
        <v>1</v>
      </c>
      <c r="J1" s="90">
        <f t="shared" si="0"/>
        <v>2</v>
      </c>
      <c r="K1" s="91">
        <f t="shared" si="0"/>
        <v>3</v>
      </c>
      <c r="L1" s="345"/>
    </row>
    <row r="2" spans="1:13" x14ac:dyDescent="0.25">
      <c r="A2" s="4" t="str">
        <f>Lang!$A$85</f>
        <v>Dividends</v>
      </c>
      <c r="B2" s="87">
        <f>Finance!B7/Finance!B12</f>
        <v>0</v>
      </c>
      <c r="C2" s="87">
        <f>Finance!C7/Finance!C12</f>
        <v>0</v>
      </c>
      <c r="D2" s="87">
        <f>Finance!D7/Finance!D12</f>
        <v>0</v>
      </c>
      <c r="E2" s="87">
        <f>Finance!E7/Finance!E12</f>
        <v>0</v>
      </c>
      <c r="F2" s="671">
        <f>Finance!F7/Finance!F12</f>
        <v>0</v>
      </c>
      <c r="G2" s="677">
        <f ca="1">OFFSET(Finance!A30,,'61'!$O$5)/OFFSET(Finance!A35,,'61'!$O$5)</f>
        <v>0</v>
      </c>
      <c r="H2" s="87">
        <f ca="1">OFFSET(Finance!A55,,'61'!$O$5)/OFFSET(Finance!A60,,'61'!$O$5)</f>
        <v>0</v>
      </c>
      <c r="I2" s="87">
        <f ca="1">OFFSET(Finance!A80,,'61'!$O$5)/OFFSET(Finance!A85,,'61'!$O$5)</f>
        <v>0</v>
      </c>
      <c r="J2" s="87" t="e">
        <f ca="1">OFFSET(Finance!A105,,'61'!$O$5)/OFFSET(Finance!A110,,'61'!$O$5)</f>
        <v>#DIV/0!</v>
      </c>
      <c r="K2" s="88" t="e">
        <f ca="1">OFFSET(Finance!A130,,'61'!$O$5)/OFFSET(Finance!A135,,'61'!$O$5)</f>
        <v>#DIV/0!</v>
      </c>
      <c r="L2" s="686"/>
    </row>
    <row r="3" spans="1:13" x14ac:dyDescent="0.25">
      <c r="A3" s="897" t="str">
        <f>Lang!$A$203</f>
        <v>Profitability</v>
      </c>
      <c r="B3" s="87">
        <f>Finance!B17/Finance!B2</f>
        <v>-6.7021486878436648E-2</v>
      </c>
      <c r="C3" s="87">
        <f>Finance!C17/Finance!C2</f>
        <v>-3.2192825993699048E-2</v>
      </c>
      <c r="D3" s="87">
        <f>Finance!D17/Finance!D2</f>
        <v>1.9552083277091781E-2</v>
      </c>
      <c r="E3" s="87">
        <f>Finance!E17/Finance!E2</f>
        <v>-3.1859208513699134E-3</v>
      </c>
      <c r="F3" s="671">
        <f>Finance!F17/Finance!F2</f>
        <v>3.1835790781913072E-2</v>
      </c>
      <c r="G3" s="677">
        <f>'63'!$L$24/'63'!$R$30</f>
        <v>7.4501246801730566E-3</v>
      </c>
      <c r="H3" s="87">
        <f>'73'!$L$24/'73'!$R$30</f>
        <v>-2.1873195034328555E-2</v>
      </c>
      <c r="I3" s="87">
        <f>'83'!$L$24/'83'!$R$30</f>
        <v>3.3045899880072671E-2</v>
      </c>
      <c r="J3" s="87" t="e">
        <f>'93'!$L$24/'93'!$R$30</f>
        <v>#DIV/0!</v>
      </c>
      <c r="K3" s="88" t="e">
        <f>'103'!$L$24/'103'!$R$30</f>
        <v>#DIV/0!</v>
      </c>
      <c r="L3" s="137" t="str">
        <f>Lang!$A$204</f>
        <v>max</v>
      </c>
    </row>
    <row r="4" spans="1:13" x14ac:dyDescent="0.25">
      <c r="A4" s="4" t="str">
        <f>Lang!$A$205</f>
        <v>Liquid assets/Bank overdraft</v>
      </c>
      <c r="B4" s="87">
        <f>(Finance!B6-Finance!B10)/Finance!B2</f>
        <v>0.75159419679023931</v>
      </c>
      <c r="C4" s="87">
        <f>(Finance!C6-Finance!C10)/Finance!C2</f>
        <v>0.49765407780201409</v>
      </c>
      <c r="D4" s="87">
        <f>(Finance!D6-Finance!D10)/Finance!D2</f>
        <v>0.44585018330246795</v>
      </c>
      <c r="E4" s="87">
        <f>(Finance!E6-Finance!E10)/Finance!E2</f>
        <v>0.44264502927017391</v>
      </c>
      <c r="F4" s="671">
        <f>(Finance!F6-Finance!F10)/Finance!F2</f>
        <v>0.47956102849696441</v>
      </c>
      <c r="G4" s="678">
        <f>('63'!$R$19-'63'!$R$26)/'63'!$R$30</f>
        <v>0.39356832860955537</v>
      </c>
      <c r="H4" s="87">
        <f>('73'!$R$19-'73'!$R$26)/'73'!$R$30</f>
        <v>0.31645050030260991</v>
      </c>
      <c r="I4" s="87">
        <f>('83'!$R$19-'83'!$R$26)/'83'!$R$30</f>
        <v>0.15808035105392979</v>
      </c>
      <c r="J4" s="87" t="e">
        <f>('93'!$R$19-'93'!$R$26)/'93'!$R$30</f>
        <v>#DIV/0!</v>
      </c>
      <c r="K4" s="88" t="e">
        <f>('103'!$R$19-'103'!$R$26)/'103'!$R$30</f>
        <v>#DIV/0!</v>
      </c>
      <c r="L4" s="61">
        <v>0.2</v>
      </c>
      <c r="M4" s="805"/>
    </row>
    <row r="5" spans="1:13" x14ac:dyDescent="0.25">
      <c r="A5" s="4" t="str">
        <f>Lang!$A$58</f>
        <v>Agents and distributors</v>
      </c>
      <c r="B5" s="86">
        <f>SUM('12'!$M$30:$O$30)-SUM('12'!$M$26:$O$26)</f>
        <v>2</v>
      </c>
      <c r="C5" s="86">
        <f>SUM('22'!$M$30:$O$30)-SUM('22'!$M$26:$O$26)</f>
        <v>1</v>
      </c>
      <c r="D5" s="86">
        <f>SUM('32'!$M$30:$O$30)-SUM('32'!$M$26:$O$26)</f>
        <v>1</v>
      </c>
      <c r="E5" s="86">
        <f>SUM('42'!$M$30:$O$30)-SUM('42'!$M$26:$O$26)</f>
        <v>1</v>
      </c>
      <c r="F5" s="672">
        <f>SUM('52'!$M$30:$O$30)-SUM('52'!$M$26:$O$26)</f>
        <v>0</v>
      </c>
      <c r="G5" s="630">
        <f>SUM('62'!$M$30:$O$30)-SUM('62'!$M$26:$O$26)</f>
        <v>0</v>
      </c>
      <c r="H5" s="86">
        <f>SUM('72'!$M$30:$O$30)-SUM('72'!$M$26:$O$26)</f>
        <v>1</v>
      </c>
      <c r="I5" s="86">
        <f>SUM('82'!$M$30:$O$30)-SUM('82'!$M$26:$O$26)</f>
        <v>4</v>
      </c>
      <c r="J5" s="86">
        <f>SUM('92'!$M$30:$O$30)-SUM('92'!$M$26:$O$26)</f>
        <v>0</v>
      </c>
      <c r="K5" s="89">
        <f>SUM('102'!$M$30:$O$30)-SUM('102'!$M$26:$O$26)</f>
        <v>0</v>
      </c>
      <c r="L5" s="137">
        <v>2</v>
      </c>
    </row>
    <row r="6" spans="1:13" x14ac:dyDescent="0.25">
      <c r="A6" s="862" t="str">
        <f>Lang!$A$176</f>
        <v>Workers</v>
      </c>
      <c r="B6" s="86">
        <f>SUM('12'!$M$30:$O$30)-SUM('12'!$M$26:$O$26)</f>
        <v>2</v>
      </c>
      <c r="C6" s="86">
        <f>SUM('22'!$M$30:$O$30)-SUM('22'!$M$26:$O$26)</f>
        <v>1</v>
      </c>
      <c r="D6" s="86">
        <f>SUM('32'!$M$30:$O$30)-SUM('32'!$M$26:$O$26)</f>
        <v>1</v>
      </c>
      <c r="E6" s="86">
        <f>SUM('42'!$M$30:$O$30)-SUM('42'!$M$26:$O$26)</f>
        <v>1</v>
      </c>
      <c r="F6" s="672">
        <f>SUM('52'!$M$30:$O$30)-SUM('52'!$M$26:$O$26)</f>
        <v>0</v>
      </c>
      <c r="G6" s="630">
        <f>'62'!$N$12-'62'!$N$7</f>
        <v>0</v>
      </c>
      <c r="H6" s="86">
        <f>'72'!$N$12-'72'!$N$7</f>
        <v>12</v>
      </c>
      <c r="I6" s="86">
        <f>'82'!$N$12-'82'!$N$7</f>
        <v>5</v>
      </c>
      <c r="J6" s="86">
        <f>'92'!$N$12-'92'!$N$7</f>
        <v>0</v>
      </c>
      <c r="K6" s="89">
        <f>'102'!$N$12-'102'!$N$7</f>
        <v>0</v>
      </c>
      <c r="L6" s="137">
        <v>20</v>
      </c>
    </row>
    <row r="7" spans="1:13" x14ac:dyDescent="0.25">
      <c r="A7" s="862" t="str">
        <f>Lang!$A$21</f>
        <v>Machines</v>
      </c>
      <c r="B7" s="86">
        <f>SUM('12'!$M$30:$O$30)-SUM('12'!$M$26:$O$26)</f>
        <v>2</v>
      </c>
      <c r="C7" s="86">
        <f>SUM('22'!$M$30:$O$30)-SUM('22'!$M$26:$O$26)</f>
        <v>1</v>
      </c>
      <c r="D7" s="86">
        <f>SUM('32'!$M$30:$O$30)-SUM('32'!$M$26:$O$26)</f>
        <v>1</v>
      </c>
      <c r="E7" s="86">
        <f>SUM('42'!$M$30:$O$30)-SUM('42'!$M$26:$O$26)</f>
        <v>1</v>
      </c>
      <c r="F7" s="672">
        <f>SUM('52'!$M$30:$O$30)-SUM('52'!$M$26:$O$26)</f>
        <v>0</v>
      </c>
      <c r="G7" s="630">
        <f>'62'!$G$21-'62'!$G$19</f>
        <v>1</v>
      </c>
      <c r="H7" s="86">
        <f>'72'!$G$21-'72'!$G$19</f>
        <v>0</v>
      </c>
      <c r="I7" s="86">
        <f>'82'!$G$21-'82'!$G$19</f>
        <v>0</v>
      </c>
      <c r="J7" s="86">
        <f>'92'!$G$21-'92'!$G$19</f>
        <v>0</v>
      </c>
      <c r="K7" s="89">
        <f>'102'!$G$21-'102'!$G$19</f>
        <v>0</v>
      </c>
      <c r="L7" s="137">
        <v>4</v>
      </c>
    </row>
    <row r="8" spans="1:13" x14ac:dyDescent="0.25">
      <c r="A8" s="897" t="str">
        <f>Lang!$A$18</f>
        <v>Backlog of orders</v>
      </c>
      <c r="B8" s="86">
        <f>SUM('12'!$U$27:$Y$28)</f>
        <v>0</v>
      </c>
      <c r="C8" s="86">
        <f>SUM('22'!$U$27:$Y$28)</f>
        <v>0</v>
      </c>
      <c r="D8" s="86">
        <f>SUM('32'!$U$27:$Y$28)</f>
        <v>4</v>
      </c>
      <c r="E8" s="86">
        <f>SUM('42'!$U$27:$Y$28)</f>
        <v>1</v>
      </c>
      <c r="F8" s="672">
        <f>SUM('52'!$U$27:$Y$28)</f>
        <v>28</v>
      </c>
      <c r="G8" s="679">
        <f>SUM('62'!$U$27:$Y$28)</f>
        <v>70</v>
      </c>
      <c r="H8" s="363">
        <f>SUM('72'!$U$27:$Y$28)</f>
        <v>219</v>
      </c>
      <c r="I8" s="363">
        <f>SUM('82'!$U$27:$Y$28)</f>
        <v>341</v>
      </c>
      <c r="J8" s="363">
        <f>SUM('92'!$U$27:$Y$28)</f>
        <v>0</v>
      </c>
      <c r="K8" s="364">
        <f>SUM('102'!$U$27:$Y$28)</f>
        <v>0</v>
      </c>
      <c r="L8" s="137">
        <v>0</v>
      </c>
    </row>
    <row r="9" spans="1:13" x14ac:dyDescent="0.25">
      <c r="A9" s="4" t="str">
        <f>Lang!$A$84</f>
        <v>Market shares</v>
      </c>
      <c r="B9" s="87"/>
      <c r="C9" s="87"/>
      <c r="D9" s="87"/>
      <c r="E9" s="87"/>
      <c r="F9" s="671"/>
      <c r="G9" s="680">
        <f ca="1">OFFSET(Finance!A44,,'61'!$O$5)</f>
        <v>4.3665453710799103</v>
      </c>
      <c r="H9" s="145">
        <f ca="1">OFFSET(Finance!A69,,'61'!$O$5)</f>
        <v>4.5810449876361767</v>
      </c>
      <c r="I9" s="145">
        <f ca="1">OFFSET(Finance!A94,,'61'!$O$5)</f>
        <v>7.063413618377286</v>
      </c>
      <c r="J9" s="145" t="e">
        <f ca="1">OFFSET(Finance!A119,,'61'!$O$5)</f>
        <v>#DIV/0!</v>
      </c>
      <c r="K9" s="146" t="e">
        <f ca="1">OFFSET(Finance!A144,,'61'!$O$5)</f>
        <v>#DIV/0!</v>
      </c>
      <c r="L9" s="137" t="str">
        <f>Lang!$A$204</f>
        <v>max</v>
      </c>
    </row>
    <row r="10" spans="1:13" x14ac:dyDescent="0.25">
      <c r="A10" s="4" t="str">
        <f>Lang!$A$206</f>
        <v>R&amp;D 1</v>
      </c>
      <c r="B10" s="86" t="str">
        <f>History!U2</f>
        <v>None</v>
      </c>
      <c r="C10" s="86" t="str">
        <f>History!U3</f>
        <v>None</v>
      </c>
      <c r="D10" s="86" t="str">
        <f>History!U4</f>
        <v>Minor</v>
      </c>
      <c r="E10" s="86" t="str">
        <f>History!U5</f>
        <v>Minor</v>
      </c>
      <c r="F10" s="672" t="str">
        <f>History!U6</f>
        <v>Major</v>
      </c>
      <c r="G10" s="630" t="str">
        <f>History!U7</f>
        <v>None</v>
      </c>
      <c r="H10" s="86" t="str">
        <f>History!U8</f>
        <v>Major</v>
      </c>
      <c r="I10" s="86" t="str">
        <f>History!U9</f>
        <v>Major</v>
      </c>
      <c r="J10" s="86" t="str">
        <f>History!U10</f>
        <v>0</v>
      </c>
      <c r="K10" s="89" t="str">
        <f>History!U11</f>
        <v>0</v>
      </c>
      <c r="L10" s="1184" t="str">
        <f>Lang!$A$204</f>
        <v>max</v>
      </c>
    </row>
    <row r="11" spans="1:13" x14ac:dyDescent="0.25">
      <c r="A11" s="897" t="str">
        <f>Lang!$A$207</f>
        <v>R&amp;D 2</v>
      </c>
      <c r="B11" s="86" t="str">
        <f>History!U12</f>
        <v>None</v>
      </c>
      <c r="C11" s="86" t="str">
        <f>History!U13</f>
        <v>None</v>
      </c>
      <c r="D11" s="86" t="str">
        <f>History!U14</f>
        <v>Major</v>
      </c>
      <c r="E11" s="86" t="str">
        <f>History!U15</f>
        <v>Minor</v>
      </c>
      <c r="F11" s="672" t="str">
        <f>History!U16</f>
        <v>Minor</v>
      </c>
      <c r="G11" s="630" t="str">
        <f>History!U17</f>
        <v>Minor</v>
      </c>
      <c r="H11" s="86" t="str">
        <f>History!U18</f>
        <v>Major</v>
      </c>
      <c r="I11" s="86" t="str">
        <f>History!U19</f>
        <v>Minor</v>
      </c>
      <c r="J11" s="86" t="str">
        <f>History!U20</f>
        <v>0</v>
      </c>
      <c r="K11" s="89" t="str">
        <f>History!U21</f>
        <v>0</v>
      </c>
      <c r="L11" s="1184"/>
    </row>
    <row r="12" spans="1:13" x14ac:dyDescent="0.25">
      <c r="A12" s="897" t="str">
        <f>Lang!$A$208</f>
        <v>R&amp;D 3</v>
      </c>
      <c r="B12" s="86" t="str">
        <f>History!U22</f>
        <v>None</v>
      </c>
      <c r="C12" s="86" t="str">
        <f>History!U23</f>
        <v>None</v>
      </c>
      <c r="D12" s="86" t="str">
        <f>History!U24</f>
        <v>Minor</v>
      </c>
      <c r="E12" s="86" t="str">
        <f>History!U25</f>
        <v>Minor</v>
      </c>
      <c r="F12" s="672" t="str">
        <f>History!U26</f>
        <v>Minor</v>
      </c>
      <c r="G12" s="630" t="str">
        <f>History!U27</f>
        <v>Minor</v>
      </c>
      <c r="H12" s="86" t="str">
        <f>History!U28</f>
        <v>Major</v>
      </c>
      <c r="I12" s="86" t="str">
        <f>History!U29</f>
        <v>Minor</v>
      </c>
      <c r="J12" s="86" t="str">
        <f>History!U30</f>
        <v>0</v>
      </c>
      <c r="K12" s="89" t="str">
        <f>History!U31</f>
        <v>0</v>
      </c>
      <c r="L12" s="1184"/>
    </row>
    <row r="13" spans="1:13" x14ac:dyDescent="0.25">
      <c r="A13" s="13" t="str">
        <f>Lang!$A$78</f>
        <v>Share price</v>
      </c>
      <c r="B13" s="145">
        <f>Finance!B19</f>
        <v>90.91</v>
      </c>
      <c r="C13" s="145">
        <f>Finance!C19</f>
        <v>95.97</v>
      </c>
      <c r="D13" s="145">
        <f>Finance!D19</f>
        <v>101.6</v>
      </c>
      <c r="E13" s="145">
        <f>Finance!E19</f>
        <v>99.46</v>
      </c>
      <c r="F13" s="673">
        <f>Finance!F19</f>
        <v>104.37</v>
      </c>
      <c r="G13" s="681">
        <f ca="1">OFFSET(Finance!A42,,'61'!$O$5)</f>
        <v>98.54</v>
      </c>
      <c r="H13" s="145">
        <f ca="1">OFFSET(Finance!A67,,'61'!$O$5)</f>
        <v>94.55</v>
      </c>
      <c r="I13" s="145">
        <f ca="1">OFFSET(Finance!A92,,'61'!$O$5)</f>
        <v>105.38</v>
      </c>
      <c r="J13" s="145" t="e">
        <f ca="1">OFFSET(Finance!A117,,'61'!$O$5)</f>
        <v>#DIV/0!</v>
      </c>
      <c r="K13" s="146" t="e">
        <f ca="1">OFFSET(Finance!A142,,'61'!$O$5)</f>
        <v>#DIV/0!</v>
      </c>
      <c r="L13" s="345"/>
    </row>
    <row r="14" spans="1:13" x14ac:dyDescent="0.25">
      <c r="A14" s="13" t="str">
        <f>Lang!$A$164</f>
        <v>Goodwill</v>
      </c>
      <c r="B14" s="145">
        <f>Finance!B20</f>
        <v>97.002923372118673</v>
      </c>
      <c r="C14" s="145">
        <f>Finance!C20</f>
        <v>105.6986635402389</v>
      </c>
      <c r="D14" s="145">
        <f>Finance!D20</f>
        <v>109.71152132949631</v>
      </c>
      <c r="E14" s="145">
        <f>Finance!E20</f>
        <v>107.74283844857246</v>
      </c>
      <c r="F14" s="673">
        <f>Finance!F20</f>
        <v>109.46232414723454</v>
      </c>
      <c r="G14" s="682">
        <f ca="1">IF('1'!N83&gt;0,OFFSET(Finance!A43,,'61'!$O$5),F14)</f>
        <v>102.5006507709523</v>
      </c>
      <c r="H14" s="145">
        <f ca="1">IF('2'!N83&gt;0,OFFSET(Finance!A68,,'61'!$O$5),G14)</f>
        <v>100.48029688181636</v>
      </c>
      <c r="I14" s="145">
        <f ca="1">IF('3'!N83&gt;0,OFFSET(Finance!A93,,'61'!$O$5),H14)</f>
        <v>108.27108148559883</v>
      </c>
      <c r="J14" s="145">
        <f ca="1">IF('4'!N83&gt;0,OFFSET(Finance!A118,,'61'!$O$5),I14)</f>
        <v>108.27108148559883</v>
      </c>
      <c r="K14" s="146">
        <f ca="1">IF('5'!N83&gt;0,OFFSET(Finance!A143,,'61'!$O$5),J14)</f>
        <v>108.27108148559883</v>
      </c>
      <c r="L14" s="345"/>
    </row>
    <row r="15" spans="1:13" x14ac:dyDescent="0.25">
      <c r="A15" s="822" t="str">
        <f>Lang!$A$209</f>
        <v>IP plan</v>
      </c>
      <c r="B15" s="663">
        <f t="shared" ref="B15:K15" si="1">B17+B24+B22</f>
        <v>3636400</v>
      </c>
      <c r="C15" s="663">
        <f t="shared" si="1"/>
        <v>3838800</v>
      </c>
      <c r="D15" s="663">
        <f t="shared" si="1"/>
        <v>4064000</v>
      </c>
      <c r="E15" s="663">
        <f t="shared" si="1"/>
        <v>3978400</v>
      </c>
      <c r="F15" s="674">
        <f t="shared" si="1"/>
        <v>4174800</v>
      </c>
      <c r="G15" s="683">
        <f ca="1">G17+G24+G22</f>
        <v>3941600.0000000005</v>
      </c>
      <c r="H15" s="663">
        <f t="shared" ca="1" si="1"/>
        <v>3782000</v>
      </c>
      <c r="I15" s="663">
        <f ca="1">I17+I24+I22</f>
        <v>4215200</v>
      </c>
      <c r="J15" s="663">
        <f ca="1">J17+J24+J22</f>
        <v>4625911.364189893</v>
      </c>
      <c r="K15" s="664" t="e">
        <f t="shared" ca="1" si="1"/>
        <v>#VALUE!</v>
      </c>
      <c r="L15" s="870"/>
    </row>
    <row r="16" spans="1:13" x14ac:dyDescent="0.25">
      <c r="A16" s="822" t="str">
        <f>Lang!$A$210</f>
        <v>IP actual</v>
      </c>
      <c r="B16" s="663">
        <f>Finance!B18</f>
        <v>3636400</v>
      </c>
      <c r="C16" s="663">
        <f>Finance!C18</f>
        <v>3838800</v>
      </c>
      <c r="D16" s="663">
        <f>Finance!D18</f>
        <v>4064000</v>
      </c>
      <c r="E16" s="663">
        <f>Finance!E18</f>
        <v>3978400</v>
      </c>
      <c r="F16" s="674">
        <f>Finance!F18</f>
        <v>4174800</v>
      </c>
      <c r="G16" s="683">
        <f ca="1">OFFSET(Finance!A41,,'61'!$O$5)</f>
        <v>3941600</v>
      </c>
      <c r="H16" s="663">
        <f ca="1">OFFSET(Finance!A66,,'61'!$O$5)</f>
        <v>3782000</v>
      </c>
      <c r="I16" s="663">
        <f ca="1">OFFSET(Finance!A91,,'61'!$O$5)</f>
        <v>4215200</v>
      </c>
      <c r="J16" s="663" t="e">
        <f ca="1">OFFSET(Finance!A116,,'61'!$O$5)</f>
        <v>#DIV/0!</v>
      </c>
      <c r="K16" s="664" t="e">
        <f ca="1">OFFSET(Finance!A141,,'61'!$O$5)</f>
        <v>#DIV/0!</v>
      </c>
    </row>
    <row r="17" spans="1:18" x14ac:dyDescent="0.25">
      <c r="A17" s="822" t="str">
        <f>Lang!$A$211</f>
        <v>Net assets (IP)</v>
      </c>
      <c r="B17" s="663">
        <f t="shared" ref="B17:K17" si="2">B18*B14/100</f>
        <v>3636400</v>
      </c>
      <c r="C17" s="663">
        <f t="shared" si="2"/>
        <v>3838800</v>
      </c>
      <c r="D17" s="663">
        <f t="shared" si="2"/>
        <v>4064000</v>
      </c>
      <c r="E17" s="663">
        <f t="shared" si="2"/>
        <v>3978400</v>
      </c>
      <c r="F17" s="674">
        <f t="shared" si="2"/>
        <v>4174800</v>
      </c>
      <c r="G17" s="683">
        <f t="shared" ca="1" si="2"/>
        <v>3941600.0000000005</v>
      </c>
      <c r="H17" s="663">
        <f t="shared" ca="1" si="2"/>
        <v>3782000</v>
      </c>
      <c r="I17" s="663">
        <f t="shared" ca="1" si="2"/>
        <v>4215200</v>
      </c>
      <c r="J17" s="663">
        <f t="shared" ca="1" si="2"/>
        <v>4585851.364189893</v>
      </c>
      <c r="K17" s="664" t="e">
        <f t="shared" ca="1" si="2"/>
        <v>#VALUE!</v>
      </c>
    </row>
    <row r="18" spans="1:18" x14ac:dyDescent="0.25">
      <c r="A18" s="822" t="str">
        <f>Lang!$A$134</f>
        <v>Net assets</v>
      </c>
      <c r="B18" s="663">
        <f>Finance!B2</f>
        <v>3748753</v>
      </c>
      <c r="C18" s="663">
        <f>Finance!C2</f>
        <v>3631834</v>
      </c>
      <c r="D18" s="663">
        <f>Finance!D2</f>
        <v>3704260</v>
      </c>
      <c r="E18" s="663">
        <f>Finance!E2</f>
        <v>3692496</v>
      </c>
      <c r="F18" s="674">
        <f>Finance!F2</f>
        <v>3813915</v>
      </c>
      <c r="G18" s="683">
        <f ca="1">IF('1'!N83&gt;0,OFFSET(Finance!A25,,'61'!$O$5),'1'!M80)</f>
        <v>3845439</v>
      </c>
      <c r="H18" s="663">
        <f ca="1">IF('2'!N83&gt;0,OFFSET(Finance!A50,,'61'!$O$5),'2'!M80)</f>
        <v>3763922</v>
      </c>
      <c r="I18" s="663">
        <f ca="1">IF('3'!N83&gt;0,OFFSET(Finance!A75,,'61'!$O$5),'3'!M80)</f>
        <v>3893191</v>
      </c>
      <c r="J18" s="663">
        <f ca="1">IF('4'!N83&gt;0,OFFSET(Finance!A100,,'61'!$O$5),'4'!M80)</f>
        <v>4235527.4384137914</v>
      </c>
      <c r="K18" s="664" t="e">
        <f ca="1">IF('5'!N83&gt;0,OFFSET(Finance!A125,,'61'!$O$5),'5'!M80)</f>
        <v>#VALUE!</v>
      </c>
    </row>
    <row r="19" spans="1:18" x14ac:dyDescent="0.25">
      <c r="A19" s="822" t="str">
        <f>Lang!$A$160</f>
        <v>Share capital</v>
      </c>
      <c r="B19" s="663">
        <f>Finance!B12</f>
        <v>4000000</v>
      </c>
      <c r="C19" s="663">
        <f>Finance!C12</f>
        <v>4000000</v>
      </c>
      <c r="D19" s="663">
        <f>Finance!D12</f>
        <v>4000000</v>
      </c>
      <c r="E19" s="663">
        <f>Finance!E12</f>
        <v>4000000</v>
      </c>
      <c r="F19" s="674">
        <f>Finance!F12</f>
        <v>4000000</v>
      </c>
      <c r="G19" s="683">
        <f ca="1">IF('1'!N83&gt;0,OFFSET(Finance!A35,,'61'!$O$5),'1'!M83)</f>
        <v>4000000</v>
      </c>
      <c r="H19" s="663">
        <f ca="1">IF('2'!N83&gt;0,OFFSET(Finance!A60,,'61'!$O$5),'2'!M83)</f>
        <v>4000000</v>
      </c>
      <c r="I19" s="663">
        <f ca="1">IF('3'!N83&gt;0,OFFSET(Finance!A85,,'61'!$O$5),'3'!M83)</f>
        <v>4000000</v>
      </c>
      <c r="J19" s="663">
        <f ca="1">IF('4'!N83&gt;0,OFFSET(Finance!A110,,'61'!$O$5),'4'!M83)</f>
        <v>4000000</v>
      </c>
      <c r="K19" s="664">
        <f ca="1">IF('5'!N83&gt;0,OFFSET(Finance!A135,,'61'!$O$5),'5'!M83)</f>
        <v>0</v>
      </c>
    </row>
    <row r="20" spans="1:18" x14ac:dyDescent="0.25">
      <c r="A20" s="822" t="str">
        <f>Lang!$A$81</f>
        <v>Issue/repurchase shares</v>
      </c>
      <c r="B20" s="663"/>
      <c r="C20" s="663">
        <f t="shared" ref="C20:K20" si="3">C19-B19</f>
        <v>0</v>
      </c>
      <c r="D20" s="663">
        <f t="shared" si="3"/>
        <v>0</v>
      </c>
      <c r="E20" s="663">
        <f t="shared" si="3"/>
        <v>0</v>
      </c>
      <c r="F20" s="674">
        <f t="shared" si="3"/>
        <v>0</v>
      </c>
      <c r="G20" s="683">
        <f t="shared" ca="1" si="3"/>
        <v>0</v>
      </c>
      <c r="H20" s="663">
        <f t="shared" ca="1" si="3"/>
        <v>0</v>
      </c>
      <c r="I20" s="663">
        <f t="shared" ca="1" si="3"/>
        <v>0</v>
      </c>
      <c r="J20" s="663">
        <f t="shared" ca="1" si="3"/>
        <v>0</v>
      </c>
      <c r="K20" s="664">
        <f t="shared" ca="1" si="3"/>
        <v>-4000000</v>
      </c>
    </row>
    <row r="21" spans="1:18" x14ac:dyDescent="0.25">
      <c r="A21" s="822" t="str">
        <f>Lang!$A$174</f>
        <v>Shares</v>
      </c>
      <c r="B21" s="663"/>
      <c r="C21" s="663">
        <f t="shared" ref="C21:K21" si="4">-C20*B13/100</f>
        <v>0</v>
      </c>
      <c r="D21" s="663">
        <f t="shared" si="4"/>
        <v>0</v>
      </c>
      <c r="E21" s="663">
        <f t="shared" si="4"/>
        <v>0</v>
      </c>
      <c r="F21" s="674">
        <f t="shared" si="4"/>
        <v>0</v>
      </c>
      <c r="G21" s="683">
        <f t="shared" ca="1" si="4"/>
        <v>0</v>
      </c>
      <c r="H21" s="663">
        <f t="shared" ca="1" si="4"/>
        <v>0</v>
      </c>
      <c r="I21" s="663">
        <f t="shared" ca="1" si="4"/>
        <v>0</v>
      </c>
      <c r="J21" s="663">
        <f t="shared" ca="1" si="4"/>
        <v>0</v>
      </c>
      <c r="K21" s="664" t="e">
        <f t="shared" ca="1" si="4"/>
        <v>#DIV/0!</v>
      </c>
    </row>
    <row r="22" spans="1:18" x14ac:dyDescent="0.25">
      <c r="A22" s="822" t="str">
        <f>Lang!$A$212</f>
        <v>Shares (IP)</v>
      </c>
      <c r="B22" s="663"/>
      <c r="C22" s="663">
        <f t="shared" ref="C22:K22" si="5">(B22+C21)*(1+C25/100/4)</f>
        <v>0</v>
      </c>
      <c r="D22" s="663">
        <f t="shared" si="5"/>
        <v>0</v>
      </c>
      <c r="E22" s="663">
        <f t="shared" si="5"/>
        <v>0</v>
      </c>
      <c r="F22" s="674">
        <f t="shared" si="5"/>
        <v>0</v>
      </c>
      <c r="G22" s="683">
        <f t="shared" ca="1" si="5"/>
        <v>0</v>
      </c>
      <c r="H22" s="663">
        <f t="shared" ca="1" si="5"/>
        <v>0</v>
      </c>
      <c r="I22" s="663">
        <f t="shared" ca="1" si="5"/>
        <v>0</v>
      </c>
      <c r="J22" s="663">
        <f t="shared" ca="1" si="5"/>
        <v>0</v>
      </c>
      <c r="K22" s="664" t="e">
        <f t="shared" ca="1" si="5"/>
        <v>#DIV/0!</v>
      </c>
    </row>
    <row r="23" spans="1:18" x14ac:dyDescent="0.25">
      <c r="A23" s="822" t="str">
        <f>Lang!$A$85</f>
        <v>Dividends</v>
      </c>
      <c r="B23" s="663"/>
      <c r="C23" s="663">
        <f>Finance!C7</f>
        <v>0</v>
      </c>
      <c r="D23" s="663">
        <f>Finance!D7</f>
        <v>0</v>
      </c>
      <c r="E23" s="663">
        <f>Finance!E7</f>
        <v>0</v>
      </c>
      <c r="F23" s="674">
        <f>Finance!F7</f>
        <v>0</v>
      </c>
      <c r="G23" s="683">
        <f>'1'!H80</f>
        <v>0</v>
      </c>
      <c r="H23" s="663">
        <f>'2'!H80</f>
        <v>0</v>
      </c>
      <c r="I23" s="663">
        <f>'3'!H80</f>
        <v>0</v>
      </c>
      <c r="J23" s="663">
        <f>'4'!H80</f>
        <v>40000</v>
      </c>
      <c r="K23" s="664">
        <f>'5'!H80</f>
        <v>0</v>
      </c>
      <c r="L23" s="805"/>
    </row>
    <row r="24" spans="1:18" x14ac:dyDescent="0.25">
      <c r="A24" s="821" t="str">
        <f>Lang!$A$213</f>
        <v>Dividends (IP)</v>
      </c>
      <c r="B24" s="663"/>
      <c r="C24" s="663">
        <f>(B24+C23)*(1+C25/100/4)</f>
        <v>0</v>
      </c>
      <c r="D24" s="663">
        <f t="shared" ref="D24:I24" si="6">(C24+D23)*(1+D25/100/4)</f>
        <v>0</v>
      </c>
      <c r="E24" s="663">
        <f t="shared" si="6"/>
        <v>0</v>
      </c>
      <c r="F24" s="674">
        <f t="shared" si="6"/>
        <v>0</v>
      </c>
      <c r="G24" s="683">
        <f>(F24+G23)*(1+G25/100/4)</f>
        <v>0</v>
      </c>
      <c r="H24" s="663">
        <f t="shared" si="6"/>
        <v>0</v>
      </c>
      <c r="I24" s="663">
        <f t="shared" si="6"/>
        <v>0</v>
      </c>
      <c r="J24" s="663">
        <f>(I24+J23)*(1+J25/100/4)</f>
        <v>40060</v>
      </c>
      <c r="K24" s="664">
        <f>(J24+K23)*(1+K25/100/4)</f>
        <v>40120.090000000004</v>
      </c>
    </row>
    <row r="25" spans="1:18" ht="13.8" thickBot="1" x14ac:dyDescent="0.3">
      <c r="A25" s="15" t="str">
        <f>Lang!$A$80</f>
        <v>Bank base rate</v>
      </c>
      <c r="B25" s="618"/>
      <c r="C25" s="618">
        <f>History!Q29</f>
        <v>0.5</v>
      </c>
      <c r="D25" s="618">
        <f>History!Q30</f>
        <v>0.5</v>
      </c>
      <c r="E25" s="618">
        <f>History!Q31</f>
        <v>0.6</v>
      </c>
      <c r="F25" s="675">
        <f>History!Q32</f>
        <v>0.5</v>
      </c>
      <c r="G25" s="684">
        <f>History!Q33</f>
        <v>0.5</v>
      </c>
      <c r="H25" s="618">
        <f>History!Q34</f>
        <v>0.5</v>
      </c>
      <c r="I25" s="618">
        <f>History!Q35</f>
        <v>0.5</v>
      </c>
      <c r="J25" s="618">
        <f>History!Q36</f>
        <v>0.6</v>
      </c>
      <c r="K25" s="619">
        <f>History!Q37</f>
        <v>0.6</v>
      </c>
    </row>
    <row r="26" spans="1:18" ht="13.8" thickBot="1" x14ac:dyDescent="0.3">
      <c r="O26" s="3"/>
      <c r="P26" s="3"/>
      <c r="Q26" s="3"/>
    </row>
    <row r="27" spans="1:18" x14ac:dyDescent="0.25">
      <c r="C27" s="3"/>
      <c r="D27" s="3"/>
      <c r="E27" s="1185" t="str">
        <f>Lang!$A$198</f>
        <v>Finance</v>
      </c>
      <c r="F27" s="1186"/>
      <c r="G27" s="690">
        <f>G1</f>
        <v>3</v>
      </c>
      <c r="H27" s="90">
        <f>H1</f>
        <v>4</v>
      </c>
      <c r="I27" s="90">
        <f>I1</f>
        <v>1</v>
      </c>
      <c r="J27" s="90">
        <f>J1</f>
        <v>2</v>
      </c>
      <c r="K27" s="91">
        <f>K1</f>
        <v>3</v>
      </c>
      <c r="N27" s="3"/>
      <c r="O27" s="3"/>
      <c r="P27" s="3"/>
      <c r="Q27" s="3"/>
      <c r="R27" s="3"/>
    </row>
    <row r="28" spans="1:18" x14ac:dyDescent="0.25">
      <c r="B28" s="3"/>
      <c r="C28" s="3"/>
      <c r="D28" s="3"/>
      <c r="E28" s="1107" t="str">
        <f>Lang!$A$85</f>
        <v>Dividends</v>
      </c>
      <c r="F28" s="1108"/>
      <c r="G28" s="691">
        <f>Config!E8</f>
        <v>0</v>
      </c>
      <c r="H28" s="689">
        <f>Config!E9</f>
        <v>0</v>
      </c>
      <c r="I28" s="689">
        <f>Config!E10</f>
        <v>0.02</v>
      </c>
      <c r="J28" s="688">
        <f>Config!E11</f>
        <v>0.06</v>
      </c>
      <c r="K28" s="687">
        <f>Config!E12</f>
        <v>0.1</v>
      </c>
      <c r="M28" s="3"/>
      <c r="N28" s="3"/>
      <c r="O28" s="3"/>
      <c r="Q28" s="3"/>
    </row>
    <row r="29" spans="1:18" ht="12" customHeight="1" x14ac:dyDescent="0.25">
      <c r="E29" s="1107" t="str">
        <f>Lang!$A$81</f>
        <v>Issue/repurchase shares</v>
      </c>
      <c r="F29" s="1108"/>
      <c r="G29" s="691">
        <f>Config!E21</f>
        <v>0.1</v>
      </c>
      <c r="H29" s="689">
        <f>Config!E22</f>
        <v>0</v>
      </c>
      <c r="I29" s="689">
        <f>Config!E23</f>
        <v>0</v>
      </c>
      <c r="J29" s="689">
        <f>Config!E24</f>
        <v>0</v>
      </c>
      <c r="K29" s="692">
        <f>Config!E25</f>
        <v>0.1</v>
      </c>
      <c r="Q29" s="3"/>
      <c r="R29" s="3"/>
    </row>
    <row r="30" spans="1:18" ht="13.8" thickBot="1" x14ac:dyDescent="0.3">
      <c r="C30" s="3"/>
      <c r="D30" s="3"/>
      <c r="E30" s="1135" t="str">
        <f>Lang!$A$160</f>
        <v>Share capital</v>
      </c>
      <c r="F30" s="1136"/>
      <c r="G30" s="785">
        <f>1+G29</f>
        <v>1.1000000000000001</v>
      </c>
      <c r="H30" s="786">
        <f>G30+H29</f>
        <v>1.1000000000000001</v>
      </c>
      <c r="I30" s="786">
        <f>H30+I29</f>
        <v>1.1000000000000001</v>
      </c>
      <c r="J30" s="787">
        <f>I30+J29</f>
        <v>1.1000000000000001</v>
      </c>
      <c r="K30" s="788">
        <f>J30+K29</f>
        <v>1.2000000000000002</v>
      </c>
      <c r="N30" s="3"/>
      <c r="O30" s="3"/>
    </row>
    <row r="31" spans="1:18" ht="13.8" thickBot="1" x14ac:dyDescent="0.3"/>
    <row r="32" spans="1:18" x14ac:dyDescent="0.25">
      <c r="E32" s="1176" t="str">
        <f>Lang!$A$85</f>
        <v>Dividends</v>
      </c>
      <c r="F32" s="1177"/>
      <c r="G32" s="790">
        <f>G1</f>
        <v>3</v>
      </c>
      <c r="H32" s="790">
        <f>H1</f>
        <v>4</v>
      </c>
      <c r="I32" s="790">
        <f>I1</f>
        <v>1</v>
      </c>
      <c r="J32" s="790">
        <f>J1</f>
        <v>2</v>
      </c>
      <c r="K32" s="824">
        <f>K1</f>
        <v>3</v>
      </c>
      <c r="L32" s="828">
        <v>0.3</v>
      </c>
    </row>
    <row r="33" spans="5:12" x14ac:dyDescent="0.25">
      <c r="E33" s="1124" t="str">
        <f>Lang!$A$214</f>
        <v>Proportions</v>
      </c>
      <c r="F33" s="1125"/>
      <c r="G33" s="804">
        <v>1</v>
      </c>
      <c r="H33" s="804">
        <f>G33*1.5</f>
        <v>1.5</v>
      </c>
      <c r="I33" s="804">
        <f>H33*1.5</f>
        <v>2.25</v>
      </c>
      <c r="J33" s="804">
        <f>I33*1.5</f>
        <v>3.375</v>
      </c>
      <c r="K33" s="825">
        <f>J33*1.5</f>
        <v>5.0625</v>
      </c>
      <c r="L33" s="829">
        <f>SUM(G33:K33)</f>
        <v>13.1875</v>
      </c>
    </row>
    <row r="34" spans="5:12" x14ac:dyDescent="0.25">
      <c r="E34" s="1124" t="str">
        <f>Lang!$A$215</f>
        <v>Percents</v>
      </c>
      <c r="F34" s="1125"/>
      <c r="G34" s="689">
        <f>ROUND($L$32/$L$33*G$33,2)</f>
        <v>0.02</v>
      </c>
      <c r="H34" s="689">
        <f>ROUND($L$32/$L$33*H$33,2)</f>
        <v>0.03</v>
      </c>
      <c r="I34" s="689">
        <f>ROUND($L$32/$L$33*I$33,2)</f>
        <v>0.05</v>
      </c>
      <c r="J34" s="689">
        <f>ROUND($L$32/$L$33*J$33,2)</f>
        <v>0.08</v>
      </c>
      <c r="K34" s="826">
        <f>ROUND($L$32/$L$33*K$33,2)</f>
        <v>0.12</v>
      </c>
      <c r="L34" s="830">
        <f>SUM(G34:K34)</f>
        <v>0.3</v>
      </c>
    </row>
    <row r="35" spans="5:12" ht="13.8" thickBot="1" x14ac:dyDescent="0.3">
      <c r="E35" s="1182" t="str">
        <f>Lang!$A$175</f>
        <v>Amount</v>
      </c>
      <c r="F35" s="1183"/>
      <c r="G35" s="803">
        <f ca="1">G34*G19</f>
        <v>80000</v>
      </c>
      <c r="H35" s="803">
        <f ca="1">H34*H19</f>
        <v>120000</v>
      </c>
      <c r="I35" s="803">
        <f ca="1">I34*I19</f>
        <v>200000</v>
      </c>
      <c r="J35" s="803">
        <f ca="1">J34*J19</f>
        <v>320000</v>
      </c>
      <c r="K35" s="827">
        <f ca="1">K34*K19</f>
        <v>0</v>
      </c>
      <c r="L35" s="831">
        <f ca="1">SUM(G35:K35)</f>
        <v>720000</v>
      </c>
    </row>
    <row r="36" spans="5:12" ht="13.8" thickBot="1" x14ac:dyDescent="0.3"/>
    <row r="37" spans="5:12" x14ac:dyDescent="0.25">
      <c r="E37" s="1176" t="str">
        <f>Lang!$A$216</f>
        <v>Calculate dividends</v>
      </c>
      <c r="F37" s="1177"/>
      <c r="G37" s="1177"/>
      <c r="H37" s="1178"/>
    </row>
    <row r="38" spans="5:12" x14ac:dyDescent="0.25">
      <c r="E38" s="1170" t="str">
        <f>Lang!$A$217</f>
        <v>Cash in 5 period</v>
      </c>
      <c r="F38" s="1171"/>
      <c r="G38" s="1171"/>
      <c r="H38" s="364" t="e">
        <f ca="1">Strategy!W327</f>
        <v>#DIV/0!</v>
      </c>
    </row>
    <row r="39" spans="5:12" x14ac:dyDescent="0.25">
      <c r="E39" s="1170" t="str">
        <f>Lang!$A$218</f>
        <v>Liquid assets in 5 period</v>
      </c>
      <c r="F39" s="1171"/>
      <c r="G39" s="1171"/>
      <c r="H39" s="789" t="e">
        <f ca="1">Strategy!Y327</f>
        <v>#DIV/0!</v>
      </c>
    </row>
    <row r="40" spans="5:12" x14ac:dyDescent="0.25">
      <c r="E40" s="1170" t="str">
        <f>Lang!$A$219</f>
        <v>Total dividends for 5 periods</v>
      </c>
      <c r="F40" s="1171"/>
      <c r="G40" s="1171"/>
      <c r="H40" s="364">
        <f ca="1">Strategy!C310+Strategy!H310+Strategy!M310+Strategy!R310+Strategy!W310</f>
        <v>0</v>
      </c>
    </row>
    <row r="41" spans="5:12" x14ac:dyDescent="0.25">
      <c r="E41" s="1170" t="str">
        <f>Lang!$A$219</f>
        <v>Total dividends for 5 periods</v>
      </c>
      <c r="F41" s="1171"/>
      <c r="G41" s="1171"/>
      <c r="H41" s="687">
        <f>Strategy!C193+Strategy!H193+Strategy!M193+Strategy!R193+Strategy!W193</f>
        <v>0</v>
      </c>
    </row>
    <row r="42" spans="5:12" x14ac:dyDescent="0.25">
      <c r="E42" s="1179" t="str">
        <f>Lang!$A$220</f>
        <v>Optimum cash</v>
      </c>
      <c r="F42" s="1180"/>
      <c r="G42" s="1181"/>
      <c r="H42" s="832" t="e">
        <f ca="1">H38/H39*L4</f>
        <v>#DIV/0!</v>
      </c>
      <c r="I42" s="823"/>
    </row>
    <row r="43" spans="5:12" x14ac:dyDescent="0.25">
      <c r="E43" s="1172" t="str">
        <f>Lang!$A$221</f>
        <v>"Extra" cash</v>
      </c>
      <c r="F43" s="1173"/>
      <c r="G43" s="1173"/>
      <c r="H43" s="833" t="e">
        <f ca="1">H38-H42</f>
        <v>#DIV/0!</v>
      </c>
    </row>
    <row r="44" spans="5:12" ht="13.8" thickBot="1" x14ac:dyDescent="0.3">
      <c r="E44" s="1174" t="str">
        <f>Lang!$A$222</f>
        <v>"Extra" dividends</v>
      </c>
      <c r="F44" s="1175"/>
      <c r="G44" s="1175"/>
      <c r="H44" s="834" t="e">
        <f ca="1">H41/H40*H43</f>
        <v>#DIV/0!</v>
      </c>
    </row>
  </sheetData>
  <mergeCells count="17">
    <mergeCell ref="E35:F35"/>
    <mergeCell ref="E32:F32"/>
    <mergeCell ref="E34:F34"/>
    <mergeCell ref="E33:F33"/>
    <mergeCell ref="L10:L12"/>
    <mergeCell ref="E27:F27"/>
    <mergeCell ref="E28:F28"/>
    <mergeCell ref="E29:F29"/>
    <mergeCell ref="E30:F30"/>
    <mergeCell ref="E41:G41"/>
    <mergeCell ref="E43:G43"/>
    <mergeCell ref="E44:G44"/>
    <mergeCell ref="E37:H37"/>
    <mergeCell ref="E38:G38"/>
    <mergeCell ref="E39:G39"/>
    <mergeCell ref="E40:G40"/>
    <mergeCell ref="E42:G42"/>
  </mergeCells>
  <conditionalFormatting sqref="B13:K13">
    <cfRule type="colorScale" priority="89">
      <colorScale>
        <cfvo type="min"/>
        <cfvo type="percentile" val="50"/>
        <cfvo type="max"/>
        <color rgb="FFF8696B"/>
        <color rgb="FFFFEB84"/>
        <color rgb="FF63BE7B"/>
      </colorScale>
    </cfRule>
  </conditionalFormatting>
  <conditionalFormatting sqref="B14:K14">
    <cfRule type="colorScale" priority="68">
      <colorScale>
        <cfvo type="min"/>
        <cfvo type="percentile" val="50"/>
        <cfvo type="max"/>
        <color rgb="FFF8696B"/>
        <color rgb="FFFFEB84"/>
        <color rgb="FF63BE7B"/>
      </colorScale>
    </cfRule>
  </conditionalFormatting>
  <conditionalFormatting sqref="B2:K2">
    <cfRule type="cellIs" dxfId="287" priority="55" operator="greaterThan">
      <formula>0</formula>
    </cfRule>
  </conditionalFormatting>
  <conditionalFormatting sqref="B3:K3">
    <cfRule type="cellIs" dxfId="286" priority="54" operator="greaterThan">
      <formula>0</formula>
    </cfRule>
  </conditionalFormatting>
  <conditionalFormatting sqref="B5:K5">
    <cfRule type="cellIs" dxfId="285" priority="48" operator="greaterThanOrEqual">
      <formula>$L$5</formula>
    </cfRule>
  </conditionalFormatting>
  <conditionalFormatting sqref="B8:K8">
    <cfRule type="cellIs" dxfId="284" priority="47" operator="greaterThan">
      <formula>$L$8</formula>
    </cfRule>
  </conditionalFormatting>
  <conditionalFormatting sqref="G9:K9">
    <cfRule type="colorScale" priority="46">
      <colorScale>
        <cfvo type="min"/>
        <cfvo type="percentile" val="50"/>
        <cfvo type="max"/>
        <color rgb="FFF8696B"/>
        <color rgb="FFFFEB84"/>
        <color rgb="FF63BE7B"/>
      </colorScale>
    </cfRule>
  </conditionalFormatting>
  <conditionalFormatting sqref="B16:K16">
    <cfRule type="colorScale" priority="37">
      <colorScale>
        <cfvo type="min"/>
        <cfvo type="percentile" val="50"/>
        <cfvo type="max"/>
        <color rgb="FFF8696B"/>
        <color rgb="FFFFEB84"/>
        <color rgb="FF63BE7B"/>
      </colorScale>
    </cfRule>
  </conditionalFormatting>
  <conditionalFormatting sqref="B19:K19">
    <cfRule type="colorScale" priority="36">
      <colorScale>
        <cfvo type="min"/>
        <cfvo type="percentile" val="50"/>
        <cfvo type="max"/>
        <color rgb="FFF8696B"/>
        <color rgb="FFFFEB84"/>
        <color rgb="FF63BE7B"/>
      </colorScale>
    </cfRule>
  </conditionalFormatting>
  <conditionalFormatting sqref="B23:K23">
    <cfRule type="colorScale" priority="33">
      <colorScale>
        <cfvo type="min"/>
        <cfvo type="percentile" val="50"/>
        <cfvo type="max"/>
        <color rgb="FFF8696B"/>
        <color rgb="FFFFEB84"/>
        <color rgb="FF63BE7B"/>
      </colorScale>
    </cfRule>
  </conditionalFormatting>
  <conditionalFormatting sqref="B15:K15">
    <cfRule type="colorScale" priority="25">
      <colorScale>
        <cfvo type="min"/>
        <cfvo type="percentile" val="50"/>
        <cfvo type="max"/>
        <color rgb="FFF8696B"/>
        <color rgb="FFFFEB84"/>
        <color rgb="FF63BE7B"/>
      </colorScale>
    </cfRule>
  </conditionalFormatting>
  <conditionalFormatting sqref="B18:K18">
    <cfRule type="colorScale" priority="35">
      <colorScale>
        <cfvo type="min"/>
        <cfvo type="percentile" val="50"/>
        <cfvo type="max"/>
        <color rgb="FFF8696B"/>
        <color rgb="FFFFEB84"/>
        <color rgb="FF63BE7B"/>
      </colorScale>
    </cfRule>
  </conditionalFormatting>
  <conditionalFormatting sqref="B17:K17">
    <cfRule type="colorScale" priority="32">
      <colorScale>
        <cfvo type="min"/>
        <cfvo type="percentile" val="50"/>
        <cfvo type="max"/>
        <color rgb="FFF8696B"/>
        <color rgb="FFFFEB84"/>
        <color rgb="FF63BE7B"/>
      </colorScale>
    </cfRule>
  </conditionalFormatting>
  <conditionalFormatting sqref="B25:K25">
    <cfRule type="colorScale" priority="31">
      <colorScale>
        <cfvo type="min"/>
        <cfvo type="percentile" val="50"/>
        <cfvo type="max"/>
        <color rgb="FFF8696B"/>
        <color rgb="FFFFEB84"/>
        <color rgb="FF63BE7B"/>
      </colorScale>
    </cfRule>
  </conditionalFormatting>
  <conditionalFormatting sqref="B24:K24">
    <cfRule type="colorScale" priority="30">
      <colorScale>
        <cfvo type="min"/>
        <cfvo type="percentile" val="50"/>
        <cfvo type="max"/>
        <color rgb="FFF8696B"/>
        <color rgb="FFFFEB84"/>
        <color rgb="FF63BE7B"/>
      </colorScale>
    </cfRule>
  </conditionalFormatting>
  <conditionalFormatting sqref="B20:K20">
    <cfRule type="colorScale" priority="28">
      <colorScale>
        <cfvo type="min"/>
        <cfvo type="percentile" val="50"/>
        <cfvo type="max"/>
        <color rgb="FFF8696B"/>
        <color rgb="FFFFEB84"/>
        <color rgb="FF63BE7B"/>
      </colorScale>
    </cfRule>
  </conditionalFormatting>
  <conditionalFormatting sqref="B21:K21">
    <cfRule type="colorScale" priority="27">
      <colorScale>
        <cfvo type="min"/>
        <cfvo type="percentile" val="50"/>
        <cfvo type="max"/>
        <color rgb="FFF8696B"/>
        <color rgb="FFFFEB84"/>
        <color rgb="FF63BE7B"/>
      </colorScale>
    </cfRule>
  </conditionalFormatting>
  <conditionalFormatting sqref="B22:K22">
    <cfRule type="colorScale" priority="26">
      <colorScale>
        <cfvo type="min"/>
        <cfvo type="percentile" val="50"/>
        <cfvo type="max"/>
        <color rgb="FFF8696B"/>
        <color rgb="FFFFEB84"/>
        <color rgb="FF63BE7B"/>
      </colorScale>
    </cfRule>
  </conditionalFormatting>
  <conditionalFormatting sqref="B4:K4">
    <cfRule type="cellIs" dxfId="283" priority="24" operator="lessThan">
      <formula>0</formula>
    </cfRule>
  </conditionalFormatting>
  <conditionalFormatting sqref="G29:K29">
    <cfRule type="cellIs" dxfId="282" priority="18" operator="lessThan">
      <formula>0</formula>
    </cfRule>
    <cfRule type="cellIs" dxfId="281" priority="19" operator="greaterThan">
      <formula>0</formula>
    </cfRule>
  </conditionalFormatting>
  <conditionalFormatting sqref="G28:K28">
    <cfRule type="cellIs" dxfId="280" priority="17" operator="greaterThan">
      <formula>0</formula>
    </cfRule>
  </conditionalFormatting>
  <conditionalFormatting sqref="G30:K30">
    <cfRule type="colorScale" priority="12">
      <colorScale>
        <cfvo type="min"/>
        <cfvo type="percentile" val="50"/>
        <cfvo type="max"/>
        <color rgb="FFF8696B"/>
        <color rgb="FFFFEB84"/>
        <color rgb="FF63BE7B"/>
      </colorScale>
    </cfRule>
  </conditionalFormatting>
  <conditionalFormatting sqref="B6:K6">
    <cfRule type="cellIs" dxfId="279" priority="3" operator="greaterThanOrEqual">
      <formula>$L$5</formula>
    </cfRule>
  </conditionalFormatting>
  <conditionalFormatting sqref="B7:K7">
    <cfRule type="cellIs" dxfId="278" priority="2" operator="greaterThanOrEqual">
      <formula>$L$5</formula>
    </cfRule>
  </conditionalFormatting>
  <conditionalFormatting sqref="G7:K7">
    <cfRule type="cellIs" dxfId="277" priority="1" operator="greaterThan">
      <formula>0</formula>
    </cfRule>
  </conditionalFormatting>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6"/>
  <dimension ref="A1:AL590"/>
  <sheetViews>
    <sheetView topLeftCell="F1" zoomScale="80" zoomScaleNormal="80" workbookViewId="0">
      <selection activeCell="S388" sqref="S388"/>
    </sheetView>
  </sheetViews>
  <sheetFormatPr baseColWidth="10" defaultColWidth="9.109375" defaultRowHeight="13.2" x14ac:dyDescent="0.25"/>
  <cols>
    <col min="1" max="25" width="10.44140625" style="3" customWidth="1"/>
    <col min="26" max="26" width="10.44140625" style="2" customWidth="1"/>
    <col min="27" max="27" width="10.44140625" style="8" customWidth="1"/>
    <col min="28" max="29" width="10.44140625" style="3" customWidth="1"/>
    <col min="30" max="30" width="10.33203125" style="3" customWidth="1"/>
    <col min="31" max="45" width="10.44140625" style="3" customWidth="1"/>
    <col min="46" max="16384" width="9.109375" style="3"/>
  </cols>
  <sheetData>
    <row r="1" spans="1:29" ht="12.9" customHeight="1" x14ac:dyDescent="0.25">
      <c r="A1" s="1141" t="str">
        <f>Lang!$A$4</f>
        <v>Total demand</v>
      </c>
      <c r="B1" s="1142"/>
      <c r="C1" s="1143"/>
      <c r="F1" s="1100" t="str">
        <f>A1</f>
        <v>Total demand</v>
      </c>
      <c r="G1" s="1101"/>
      <c r="H1" s="1102"/>
      <c r="K1" s="1100" t="str">
        <f>A1</f>
        <v>Total demand</v>
      </c>
      <c r="L1" s="1101"/>
      <c r="M1" s="1102"/>
      <c r="P1" s="1080" t="str">
        <f>A1</f>
        <v>Total demand</v>
      </c>
      <c r="Q1" s="1081"/>
      <c r="R1" s="1103"/>
      <c r="U1" s="1100" t="str">
        <f>A1</f>
        <v>Total demand</v>
      </c>
      <c r="V1" s="1101"/>
      <c r="W1" s="1102"/>
      <c r="Z1" s="1131" t="str">
        <f>IF(AB1=4,"Taxes","")</f>
        <v/>
      </c>
      <c r="AA1" s="1132"/>
      <c r="AB1" s="809">
        <f>'11'!S9</f>
        <v>2</v>
      </c>
      <c r="AC1" s="1114">
        <f>SUM(Z2:AB4)</f>
        <v>0</v>
      </c>
    </row>
    <row r="2" spans="1:29" ht="12.9" customHeight="1" x14ac:dyDescent="0.25">
      <c r="A2" s="900">
        <f t="shared" ref="A2:C4" ca="1" si="0">A67+A7+A12+A22+A27+A32+A37+A17+A52+A57+A62+A72+A77+A82+A87+A92</f>
        <v>-1.1140969461769443E-3</v>
      </c>
      <c r="B2" s="901">
        <f t="shared" ca="1" si="0"/>
        <v>-3.106723951919705E-2</v>
      </c>
      <c r="C2" s="902">
        <f t="shared" ca="1" si="0"/>
        <v>-0.29605609414015022</v>
      </c>
      <c r="D2" s="617">
        <f ca="1">SUM(A2:C4)</f>
        <v>4.1087167216390421</v>
      </c>
      <c r="E2" s="617">
        <f ca="1">SUM('1'!N2:P4)</f>
        <v>3.3110999194857689</v>
      </c>
      <c r="F2" s="900">
        <f t="shared" ref="F2:H4" ca="1" si="1">F67+F7+F12+F22+F27+F32+F37+F17+F52+F57+F62+F72+F77+F82+F87+F92</f>
        <v>0.20603209556549495</v>
      </c>
      <c r="G2" s="901">
        <f t="shared" ca="1" si="1"/>
        <v>8.433694733076276E-2</v>
      </c>
      <c r="H2" s="902">
        <f t="shared" ca="1" si="1"/>
        <v>1.0082496993440937E-2</v>
      </c>
      <c r="I2" s="617">
        <f ca="1">SUM(F2:H4)</f>
        <v>4.0205095425810775</v>
      </c>
      <c r="J2" s="617">
        <f ca="1">SUM('2'!N2:P4)</f>
        <v>2.9532419108683983</v>
      </c>
      <c r="K2" s="900">
        <f t="shared" ref="K2:M4" ca="1" si="2">K67+K7+K12+K22+K27+K32+K37+K17+K52+K57+K62+K72+K77+K82+K87+K92</f>
        <v>0.24785884044891865</v>
      </c>
      <c r="L2" s="901">
        <f t="shared" ca="1" si="2"/>
        <v>6.4274698232755903E-2</v>
      </c>
      <c r="M2" s="902">
        <f t="shared" ca="1" si="2"/>
        <v>0.13215491670938884</v>
      </c>
      <c r="N2" s="617">
        <f ca="1">SUM(K2:M4)</f>
        <v>0.86707195377523238</v>
      </c>
      <c r="O2" s="617">
        <f ca="1">SUM('3'!N2:P4)</f>
        <v>2.5339130225260482</v>
      </c>
      <c r="P2" s="900">
        <f t="shared" ref="P2:R4" ca="1" si="3">P67+P7+P12+P22+P27+P32+P37+P17+P52+P57+P62+P72+P77+P82+P87+P92</f>
        <v>9.4227296387804915E-2</v>
      </c>
      <c r="Q2" s="901">
        <f t="shared" ca="1" si="3"/>
        <v>0.27058259185960454</v>
      </c>
      <c r="R2" s="902">
        <f t="shared" ca="1" si="3"/>
        <v>0.13940648523860433</v>
      </c>
      <c r="S2" s="617">
        <f ca="1">SUM(P2:R4)</f>
        <v>1.3260827435186231</v>
      </c>
      <c r="T2" s="617">
        <f ca="1">SUM('4'!N2:P4)</f>
        <v>2.7644676061750499</v>
      </c>
      <c r="U2" s="900">
        <f t="shared" ref="U2:W4" ca="1" si="4">U67+U7+U12+U22+U27+U32+U37+U17+U52+U57+U62+U72+U77+U82+U87+U92</f>
        <v>-0.11916220098151192</v>
      </c>
      <c r="V2" s="901">
        <f t="shared" ca="1" si="4"/>
        <v>-0.20028841162350425</v>
      </c>
      <c r="W2" s="902">
        <f t="shared" ca="1" si="4"/>
        <v>-0.28920244831408193</v>
      </c>
      <c r="X2" s="617">
        <f ca="1">SUM(U2:W4)</f>
        <v>-1.1296761575413468</v>
      </c>
      <c r="Y2" s="617" t="e">
        <f ca="1">SUM('5'!N2:P4)</f>
        <v>#VALUE!</v>
      </c>
      <c r="Z2" s="638">
        <f>'12'!$U$17</f>
        <v>0</v>
      </c>
      <c r="AA2" s="639">
        <f>'12'!$W$17</f>
        <v>0</v>
      </c>
      <c r="AB2" s="640">
        <f>'12'!$Y$17</f>
        <v>0</v>
      </c>
      <c r="AC2" s="1114"/>
    </row>
    <row r="3" spans="1:29" ht="12.9" customHeight="1" x14ac:dyDescent="0.25">
      <c r="A3" s="900">
        <f t="shared" ca="1" si="0"/>
        <v>1.2867397911934446</v>
      </c>
      <c r="B3" s="901">
        <f t="shared" ca="1" si="0"/>
        <v>0.70223009099843636</v>
      </c>
      <c r="C3" s="902">
        <f t="shared" ca="1" si="0"/>
        <v>0.25761638621504868</v>
      </c>
      <c r="D3" s="617"/>
      <c r="E3" s="617"/>
      <c r="F3" s="900">
        <f t="shared" ca="1" si="1"/>
        <v>1.5643412979994236</v>
      </c>
      <c r="G3" s="901">
        <f t="shared" ca="1" si="1"/>
        <v>1.170228492670601</v>
      </c>
      <c r="H3" s="902">
        <f t="shared" ca="1" si="1"/>
        <v>1.3466894362791832</v>
      </c>
      <c r="I3" s="617"/>
      <c r="J3" s="617"/>
      <c r="K3" s="900">
        <f t="shared" ca="1" si="2"/>
        <v>0.26607975026102876</v>
      </c>
      <c r="L3" s="901">
        <f t="shared" ca="1" si="2"/>
        <v>3.4610047569671454E-2</v>
      </c>
      <c r="M3" s="902">
        <f t="shared" ca="1" si="2"/>
        <v>0.21112069030912775</v>
      </c>
      <c r="N3" s="617"/>
      <c r="O3" s="617"/>
      <c r="P3" s="900">
        <f t="shared" ca="1" si="3"/>
        <v>-7.5887336709750758E-2</v>
      </c>
      <c r="Q3" s="901">
        <f t="shared" ca="1" si="3"/>
        <v>0.24132022964891672</v>
      </c>
      <c r="R3" s="902">
        <f t="shared" ca="1" si="3"/>
        <v>0.13956037843346336</v>
      </c>
      <c r="S3" s="617"/>
      <c r="T3" s="617"/>
      <c r="U3" s="900">
        <f t="shared" ca="1" si="4"/>
        <v>-8.9083218595767399E-3</v>
      </c>
      <c r="V3" s="901">
        <f t="shared" ca="1" si="4"/>
        <v>-0.10374106186107224</v>
      </c>
      <c r="W3" s="902">
        <f t="shared" ca="1" si="4"/>
        <v>-0.21072204436017147</v>
      </c>
      <c r="X3" s="617"/>
      <c r="Y3" s="617"/>
      <c r="Z3" s="638">
        <f>'12'!$U$18</f>
        <v>0</v>
      </c>
      <c r="AA3" s="639">
        <f>'12'!$W$18</f>
        <v>0</v>
      </c>
      <c r="AB3" s="640">
        <f>'12'!$Y$18</f>
        <v>0</v>
      </c>
      <c r="AC3" s="1114"/>
    </row>
    <row r="4" spans="1:29" ht="12.9" customHeight="1" thickBot="1" x14ac:dyDescent="0.3">
      <c r="A4" s="903">
        <f t="shared" ca="1" si="0"/>
        <v>1.1074362043788832</v>
      </c>
      <c r="B4" s="904">
        <f t="shared" ca="1" si="0"/>
        <v>0.688143290152325</v>
      </c>
      <c r="C4" s="905">
        <f t="shared" ca="1" si="0"/>
        <v>0.39478838930642846</v>
      </c>
      <c r="D4" s="617"/>
      <c r="E4" s="617"/>
      <c r="F4" s="903">
        <f t="shared" ca="1" si="1"/>
        <v>-6.280343418115153E-2</v>
      </c>
      <c r="G4" s="904">
        <f t="shared" ca="1" si="1"/>
        <v>-0.18666028396777432</v>
      </c>
      <c r="H4" s="905">
        <f t="shared" ca="1" si="1"/>
        <v>-0.1117375061089034</v>
      </c>
      <c r="I4" s="617"/>
      <c r="J4" s="617"/>
      <c r="K4" s="903">
        <f t="shared" ca="1" si="2"/>
        <v>0.12210966520025057</v>
      </c>
      <c r="L4" s="904">
        <f t="shared" ca="1" si="2"/>
        <v>-0.14365411972902814</v>
      </c>
      <c r="M4" s="905">
        <f t="shared" ca="1" si="2"/>
        <v>-6.7482535226881413E-2</v>
      </c>
      <c r="N4" s="617"/>
      <c r="O4" s="617"/>
      <c r="P4" s="903">
        <f t="shared" ca="1" si="3"/>
        <v>0.14109847277659221</v>
      </c>
      <c r="Q4" s="904">
        <f t="shared" ca="1" si="3"/>
        <v>0.2295063593575068</v>
      </c>
      <c r="R4" s="905">
        <f t="shared" ca="1" si="3"/>
        <v>0.14626826652588087</v>
      </c>
      <c r="S4" s="617"/>
      <c r="T4" s="617"/>
      <c r="U4" s="903">
        <f t="shared" ca="1" si="4"/>
        <v>-3.5201915138497852E-2</v>
      </c>
      <c r="V4" s="904">
        <f t="shared" ca="1" si="4"/>
        <v>-3.7350505451496818E-2</v>
      </c>
      <c r="W4" s="905">
        <f t="shared" ca="1" si="4"/>
        <v>-0.1250992479514334</v>
      </c>
      <c r="X4" s="617"/>
      <c r="Y4" s="617"/>
      <c r="Z4" s="641">
        <f>'12'!$U$19</f>
        <v>0</v>
      </c>
      <c r="AA4" s="642">
        <f>'12'!$W$19</f>
        <v>0</v>
      </c>
      <c r="AB4" s="643">
        <f>'12'!$Y$19</f>
        <v>0</v>
      </c>
      <c r="AC4" s="1114"/>
    </row>
    <row r="5" spans="1:29" ht="12.9" customHeight="1" thickBot="1" x14ac:dyDescent="0.3">
      <c r="A5" s="617"/>
      <c r="B5" s="617"/>
      <c r="C5" s="617"/>
      <c r="D5" s="617"/>
      <c r="E5" s="617"/>
      <c r="F5" s="617"/>
      <c r="G5" s="617"/>
      <c r="H5" s="617"/>
      <c r="I5" s="617"/>
      <c r="J5" s="617"/>
      <c r="K5" s="617"/>
      <c r="L5" s="617"/>
      <c r="M5" s="617"/>
      <c r="N5" s="617"/>
      <c r="O5" s="617"/>
      <c r="P5" s="617"/>
      <c r="Q5" s="617"/>
      <c r="R5" s="617"/>
      <c r="S5" s="617"/>
      <c r="T5" s="617"/>
      <c r="U5" s="617"/>
      <c r="V5" s="617"/>
      <c r="W5" s="617"/>
      <c r="X5" s="617"/>
      <c r="Y5" s="617"/>
    </row>
    <row r="6" spans="1:29" ht="12.9" customHeight="1" x14ac:dyDescent="0.25">
      <c r="A6" s="1187" t="str">
        <f>Lang!$A$18</f>
        <v>Backlog of orders</v>
      </c>
      <c r="B6" s="1188"/>
      <c r="C6" s="1189"/>
      <c r="D6" s="617"/>
      <c r="E6" s="617"/>
      <c r="F6" s="1190" t="str">
        <f>A6</f>
        <v>Backlog of orders</v>
      </c>
      <c r="G6" s="1191"/>
      <c r="H6" s="1192"/>
      <c r="I6" s="617"/>
      <c r="J6" s="617"/>
      <c r="K6" s="1190" t="str">
        <f>A6</f>
        <v>Backlog of orders</v>
      </c>
      <c r="L6" s="1191"/>
      <c r="M6" s="1192"/>
      <c r="N6" s="617"/>
      <c r="O6" s="617"/>
      <c r="P6" s="1187" t="str">
        <f>A6</f>
        <v>Backlog of orders</v>
      </c>
      <c r="Q6" s="1188"/>
      <c r="R6" s="1189"/>
      <c r="S6" s="617"/>
      <c r="T6" s="617"/>
      <c r="U6" s="1190" t="str">
        <f>A6</f>
        <v>Backlog of orders</v>
      </c>
      <c r="V6" s="1191"/>
      <c r="W6" s="1192"/>
      <c r="X6" s="617"/>
      <c r="Y6" s="617"/>
      <c r="Z6" s="1131" t="str">
        <f>IF(AB6=4,"Taxes","")</f>
        <v/>
      </c>
      <c r="AA6" s="1132"/>
      <c r="AB6" s="806">
        <f>IF(AB1=4,1,AB1+1)</f>
        <v>3</v>
      </c>
      <c r="AC6" s="1114">
        <f>SUM(Z7:AB9)</f>
        <v>1175</v>
      </c>
    </row>
    <row r="7" spans="1:29" ht="12.9" customHeight="1" x14ac:dyDescent="0.25">
      <c r="A7" s="900">
        <f>IF('52'!U22&lt;'52'!U17,('52'!U17-'52'!U22)/'52'!U17*Config!$H$27,0)</f>
        <v>0</v>
      </c>
      <c r="B7" s="901">
        <f>IF('52'!W22&lt;'52'!W17,('52'!W17-'52'!W22)/'52'!W17*Config!$H$27,0)</f>
        <v>-2.2792684012298333E-2</v>
      </c>
      <c r="C7" s="902">
        <f>IF('52'!Y22&lt;'52'!Y17,('52'!Y17-'52'!Y22)/'52'!Y17*Config!$H$27,0)</f>
        <v>-1.0283567870868609E-2</v>
      </c>
      <c r="D7" s="617">
        <f>SUM(A7:C9)</f>
        <v>-6.7621650539198608E-2</v>
      </c>
      <c r="E7" s="617">
        <f>SUM('1'!N7:P9)</f>
        <v>-6.7621650539198608E-2</v>
      </c>
      <c r="F7" s="900">
        <f>IF('62'!U22&lt;'62'!U17,('62'!U17-'62'!U22)/'62'!U17*Config!$H$27,0)</f>
        <v>0</v>
      </c>
      <c r="G7" s="901">
        <f>IF('62'!W22&lt;'62'!W17,('62'!W17-'62'!W22)/'62'!W17*Config!$H$27,0)</f>
        <v>-1.9450368190149673E-2</v>
      </c>
      <c r="H7" s="902">
        <f>IF('62'!Y22&lt;'62'!Y17,('62'!Y17-'62'!Y22)/'62'!Y17*Config!$H$27,0)</f>
        <v>-6.293852817208305E-2</v>
      </c>
      <c r="I7" s="617">
        <f>SUM(F7:H9)</f>
        <v>-0.55224154283179339</v>
      </c>
      <c r="J7" s="617">
        <f>SUM('2'!N7:P9)</f>
        <v>-0.55224154283179339</v>
      </c>
      <c r="K7" s="900">
        <f>IF('72'!U22&lt;'72'!U17,('72'!U17-'72'!U22)/'72'!U17*Config!$H$27,0)</f>
        <v>-4.6668891203449553E-2</v>
      </c>
      <c r="L7" s="901">
        <f>IF('72'!W22&lt;'72'!W17,('72'!W17-'72'!W22)/'72'!W17*Config!$H$27,0)</f>
        <v>-6.8628831606842799E-2</v>
      </c>
      <c r="M7" s="902">
        <f>IF('72'!Y22&lt;'72'!Y17,('72'!Y17-'72'!Y22)/'72'!Y17*Config!$H$27,0)</f>
        <v>-5.8002470822679827E-2</v>
      </c>
      <c r="N7" s="617">
        <f>SUM(K7:M9)</f>
        <v>-0.37631033328812846</v>
      </c>
      <c r="O7" s="617">
        <f>SUM('3'!N7:P9)</f>
        <v>-0.37631033328812846</v>
      </c>
      <c r="P7" s="900">
        <f>IF('82'!U22&lt;'82'!U17,('82'!U17-'82'!U22)/'82'!U17*Config!$H$27,0)</f>
        <v>-2.7632972403239798E-2</v>
      </c>
      <c r="Q7" s="901">
        <f>IF('82'!W22&lt;'82'!W17,('82'!W17-'82'!W22)/'82'!W17*Config!$H$27,0)</f>
        <v>0</v>
      </c>
      <c r="R7" s="902">
        <f>IF('82'!Y22&lt;'82'!Y17,('82'!Y17-'82'!Y22)/'82'!Y17*Config!$H$27,0)</f>
        <v>0</v>
      </c>
      <c r="S7" s="617">
        <f>SUM(P7:R9)</f>
        <v>-0.39352413704682282</v>
      </c>
      <c r="T7" s="617">
        <f>SUM('4'!N7:P9)</f>
        <v>-0.39352413704682282</v>
      </c>
      <c r="U7" s="900">
        <f>IF('92'!U22&lt;'92'!U17,('92'!U17-'92'!U22)/'92'!U17*Config!$H$27,0)</f>
        <v>0</v>
      </c>
      <c r="V7" s="901">
        <f>IF('92'!W22&lt;'92'!W17,('92'!W17-'92'!W22)/'92'!W17*Config!$H$27,0)</f>
        <v>0</v>
      </c>
      <c r="W7" s="902">
        <f>IF('92'!Y22&lt;'92'!Y17,('92'!Y17-'92'!Y22)/'92'!Y17*Config!$H$27,0)</f>
        <v>0</v>
      </c>
      <c r="X7" s="617">
        <f>SUM(U7:W9)</f>
        <v>0</v>
      </c>
      <c r="Y7" s="617">
        <f>SUM('5'!N7:P9)</f>
        <v>0</v>
      </c>
      <c r="Z7" s="638">
        <f>'22'!$U$17</f>
        <v>592</v>
      </c>
      <c r="AA7" s="639">
        <f>'22'!$W$17</f>
        <v>363</v>
      </c>
      <c r="AB7" s="640">
        <f>'22'!$Y$17</f>
        <v>220</v>
      </c>
      <c r="AC7" s="1114"/>
    </row>
    <row r="8" spans="1:29" ht="12.9" customHeight="1" x14ac:dyDescent="0.25">
      <c r="A8" s="900">
        <f>IF('52'!U23&lt;'52'!U18,('52'!U18-'52'!U23)/'52'!U18*Config!$H$27,0)</f>
        <v>0</v>
      </c>
      <c r="B8" s="901">
        <f>IF('52'!W23&lt;'52'!W18,('52'!W18-'52'!W23)/'52'!W18*Config!$H$27,0)</f>
        <v>0</v>
      </c>
      <c r="C8" s="902">
        <f>IF('52'!Y23&lt;'52'!Y18,('52'!Y18-'52'!Y23)/'52'!Y18*Config!$H$27,0)</f>
        <v>0</v>
      </c>
      <c r="D8" s="617"/>
      <c r="E8" s="617"/>
      <c r="F8" s="900">
        <f>IF('62'!U23&lt;'62'!U18,('62'!U18-'62'!U23)/'62'!U18*Config!$H$27,0)</f>
        <v>0</v>
      </c>
      <c r="G8" s="901">
        <f>IF('62'!W23&lt;'62'!W18,('62'!W18-'62'!W23)/'62'!W18*Config!$H$27,0)</f>
        <v>0</v>
      </c>
      <c r="H8" s="902">
        <f>IF('62'!Y23&lt;'62'!Y18,('62'!Y18-'62'!Y23)/'62'!Y18*Config!$H$27,0)</f>
        <v>0</v>
      </c>
      <c r="I8" s="617"/>
      <c r="J8" s="617"/>
      <c r="K8" s="900">
        <f>IF('72'!U23&lt;'72'!U18,('72'!U18-'72'!U23)/'72'!U18*Config!$H$27,0)</f>
        <v>0</v>
      </c>
      <c r="L8" s="901">
        <f>IF('72'!W23&lt;'72'!W18,('72'!W18-'72'!W23)/'72'!W18*Config!$H$27,0)</f>
        <v>0</v>
      </c>
      <c r="M8" s="902">
        <f>IF('72'!Y23&lt;'72'!Y18,('72'!Y18-'72'!Y23)/'72'!Y18*Config!$H$27,0)</f>
        <v>0</v>
      </c>
      <c r="N8" s="617"/>
      <c r="O8" s="617"/>
      <c r="P8" s="900">
        <f>IF('82'!U23&lt;'82'!U18,('82'!U18-'82'!U23)/'82'!U18*Config!$H$27,0)</f>
        <v>-0.18422277300098905</v>
      </c>
      <c r="Q8" s="901">
        <f>IF('82'!W23&lt;'82'!W18,('82'!W18-'82'!W23)/'82'!W18*Config!$H$27,0)</f>
        <v>-8.3433256455085925E-2</v>
      </c>
      <c r="R8" s="902">
        <f>IF('82'!Y23&lt;'82'!Y18,('82'!Y18-'82'!Y23)/'82'!Y18*Config!$H$27,0)</f>
        <v>-9.8235135187508024E-2</v>
      </c>
      <c r="S8" s="617"/>
      <c r="T8" s="617"/>
      <c r="U8" s="900">
        <f>IF('92'!U23&lt;'92'!U18,('92'!U18-'92'!U23)/'92'!U18*Config!$H$27,0)</f>
        <v>0</v>
      </c>
      <c r="V8" s="901">
        <f>IF('92'!W23&lt;'92'!W18,('92'!W18-'92'!W23)/'92'!W18*Config!$H$27,0)</f>
        <v>0</v>
      </c>
      <c r="W8" s="902">
        <f>IF('92'!Y23&lt;'92'!Y18,('92'!Y18-'92'!Y23)/'92'!Y18*Config!$H$27,0)</f>
        <v>0</v>
      </c>
      <c r="X8" s="617"/>
      <c r="Y8" s="617"/>
      <c r="Z8" s="638">
        <f>'22'!$U$18</f>
        <v>0</v>
      </c>
      <c r="AA8" s="639">
        <f>'22'!$W$18</f>
        <v>0</v>
      </c>
      <c r="AB8" s="640">
        <f>'22'!$Y$18</f>
        <v>0</v>
      </c>
      <c r="AC8" s="1114"/>
    </row>
    <row r="9" spans="1:29" ht="12.9" customHeight="1" thickBot="1" x14ac:dyDescent="0.3">
      <c r="A9" s="903">
        <f>IF('52'!U24&lt;'52'!U19,('52'!U19-'52'!U24)/'52'!U19*Config!$H$27,0)</f>
        <v>0</v>
      </c>
      <c r="B9" s="904">
        <f>IF('52'!W24&lt;'52'!W19,('52'!W19-'52'!W24)/'52'!W19*Config!$H$27,0)</f>
        <v>-3.4545398656031671E-2</v>
      </c>
      <c r="C9" s="905">
        <f>IF('52'!Y24&lt;'52'!Y19,('52'!Y19-'52'!Y24)/'52'!Y19*Config!$H$27,0)</f>
        <v>0</v>
      </c>
      <c r="D9" s="617"/>
      <c r="E9" s="617"/>
      <c r="F9" s="903">
        <f>IF('62'!U24&lt;'62'!U19,('62'!U19-'62'!U24)/'62'!U19*Config!$H$27,0)</f>
        <v>-0.15139450889203332</v>
      </c>
      <c r="G9" s="904">
        <f>IF('62'!W24&lt;'62'!W19,('62'!W19-'62'!W24)/'62'!W19*Config!$H$27,0)</f>
        <v>-0.17928333420155837</v>
      </c>
      <c r="H9" s="905">
        <f>IF('62'!Y24&lt;'62'!Y19,('62'!Y19-'62'!Y24)/'62'!Y19*Config!$H$27,0)</f>
        <v>-0.13917480337596896</v>
      </c>
      <c r="I9" s="617"/>
      <c r="J9" s="617"/>
      <c r="K9" s="903">
        <f>IF('72'!U24&lt;'72'!U19,('72'!U19-'72'!U24)/'72'!U19*Config!$H$27,0)</f>
        <v>-2.9054601005022605E-3</v>
      </c>
      <c r="L9" s="904">
        <f>IF('72'!W24&lt;'72'!W19,('72'!W19-'72'!W24)/'72'!W19*Config!$H$27,0)</f>
        <v>-9.2786419979179038E-2</v>
      </c>
      <c r="M9" s="905">
        <f>IF('72'!Y24&lt;'72'!Y19,('72'!Y19-'72'!Y24)/'72'!Y19*Config!$H$27,0)</f>
        <v>-0.10731825957547496</v>
      </c>
      <c r="N9" s="617"/>
      <c r="O9" s="617"/>
      <c r="P9" s="903">
        <f>IF('82'!U24&lt;'82'!U19,('82'!U19-'82'!U24)/'82'!U19*Config!$H$27,0)</f>
        <v>0</v>
      </c>
      <c r="Q9" s="904">
        <f>IF('82'!W24&lt;'82'!W19,('82'!W19-'82'!W24)/'82'!W19*Config!$H$27,0)</f>
        <v>0</v>
      </c>
      <c r="R9" s="905">
        <f>IF('82'!Y24&lt;'82'!Y19,('82'!Y19-'82'!Y24)/'82'!Y19*Config!$H$27,0)</f>
        <v>0</v>
      </c>
      <c r="S9" s="617"/>
      <c r="T9" s="617"/>
      <c r="U9" s="903">
        <f>IF('92'!U24&lt;'92'!U19,('92'!U19-'92'!U24)/'92'!U19*Config!$H$27,0)</f>
        <v>0</v>
      </c>
      <c r="V9" s="904">
        <f>IF('92'!W24&lt;'92'!W19,('92'!W19-'92'!W24)/'92'!W19*Config!$H$27,0)</f>
        <v>0</v>
      </c>
      <c r="W9" s="905">
        <f>IF('92'!Y24&lt;'92'!Y19,('92'!Y19-'92'!Y24)/'92'!Y19*Config!$H$27,0)</f>
        <v>0</v>
      </c>
      <c r="X9" s="617"/>
      <c r="Y9" s="617"/>
      <c r="Z9" s="641">
        <f>'22'!$U$19</f>
        <v>0</v>
      </c>
      <c r="AA9" s="642">
        <f>'22'!$W$19</f>
        <v>0</v>
      </c>
      <c r="AB9" s="643">
        <f>'22'!$Y$19</f>
        <v>0</v>
      </c>
      <c r="AC9" s="1114"/>
    </row>
    <row r="10" spans="1:29" ht="12.9" customHeight="1" thickBot="1" x14ac:dyDescent="0.3">
      <c r="A10" s="617"/>
      <c r="B10" s="617"/>
      <c r="C10" s="617"/>
      <c r="D10" s="617"/>
      <c r="E10" s="617"/>
      <c r="F10" s="617"/>
      <c r="G10" s="617"/>
      <c r="H10" s="617"/>
      <c r="I10" s="617"/>
      <c r="J10" s="617"/>
      <c r="K10" s="617"/>
      <c r="L10" s="617"/>
      <c r="M10" s="617"/>
      <c r="N10" s="617"/>
      <c r="O10" s="617"/>
      <c r="P10" s="617"/>
      <c r="Q10" s="617"/>
      <c r="R10" s="617"/>
      <c r="S10" s="617"/>
      <c r="T10" s="617"/>
      <c r="U10" s="617"/>
      <c r="V10" s="617"/>
      <c r="W10" s="617"/>
      <c r="X10" s="617"/>
      <c r="Y10" s="617"/>
    </row>
    <row r="11" spans="1:29" ht="12.9" customHeight="1" x14ac:dyDescent="0.25">
      <c r="A11" s="1190" t="str">
        <f>Lang!$A$31</f>
        <v>Seasonality</v>
      </c>
      <c r="B11" s="1191"/>
      <c r="C11" s="1192"/>
      <c r="D11" s="617"/>
      <c r="E11" s="617"/>
      <c r="F11" s="1190" t="str">
        <f>A11</f>
        <v>Seasonality</v>
      </c>
      <c r="G11" s="1191"/>
      <c r="H11" s="1192"/>
      <c r="I11" s="617"/>
      <c r="J11" s="617"/>
      <c r="K11" s="1190" t="str">
        <f>A11</f>
        <v>Seasonality</v>
      </c>
      <c r="L11" s="1191"/>
      <c r="M11" s="1192"/>
      <c r="N11" s="617"/>
      <c r="O11" s="617"/>
      <c r="P11" s="1187" t="str">
        <f>A11</f>
        <v>Seasonality</v>
      </c>
      <c r="Q11" s="1188"/>
      <c r="R11" s="1189"/>
      <c r="S11" s="617"/>
      <c r="T11" s="617"/>
      <c r="U11" s="1190" t="str">
        <f>A11</f>
        <v>Seasonality</v>
      </c>
      <c r="V11" s="1191"/>
      <c r="W11" s="1192"/>
      <c r="X11" s="617"/>
      <c r="Y11" s="617"/>
      <c r="Z11" s="1131" t="str">
        <f>IF(AB11=4,"Taxes","")</f>
        <v>Taxes</v>
      </c>
      <c r="AA11" s="1132"/>
      <c r="AB11" s="806">
        <f>IF(AB6=4,1,AB6+1)</f>
        <v>4</v>
      </c>
      <c r="AC11" s="1114">
        <f>SUM(Z12:AB14)</f>
        <v>2576</v>
      </c>
    </row>
    <row r="12" spans="1:29" ht="12.9" customHeight="1" x14ac:dyDescent="0.25">
      <c r="A12" s="900">
        <f ca="1">IF(ISNUMBER(OFFSET(Config!$G30,($B$253-1)*3,)),OFFSET(Config!$G30,($B$253-1)*3,),IF(OFFSET(Z7,($B$253-1)*5,)&gt;0,OFFSET(Z7,($B$253-1)*5,)/OFFSET(Z2,($B$253-1)*5,)-1,0))</f>
        <v>4.4025086303533502E-2</v>
      </c>
      <c r="B12" s="901">
        <f ca="1">IF(ISNUMBER(OFFSET(Config!$H30,($B$253-1)*3,)),OFFSET(Config!$H30,($B$253-1)*3,),IF(OFFSET(AA7,($B$253-1)*5,)&gt;0,OFFSET(AA7,($B$253-1)*5,)/OFFSET(AA2,($B$253-1)*5,)-1,0))</f>
        <v>4.4025086303533502E-2</v>
      </c>
      <c r="C12" s="902">
        <f ca="1">IF(ISNUMBER(OFFSET(Config!$I30,($B$253-1)*3,)),OFFSET(Config!$I30,($B$253-1)*3,),IF(OFFSET(AB7,($B$253-1)*5,)&gt;0,OFFSET(AB7,($B$253-1)*5,)/OFFSET(AB2,($B$253-1)*5,)-1,0))</f>
        <v>4.4025086303533502E-2</v>
      </c>
      <c r="D12" s="617">
        <f ca="1">SUM(A12:C14)</f>
        <v>0.15482423430369474</v>
      </c>
      <c r="E12" s="617">
        <f ca="1">SUM('1'!N12:P14)</f>
        <v>0.15482423430369474</v>
      </c>
      <c r="F12" s="900">
        <f ca="1">IF(ISNUMBER(OFFSET(Config!$G30,($G$253-1)*3,)),OFFSET(Config!$G30,($G$253-1)*3,),IF(OFFSET(Z7,($G$253-1)*5,)&gt;0,OFFSET(Z7,($G$253-1)*5,)/OFFSET(Z2,($G$253-1)*5,)-1,0))</f>
        <v>5.974980327995541E-2</v>
      </c>
      <c r="G12" s="901">
        <f ca="1">IF(ISNUMBER(OFFSET(Config!$H30,($G$253-1)*3,)),OFFSET(Config!$H30,($G$253-1)*3,),IF(OFFSET(AA7,($G$253-1)*5,)&gt;0,OFFSET(AA7,($G$253-1)*5,)/OFFSET(AA2,($G$253-1)*5,)-1,0))</f>
        <v>5.974980327995541E-2</v>
      </c>
      <c r="H12" s="902">
        <f ca="1">IF(ISNUMBER(OFFSET(Config!$I30,($G$253-1)*3,)),OFFSET(Config!$I30,($G$253-1)*3,),IF(OFFSET(AB7,($G$253-1)*5,)&gt;0,OFFSET(AB7,($G$253-1)*5,)/OFFSET(AB2,($G$253-1)*5,)-1,0))</f>
        <v>5.974980327995541E-2</v>
      </c>
      <c r="I12" s="617">
        <f ca="1">SUM(F12:H14)</f>
        <v>0.29951904402683188</v>
      </c>
      <c r="J12" s="617">
        <f ca="1">SUM('2'!N12:P14)</f>
        <v>0.29951904402683188</v>
      </c>
      <c r="K12" s="900">
        <f ca="1">IF(ISNUMBER(OFFSET(Config!$G30,($L$253-1)*3,)),OFFSET(Config!$G30,($L$253-1)*3,),IF(OFFSET(Z7,($L$253-1)*5,)&gt;0,OFFSET(Z7,($L$253-1)*5,)/OFFSET(Z2,($L$253-1)*5,)-1,0))</f>
        <v>-2.7946050194379048E-2</v>
      </c>
      <c r="L12" s="901">
        <f ca="1">IF(ISNUMBER(OFFSET(Config!$H30,($L$253-1)*3,)),OFFSET(Config!$H30,($L$253-1)*3,),IF(OFFSET(AA7,($L$253-1)*5,)&gt;0,OFFSET(AA7,($L$253-1)*5,)/OFFSET(AA2,($L$253-1)*5,)-1,0))</f>
        <v>-2.7946050194379048E-2</v>
      </c>
      <c r="M12" s="902">
        <f ca="1">IF(ISNUMBER(OFFSET(Config!$I30,($L$253-1)*3,)),OFFSET(Config!$I30,($L$253-1)*3,),IF(OFFSET(AB7,($L$253-1)*5,)&gt;0,OFFSET(AB7,($L$253-1)*5,)/OFFSET(AB2,($L$253-1)*5,)-1,0))</f>
        <v>-2.7946050194379048E-2</v>
      </c>
      <c r="N12" s="617">
        <f ca="1">SUM(K12:M14)</f>
        <v>-0.46137345527831325</v>
      </c>
      <c r="O12" s="617">
        <f ca="1">SUM('3'!N12:P14)</f>
        <v>-0.46137345527831325</v>
      </c>
      <c r="P12" s="900">
        <f ca="1">IF(ISNUMBER(OFFSET(Config!$G30,($Q$253-1)*3,)),OFFSET(Config!$G30,($Q$253-1)*3,),IF(OFFSET(Z7,($Q$253-1)*5,)&gt;0,OFFSET(Z7,($Q$253-1)*5,)/OFFSET(Z2,($Q$253-1)*5,)-1,0))</f>
        <v>5.298366458718503E-2</v>
      </c>
      <c r="Q12" s="901">
        <f ca="1">IF(ISNUMBER(OFFSET(Config!$H30,($Q$253-1)*3,)),OFFSET(Config!$H30,($Q$253-1)*3,),IF(OFFSET(AA7,($Q$253-1)*5,)&gt;0,OFFSET(AA7,($Q$253-1)*5,)/OFFSET(AA2,($Q$253-1)*5,)-1,0))</f>
        <v>5.298366458718503E-2</v>
      </c>
      <c r="R12" s="902">
        <f ca="1">IF(ISNUMBER(OFFSET(Config!$I30,($Q$253-1)*3,)),OFFSET(Config!$I30,($Q$253-1)*3,),IF(OFFSET(AB7,($Q$253-1)*5,)&gt;0,OFFSET(AB7,($Q$253-1)*5,)/OFFSET(AB2,($Q$253-1)*5,)-1,0))</f>
        <v>5.298366458718503E-2</v>
      </c>
      <c r="S12" s="617">
        <f ca="1">SUM(P12:R14)</f>
        <v>0.55410527272181076</v>
      </c>
      <c r="T12" s="617">
        <f ca="1">SUM('4'!N12:P14)</f>
        <v>0.55410527272181076</v>
      </c>
      <c r="U12" s="900">
        <f ca="1">IF(ISNUMBER(OFFSET(Config!$G30,($V$253-1)*3,)),OFFSET(Config!$G30,($V$253-1)*3,),IF(OFFSET(Z7,($V$253-1)*5,)&gt;0,OFFSET(Z7,($V$253-1)*5,)/OFFSET(Z2,($V$253-1)*5,)-1,0))</f>
        <v>-0.17951624960055734</v>
      </c>
      <c r="V12" s="901">
        <f ca="1">IF(ISNUMBER(OFFSET(Config!$H30,($V$253-1)*3,)),OFFSET(Config!$H30,($V$253-1)*3,),IF(OFFSET(AA7,($V$253-1)*5,)&gt;0,OFFSET(AA7,($V$253-1)*5,)/OFFSET(AA2,($V$253-1)*5,)-1,0))</f>
        <v>-0.17951624960055734</v>
      </c>
      <c r="W12" s="902">
        <f ca="1">IF(ISNUMBER(OFFSET(Config!$I30,($V$253-1)*3,)),OFFSET(Config!$I30,($V$253-1)*3,),IF(OFFSET(AB7,($V$253-1)*5,)&gt;0,OFFSET(AB7,($V$253-1)*5,)/OFFSET(AB2,($V$253-1)*5,)-1,0))</f>
        <v>-0.17951624960055734</v>
      </c>
      <c r="X12" s="617">
        <f ca="1">SUM(U12:W14)</f>
        <v>-1.2220518552367825</v>
      </c>
      <c r="Y12" s="617">
        <f ca="1">SUM('5'!N12:P14)</f>
        <v>-1.2220518552367825</v>
      </c>
      <c r="Z12" s="638">
        <f>'32'!$U$17</f>
        <v>1367</v>
      </c>
      <c r="AA12" s="639">
        <f>'32'!$W$17</f>
        <v>772</v>
      </c>
      <c r="AB12" s="640">
        <f>'32'!$Y$17</f>
        <v>437</v>
      </c>
      <c r="AC12" s="1114"/>
    </row>
    <row r="13" spans="1:29" ht="12.9" customHeight="1" x14ac:dyDescent="0.25">
      <c r="A13" s="900">
        <f ca="1">IF(ISNUMBER(OFFSET(Config!$G31,($B$253-1)*3,)),OFFSET(Config!$G31,($B$253-1)*3,),IF(OFFSET(Z8,($B$253-1)*5,)&gt;0,OFFSET(Z8,($B$253-1)*5,)/OFFSET(Z3,($B$253-1)*5,)-1,0))</f>
        <v>3.9759465023868311E-2</v>
      </c>
      <c r="B13" s="901">
        <f ca="1">IF(ISNUMBER(OFFSET(Config!$H31,($B$253-1)*3,)),OFFSET(Config!$H31,($B$253-1)*3,),IF(OFFSET(AA8,($B$253-1)*5,)&gt;0,OFFSET(AA8,($B$253-1)*5,)/OFFSET(AA3,($B$253-1)*5,)-1,0))</f>
        <v>3.9759465023868311E-2</v>
      </c>
      <c r="C13" s="902">
        <f ca="1">IF(ISNUMBER(OFFSET(Config!$I31,($B$253-1)*3,)),OFFSET(Config!$I31,($B$253-1)*3,),IF(OFFSET(AB8,($B$253-1)*5,)&gt;0,OFFSET(AB8,($B$253-1)*5,)/OFFSET(AB3,($B$253-1)*5,)-1,0))</f>
        <v>3.9759465023868311E-2</v>
      </c>
      <c r="D13" s="617"/>
      <c r="E13" s="617"/>
      <c r="F13" s="900">
        <f ca="1">IF(ISNUMBER(OFFSET(Config!$G31,($G$253-1)*3,)),OFFSET(Config!$G31,($G$253-1)*3,),IF(OFFSET(Z8,($G$253-1)*5,)&gt;0,OFFSET(Z8,($G$253-1)*5,)/OFFSET(Z3,($G$253-1)*5,)-1,0))</f>
        <v>-7.5996653612221755E-5</v>
      </c>
      <c r="G13" s="901">
        <f ca="1">IF(ISNUMBER(OFFSET(Config!$H31,($G$253-1)*3,)),OFFSET(Config!$H31,($G$253-1)*3,),IF(OFFSET(AA8,($G$253-1)*5,)&gt;0,OFFSET(AA8,($G$253-1)*5,)/OFFSET(AA3,($G$253-1)*5,)-1,0))</f>
        <v>-7.5996653612221755E-5</v>
      </c>
      <c r="H13" s="902">
        <f ca="1">IF(ISNUMBER(OFFSET(Config!$I31,($G$253-1)*3,)),OFFSET(Config!$I31,($G$253-1)*3,),IF(OFFSET(AB8,($G$253-1)*5,)&gt;0,OFFSET(AB8,($G$253-1)*5,)/OFFSET(AB3,($G$253-1)*5,)-1,0))</f>
        <v>-7.5996653612221755E-5</v>
      </c>
      <c r="I13" s="617"/>
      <c r="J13" s="617"/>
      <c r="K13" s="900">
        <f ca="1">IF(ISNUMBER(OFFSET(Config!$G31,($L$253-1)*3,)),OFFSET(Config!$G31,($L$253-1)*3,),IF(OFFSET(Z8,($L$253-1)*5,)&gt;0,OFFSET(Z8,($L$253-1)*5,)/OFFSET(Z3,($L$253-1)*5,)-1,0))</f>
        <v>-0.10194051598803941</v>
      </c>
      <c r="L13" s="901">
        <f ca="1">IF(ISNUMBER(OFFSET(Config!$H31,($L$253-1)*3,)),OFFSET(Config!$H31,($L$253-1)*3,),IF(OFFSET(AA8,($L$253-1)*5,)&gt;0,OFFSET(AA8,($L$253-1)*5,)/OFFSET(AA3,($L$253-1)*5,)-1,0))</f>
        <v>-0.10194051598803941</v>
      </c>
      <c r="M13" s="902">
        <f ca="1">IF(ISNUMBER(OFFSET(Config!$I31,($L$253-1)*3,)),OFFSET(Config!$I31,($L$253-1)*3,),IF(OFFSET(AB8,($L$253-1)*5,)&gt;0,OFFSET(AB8,($L$253-1)*5,)/OFFSET(AB3,($L$253-1)*5,)-1,0))</f>
        <v>-0.10194051598803941</v>
      </c>
      <c r="N13" s="617"/>
      <c r="O13" s="617"/>
      <c r="P13" s="900">
        <f ca="1">IF(ISNUMBER(OFFSET(Config!$G31,($Q$253-1)*3,)),OFFSET(Config!$G31,($Q$253-1)*3,),IF(OFFSET(Z8,($Q$253-1)*5,)&gt;0,OFFSET(Z8,($Q$253-1)*5,)/OFFSET(Z3,($Q$253-1)*5,)-1,0))</f>
        <v>7.5756437424680995E-2</v>
      </c>
      <c r="Q13" s="901">
        <f ca="1">IF(ISNUMBER(OFFSET(Config!$H31,($Q$253-1)*3,)),OFFSET(Config!$H31,($Q$253-1)*3,),IF(OFFSET(AA8,($Q$253-1)*5,)&gt;0,OFFSET(AA8,($Q$253-1)*5,)/OFFSET(AA3,($Q$253-1)*5,)-1,0))</f>
        <v>7.5756437424680995E-2</v>
      </c>
      <c r="R13" s="902">
        <f ca="1">IF(ISNUMBER(OFFSET(Config!$I31,($Q$253-1)*3,)),OFFSET(Config!$I31,($Q$253-1)*3,),IF(OFFSET(AB8,($Q$253-1)*5,)&gt;0,OFFSET(AB8,($Q$253-1)*5,)/OFFSET(AB3,($Q$253-1)*5,)-1,0))</f>
        <v>7.5756437424680995E-2</v>
      </c>
      <c r="S13" s="617"/>
      <c r="T13" s="617"/>
      <c r="U13" s="900">
        <f ca="1">IF(ISNUMBER(OFFSET(Config!$G31,($V$253-1)*3,)),OFFSET(Config!$G31,($V$253-1)*3,),IF(OFFSET(Z8,($V$253-1)*5,)&gt;0,OFFSET(Z8,($V$253-1)*5,)/OFFSET(Z3,($V$253-1)*5,)-1,0))</f>
        <v>-0.12006766433586318</v>
      </c>
      <c r="V13" s="901">
        <f ca="1">IF(ISNUMBER(OFFSET(Config!$H31,($V$253-1)*3,)),OFFSET(Config!$H31,($V$253-1)*3,),IF(OFFSET(AA8,($V$253-1)*5,)&gt;0,OFFSET(AA8,($V$253-1)*5,)/OFFSET(AA3,($V$253-1)*5,)-1,0))</f>
        <v>-0.12006766433586318</v>
      </c>
      <c r="W13" s="902">
        <f ca="1">IF(ISNUMBER(OFFSET(Config!$I31,($V$253-1)*3,)),OFFSET(Config!$I31,($V$253-1)*3,),IF(OFFSET(AB8,($V$253-1)*5,)&gt;0,OFFSET(AB8,($V$253-1)*5,)/OFFSET(AB3,($V$253-1)*5,)-1,0))</f>
        <v>-0.12006766433586318</v>
      </c>
      <c r="X13" s="617"/>
      <c r="Y13" s="617"/>
      <c r="Z13" s="638">
        <f>'32'!$U$18</f>
        <v>0</v>
      </c>
      <c r="AA13" s="639">
        <f>'32'!$W$18</f>
        <v>0</v>
      </c>
      <c r="AB13" s="640">
        <f>'32'!$Y$18</f>
        <v>0</v>
      </c>
      <c r="AC13" s="1114"/>
    </row>
    <row r="14" spans="1:29" ht="12.9" customHeight="1" thickBot="1" x14ac:dyDescent="0.3">
      <c r="A14" s="903">
        <f ca="1">IF(ISNUMBER(OFFSET(Config!$G32,($B$253-1)*3,)),OFFSET(Config!$G32,($B$253-1)*3,),IF(OFFSET(Z9,($B$253-1)*5,)&gt;0,OFFSET(Z9,($B$253-1)*5,)/OFFSET(Z4,($B$253-1)*5,)-1,0))</f>
        <v>-3.2176473226170246E-2</v>
      </c>
      <c r="B14" s="904">
        <f ca="1">IF(ISNUMBER(OFFSET(Config!$H32,($B$253-1)*3,)),OFFSET(Config!$H32,($B$253-1)*3,),IF(OFFSET(AA9,($B$253-1)*5,)&gt;0,OFFSET(AA9,($B$253-1)*5,)/OFFSET(AA4,($B$253-1)*5,)-1,0))</f>
        <v>-3.2176473226170246E-2</v>
      </c>
      <c r="C14" s="905">
        <f ca="1">IF(ISNUMBER(OFFSET(Config!$I32,($B$253-1)*3,)),OFFSET(Config!$I32,($B$253-1)*3,),IF(OFFSET(AB9,($B$253-1)*5,)&gt;0,OFFSET(AB9,($B$253-1)*5,)/OFFSET(AB4,($B$253-1)*5,)-1,0))</f>
        <v>-3.2176473226170246E-2</v>
      </c>
      <c r="D14" s="617"/>
      <c r="E14" s="617"/>
      <c r="F14" s="903">
        <f ca="1">IF(ISNUMBER(OFFSET(Config!$G32,($G$253-1)*3,)),OFFSET(Config!$G32,($G$253-1)*3,),IF(OFFSET(Z9,($G$253-1)*5,)&gt;0,OFFSET(Z9,($G$253-1)*5,)/OFFSET(Z4,($G$253-1)*5,)-1,0))</f>
        <v>4.0165874715934101E-2</v>
      </c>
      <c r="G14" s="904">
        <f ca="1">IF(ISNUMBER(OFFSET(Config!$H32,($G$253-1)*3,)),OFFSET(Config!$H32,($G$253-1)*3,),IF(OFFSET(AA9,($G$253-1)*5,)&gt;0,OFFSET(AA9,($G$253-1)*5,)/OFFSET(AA4,($G$253-1)*5,)-1,0))</f>
        <v>4.0165874715934101E-2</v>
      </c>
      <c r="H14" s="905">
        <f ca="1">IF(ISNUMBER(OFFSET(Config!$I32,($G$253-1)*3,)),OFFSET(Config!$I32,($G$253-1)*3,),IF(OFFSET(AB9,($G$253-1)*5,)&gt;0,OFFSET(AB9,($G$253-1)*5,)/OFFSET(AB4,($G$253-1)*5,)-1,0))</f>
        <v>4.0165874715934101E-2</v>
      </c>
      <c r="I14" s="617"/>
      <c r="J14" s="617"/>
      <c r="K14" s="903">
        <f ca="1">IF(ISNUMBER(OFFSET(Config!$G32,($L$253-1)*3,)),OFFSET(Config!$G32,($L$253-1)*3,),IF(OFFSET(Z9,($L$253-1)*5,)&gt;0,OFFSET(Z9,($L$253-1)*5,)/OFFSET(Z4,($L$253-1)*5,)-1,0))</f>
        <v>-2.3904585577019306E-2</v>
      </c>
      <c r="L14" s="904">
        <f ca="1">IF(ISNUMBER(OFFSET(Config!$H32,($L$253-1)*3,)),OFFSET(Config!$H32,($L$253-1)*3,),IF(OFFSET(AA9,($L$253-1)*5,)&gt;0,OFFSET(AA9,($L$253-1)*5,)/OFFSET(AA4,($L$253-1)*5,)-1,0))</f>
        <v>-2.3904585577019306E-2</v>
      </c>
      <c r="M14" s="905">
        <f ca="1">IF(ISNUMBER(OFFSET(Config!$I32,($L$253-1)*3,)),OFFSET(Config!$I32,($L$253-1)*3,),IF(OFFSET(AB9,($L$253-1)*5,)&gt;0,OFFSET(AB9,($L$253-1)*5,)/OFFSET(AB4,($L$253-1)*5,)-1,0))</f>
        <v>-2.3904585577019306E-2</v>
      </c>
      <c r="N14" s="617"/>
      <c r="O14" s="617"/>
      <c r="P14" s="903">
        <f ca="1">IF(ISNUMBER(OFFSET(Config!$G32,($Q$253-1)*3,)),OFFSET(Config!$G32,($Q$253-1)*3,),IF(OFFSET(Z9,($Q$253-1)*5,)&gt;0,OFFSET(Z9,($Q$253-1)*5,)/OFFSET(Z4,($Q$253-1)*5,)-1,0))</f>
        <v>5.5961655562070917E-2</v>
      </c>
      <c r="Q14" s="904">
        <f ca="1">IF(ISNUMBER(OFFSET(Config!$H32,($Q$253-1)*3,)),OFFSET(Config!$H32,($Q$253-1)*3,),IF(OFFSET(AA9,($Q$253-1)*5,)&gt;0,OFFSET(AA9,($Q$253-1)*5,)/OFFSET(AA4,($Q$253-1)*5,)-1,0))</f>
        <v>5.5961655562070917E-2</v>
      </c>
      <c r="R14" s="905">
        <f ca="1">IF(ISNUMBER(OFFSET(Config!$I32,($Q$253-1)*3,)),OFFSET(Config!$I32,($Q$253-1)*3,),IF(OFFSET(AB9,($Q$253-1)*5,)&gt;0,OFFSET(AB9,($Q$253-1)*5,)/OFFSET(AB4,($Q$253-1)*5,)-1,0))</f>
        <v>5.5961655562070917E-2</v>
      </c>
      <c r="S14" s="617"/>
      <c r="T14" s="617"/>
      <c r="U14" s="903">
        <f ca="1">IF(ISNUMBER(OFFSET(Config!$G32,($V$253-1)*3,)),OFFSET(Config!$G32,($V$253-1)*3,),IF(OFFSET(Z9,($V$253-1)*5,)&gt;0,OFFSET(Z9,($V$253-1)*5,)/OFFSET(Z4,($V$253-1)*5,)-1,0))</f>
        <v>-0.10776670447584027</v>
      </c>
      <c r="V14" s="904">
        <f ca="1">IF(ISNUMBER(OFFSET(Config!$H32,($V$253-1)*3,)),OFFSET(Config!$H32,($V$253-1)*3,),IF(OFFSET(AA9,($V$253-1)*5,)&gt;0,OFFSET(AA9,($V$253-1)*5,)/OFFSET(AA4,($V$253-1)*5,)-1,0))</f>
        <v>-0.10776670447584027</v>
      </c>
      <c r="W14" s="905">
        <f ca="1">IF(ISNUMBER(OFFSET(Config!$I32,($V$253-1)*3,)),OFFSET(Config!$I32,($V$253-1)*3,),IF(OFFSET(AB9,($V$253-1)*5,)&gt;0,OFFSET(AB9,($V$253-1)*5,)/OFFSET(AB4,($V$253-1)*5,)-1,0))</f>
        <v>-0.10776670447584027</v>
      </c>
      <c r="X14" s="617"/>
      <c r="Y14" s="617"/>
      <c r="Z14" s="641">
        <f>'32'!$U$19</f>
        <v>0</v>
      </c>
      <c r="AA14" s="642">
        <f>'32'!$W$19</f>
        <v>0</v>
      </c>
      <c r="AB14" s="643">
        <f>'32'!$Y$19</f>
        <v>0</v>
      </c>
      <c r="AC14" s="1114"/>
    </row>
    <row r="15" spans="1:29" ht="12.9" customHeight="1" thickBot="1" x14ac:dyDescent="0.3">
      <c r="A15" s="617"/>
      <c r="B15" s="617"/>
      <c r="C15" s="617"/>
      <c r="D15" s="617"/>
      <c r="E15" s="617"/>
      <c r="F15" s="617"/>
      <c r="G15" s="617"/>
      <c r="H15" s="617"/>
      <c r="I15" s="617"/>
      <c r="J15" s="617"/>
      <c r="K15" s="617"/>
      <c r="L15" s="617"/>
      <c r="M15" s="617"/>
      <c r="N15" s="617"/>
      <c r="O15" s="617"/>
      <c r="P15" s="617"/>
      <c r="Q15" s="617"/>
      <c r="R15" s="617"/>
      <c r="S15" s="617"/>
      <c r="T15" s="617"/>
      <c r="U15" s="617"/>
      <c r="V15" s="617"/>
      <c r="W15" s="617"/>
      <c r="X15" s="617"/>
      <c r="Y15" s="617"/>
    </row>
    <row r="16" spans="1:29" ht="12.9" customHeight="1" x14ac:dyDescent="0.25">
      <c r="A16" s="1190" t="str">
        <f>Lang!$A$44</f>
        <v>Assembly time</v>
      </c>
      <c r="B16" s="1191"/>
      <c r="C16" s="1192"/>
      <c r="D16" s="617"/>
      <c r="E16" s="617"/>
      <c r="F16" s="1190" t="str">
        <f>A16</f>
        <v>Assembly time</v>
      </c>
      <c r="G16" s="1191"/>
      <c r="H16" s="1192"/>
      <c r="I16" s="617"/>
      <c r="J16" s="617"/>
      <c r="K16" s="1190" t="str">
        <f>A16</f>
        <v>Assembly time</v>
      </c>
      <c r="L16" s="1191"/>
      <c r="M16" s="1192"/>
      <c r="N16" s="617"/>
      <c r="O16" s="617"/>
      <c r="P16" s="1187" t="str">
        <f>A16</f>
        <v>Assembly time</v>
      </c>
      <c r="Q16" s="1188"/>
      <c r="R16" s="1189"/>
      <c r="S16" s="617"/>
      <c r="T16" s="617"/>
      <c r="U16" s="1190" t="str">
        <f>A16</f>
        <v>Assembly time</v>
      </c>
      <c r="V16" s="1191"/>
      <c r="W16" s="1192"/>
      <c r="X16" s="617"/>
      <c r="Y16" s="617"/>
      <c r="Z16" s="1131" t="str">
        <f>IF(AB16=4,"Taxes","")</f>
        <v/>
      </c>
      <c r="AA16" s="1132"/>
      <c r="AB16" s="806">
        <f>IF(AB11=4,1,AB11+1)</f>
        <v>1</v>
      </c>
      <c r="AC16" s="1114">
        <f>SUM(Z17:AB19)</f>
        <v>2543</v>
      </c>
    </row>
    <row r="17" spans="1:29" ht="12.9" customHeight="1" x14ac:dyDescent="0.25">
      <c r="A17" s="900">
        <f ca="1">((OFFSET(History!G$19,$B$253,0)/1-100+1)^Config!J17-(OFFSET(History!G$18,$B$253,0)/1-100+1)^Config!J17)*(100-Config!M27)/(100-Config!M27)</f>
        <v>0</v>
      </c>
      <c r="B17" s="901">
        <f ca="1">((OFFSET(History!H$19,$B$253,0)/1.5-100+1)^Config!K17-(OFFSET(History!H$18,$B$253,0)/1.5-100+1)^Config!K17)*(100-Config!N27)/(100-Config!N27)</f>
        <v>0</v>
      </c>
      <c r="C17" s="902">
        <f ca="1">((OFFSET(History!I$19,$B$253,0)/3-100+1)^Config!L17-(OFFSET(History!I$18,$B$253,0)/3-100+1)^Config!L17)*(100-Config!O27)/(100-Config!O27)</f>
        <v>0</v>
      </c>
      <c r="D17" s="617">
        <f ca="1">SUM(A17:C19)</f>
        <v>0</v>
      </c>
      <c r="E17" s="617">
        <f ca="1">SUM('1'!N17:P19)</f>
        <v>0</v>
      </c>
      <c r="F17" s="900">
        <f ca="1">((B$120/1-100+1)^Config!J17-(OFFSET(History!G$18,$G$253,0)/1-100+1)^Config!J17)*(100-B143)/(100-Config!M27)</f>
        <v>0</v>
      </c>
      <c r="G17" s="901">
        <f ca="1">((C$120/1.5-100+1)^Config!K17-(OFFSET(History!H$18,$G$253,0)/1.5-100+1)^Config!K17)*(100-C143)/(100-Config!N27)</f>
        <v>0</v>
      </c>
      <c r="H17" s="902">
        <f ca="1">((D$120/3-100+1)^Config!L17-(OFFSET(History!I$18,$G$253,0)/3-100+1)^Config!L17)*(100-D143)/(100-Config!O27)</f>
        <v>0</v>
      </c>
      <c r="I17" s="617">
        <f ca="1">SUM(F17:H19)</f>
        <v>0</v>
      </c>
      <c r="J17" s="617">
        <f ca="1">SUM('2'!N17:P19)</f>
        <v>0</v>
      </c>
      <c r="K17" s="900">
        <f ca="1">((G$120/1-100+1)^Config!$J17-(B$120/1-100+1)^Config!$J17)*(100-G143)/(100-Config!$M27)</f>
        <v>0</v>
      </c>
      <c r="L17" s="901">
        <f ca="1">((H$120/1.5-100+1)^Config!$K17-(C$120/1.5-100+1)^Config!$K17)*(100-H143)/(100-Config!$N27)</f>
        <v>0</v>
      </c>
      <c r="M17" s="902">
        <f ca="1">((I$120/3-100+1)^Config!$L17-(D$120/3-100+1)^Config!$L17)*(100-I143)/(100-Config!$O27)</f>
        <v>0</v>
      </c>
      <c r="N17" s="617">
        <f ca="1">SUM(K17:M19)</f>
        <v>0</v>
      </c>
      <c r="O17" s="617">
        <f ca="1">SUM('3'!N17:P19)</f>
        <v>0</v>
      </c>
      <c r="P17" s="900">
        <f ca="1">((L$120/1-100+1)^Config!$J17-(G$120/1-100+1)^Config!$J17)*(100-L143)/(100-Config!$M27)</f>
        <v>0</v>
      </c>
      <c r="Q17" s="901">
        <f ca="1">((M$120/1.5-100+1)^Config!$K17-(H$120/1.5-100+1)^Config!$K17)*(100-M143)/(100-Config!$N27)</f>
        <v>0</v>
      </c>
      <c r="R17" s="902">
        <f ca="1">((N$120/3-100+1)^Config!$L17-(I$120/3-100+1)^Config!$L17)*(100-N143)/(100-Config!$O27)</f>
        <v>0</v>
      </c>
      <c r="S17" s="617">
        <f ca="1">SUM(P17:R19)</f>
        <v>0</v>
      </c>
      <c r="T17" s="617">
        <f ca="1">SUM('4'!N17:P19)</f>
        <v>3.8546886068769576E-2</v>
      </c>
      <c r="U17" s="900">
        <f ca="1">((Q$120/1-100+1)^Config!$J17-(L$120/1-100+1)^Config!$J17)*(100-Q143)/(100-Config!$M27)</f>
        <v>0</v>
      </c>
      <c r="V17" s="901">
        <f ca="1">((R$120/1.5-100+1)^Config!$K17-(M$120/1.5-100+1)^Config!$K17)*(100-R143)/(100-Config!$N27)</f>
        <v>0</v>
      </c>
      <c r="W17" s="902">
        <f ca="1">((S$120/3-100+1)^Config!$L17-(N$120/3-100+1)^Config!$L17)*(100-S143)/(100-Config!$O27)</f>
        <v>0</v>
      </c>
      <c r="X17" s="617">
        <f ca="1">SUM(U17:W19)</f>
        <v>0</v>
      </c>
      <c r="Y17" s="617" t="e">
        <f ca="1">SUM('5'!N17:P19)</f>
        <v>#NUM!</v>
      </c>
      <c r="Z17" s="638">
        <f>'42'!$U$17</f>
        <v>1112</v>
      </c>
      <c r="AA17" s="639">
        <f>'42'!$W$17</f>
        <v>686</v>
      </c>
      <c r="AB17" s="640">
        <f>'42'!$Y$17</f>
        <v>381</v>
      </c>
      <c r="AC17" s="1114"/>
    </row>
    <row r="18" spans="1:29" ht="12.9" customHeight="1" x14ac:dyDescent="0.25">
      <c r="A18" s="900">
        <f ca="1">((OFFSET(History!G$19,$B$253,0)/1-100+1)^Config!J18-(OFFSET(History!G$18,$B$253,0)/1-100+1)^Config!J18)*(100-Config!M28)/(100-Config!M28)</f>
        <v>0</v>
      </c>
      <c r="B18" s="901">
        <f ca="1">((OFFSET(History!H$19,$B$253,0)/1.5-100+1)^Config!K18-(OFFSET(History!H$18,$B$253,0)/1.5-100+1)^Config!K18)*(100-Config!N28)/(100-Config!N28)</f>
        <v>0</v>
      </c>
      <c r="C18" s="902">
        <f ca="1">((OFFSET(History!I$19,$B$253,0)/3-100+1)^Config!L18-(OFFSET(History!I$18,$B$253,0)/3-100+1)^Config!L18)*(100-Config!O28)/(100-Config!O28)</f>
        <v>0</v>
      </c>
      <c r="D18" s="617"/>
      <c r="E18" s="617"/>
      <c r="F18" s="900">
        <f ca="1">((B$120/1-100+1)^Config!J18-(OFFSET(History!G$18,$G$253,0)/1-100+1)^Config!J18)*(100-B144)/(100-Config!M28)</f>
        <v>0</v>
      </c>
      <c r="G18" s="901">
        <f ca="1">((C$120/1.5-100+1)^Config!K18-(OFFSET(History!H$18,$G$253,0)/1.5-100+1)^Config!K18)*(100-C144)/(100-Config!N28)</f>
        <v>0</v>
      </c>
      <c r="H18" s="902">
        <f ca="1">((D$120/3-100+1)^Config!L18-(OFFSET(History!I$18,$G$253,0)/3-100+1)^Config!L18)*(100-D144)/(100-Config!O28)</f>
        <v>0</v>
      </c>
      <c r="I18" s="617"/>
      <c r="J18" s="617"/>
      <c r="K18" s="900">
        <f ca="1">((G$120/1-100+1)^Config!$J18-(B$120/1-100+1)^Config!$J18)*(100-G144)/(100-Config!$M28)</f>
        <v>0</v>
      </c>
      <c r="L18" s="901">
        <f ca="1">((H$120/1.5-100+1)^Config!$K18-(C$120/1.5-100+1)^Config!$K18)*(100-H144)/(100-Config!$N28)</f>
        <v>0</v>
      </c>
      <c r="M18" s="902">
        <f ca="1">((I$120/3-100+1)^Config!$L18-(D$120/3-100+1)^Config!$L18)*(100-I144)/(100-Config!$O28)</f>
        <v>0</v>
      </c>
      <c r="N18" s="617"/>
      <c r="O18" s="617"/>
      <c r="P18" s="900">
        <f ca="1">((L$120/1-100+1)^Config!$J18-(G$120/1-100+1)^Config!$J18)*(100-L144)/(100-Config!$M28)</f>
        <v>0</v>
      </c>
      <c r="Q18" s="901">
        <f ca="1">((M$120/1.5-100+1)^Config!$K18-(H$120/1.5-100+1)^Config!$K18)*(100-M144)/(100-Config!$N28)</f>
        <v>0</v>
      </c>
      <c r="R18" s="902">
        <f ca="1">((N$120/3-100+1)^Config!$L18-(I$120/3-100+1)^Config!$L18)*(100-N144)/(100-Config!$O28)</f>
        <v>0</v>
      </c>
      <c r="S18" s="617"/>
      <c r="T18" s="617"/>
      <c r="U18" s="900">
        <f ca="1">((Q$120/1-100+1)^Config!$J18-(L$120/1-100+1)^Config!$J18)*(100-Q144)/(100-Config!$M28)</f>
        <v>0</v>
      </c>
      <c r="V18" s="901">
        <f ca="1">((R$120/1.5-100+1)^Config!$K18-(M$120/1.5-100+1)^Config!$K18)*(100-R144)/(100-Config!$N28)</f>
        <v>0</v>
      </c>
      <c r="W18" s="902">
        <f ca="1">((S$120/3-100+1)^Config!$L18-(N$120/3-100+1)^Config!$L18)*(100-S144)/(100-Config!$O28)</f>
        <v>0</v>
      </c>
      <c r="X18" s="617"/>
      <c r="Y18" s="617"/>
      <c r="Z18" s="638">
        <f>'42'!$U$18</f>
        <v>172</v>
      </c>
      <c r="AA18" s="639">
        <f>'42'!$W$18</f>
        <v>123</v>
      </c>
      <c r="AB18" s="640">
        <f>'42'!$Y$18</f>
        <v>69</v>
      </c>
      <c r="AC18" s="1114"/>
    </row>
    <row r="19" spans="1:29" ht="12.9" customHeight="1" thickBot="1" x14ac:dyDescent="0.3">
      <c r="A19" s="903">
        <f ca="1">((OFFSET(History!G$19,$B$253,0)/1-100+1)^Config!J19-(OFFSET(History!G$18,$B$253,0)/1-100+1)^Config!J19)*(100-Config!M29)/(100-Config!M29)</f>
        <v>0</v>
      </c>
      <c r="B19" s="904">
        <f ca="1">((OFFSET(History!H$19,$B$253,0)/1.5-100+1)^Config!K19-(OFFSET(History!H$18,$B$253,0)/1.5-100+1)^Config!K19)*(100-Config!N29)/(100-Config!N29)</f>
        <v>0</v>
      </c>
      <c r="C19" s="905">
        <f ca="1">((OFFSET(History!I$19,$B$253,0)/3-100+1)^Config!L19-(OFFSET(History!I$18,$B$253,0)/3-100+1)^Config!L19)*(100-Config!O29)/(100-Config!O29)</f>
        <v>0</v>
      </c>
      <c r="D19" s="617"/>
      <c r="E19" s="617"/>
      <c r="F19" s="903">
        <f ca="1">((B$120/1-100+1)^Config!J19-(OFFSET(History!G$18,$G$253,0)/1-100+1)^Config!J19)*(100-B145)/(100-Config!M29)</f>
        <v>0</v>
      </c>
      <c r="G19" s="904">
        <f ca="1">((C$120/1.5-100+1)^Config!K19-(OFFSET(History!H$18,$G$253,0)/1.5-100+1)^Config!K19)*(100-C145)/(100-Config!N29)</f>
        <v>0</v>
      </c>
      <c r="H19" s="905">
        <f ca="1">((D$120/3-100+1)^Config!L19-(OFFSET(History!I$18,$G$253,0)/3-100+1)^Config!L19)*(100-D145)/(100-Config!O29)</f>
        <v>0</v>
      </c>
      <c r="I19" s="617"/>
      <c r="J19" s="617"/>
      <c r="K19" s="903">
        <f ca="1">((G$120/1-100+1)^Config!$J19-(B$120/1-100+1)^Config!$J19)*(100-G145)/(100-Config!$M29)</f>
        <v>0</v>
      </c>
      <c r="L19" s="904">
        <f ca="1">((H$120/1.5-100+1)^Config!$K19-(C$120/1.5-100+1)^Config!$K19)*(100-H145)/(100-Config!$N29)</f>
        <v>0</v>
      </c>
      <c r="M19" s="905">
        <f ca="1">((I$120/3-100+1)^Config!$L19-(D$120/3-100+1)^Config!$L19)*(100-I145)/(100-Config!$O29)</f>
        <v>0</v>
      </c>
      <c r="N19" s="617"/>
      <c r="O19" s="617"/>
      <c r="P19" s="903">
        <f ca="1">((L$120/1-100+1)^Config!$J19-(G$120/1-100+1)^Config!$J19)*(100-L145)/(100-Config!$M29)</f>
        <v>0</v>
      </c>
      <c r="Q19" s="904">
        <f ca="1">((M$120/1.5-100+1)^Config!$K19-(H$120/1.5-100+1)^Config!$K19)*(100-M145)/(100-Config!$N29)</f>
        <v>0</v>
      </c>
      <c r="R19" s="905">
        <f ca="1">((N$120/3-100+1)^Config!$L19-(I$120/3-100+1)^Config!$L19)*(100-N145)/(100-Config!$O29)</f>
        <v>0</v>
      </c>
      <c r="S19" s="617"/>
      <c r="T19" s="617"/>
      <c r="U19" s="903">
        <f ca="1">((Q$120/1-100+1)^Config!$J19-(L$120/1-100+1)^Config!$J19)*(100-Q145)/(100-Config!$M29)</f>
        <v>0</v>
      </c>
      <c r="V19" s="904">
        <f ca="1">((R$120/1.5-100+1)^Config!$K19-(M$120/1.5-100+1)^Config!$K19)*(100-R145)/(100-Config!$N29)</f>
        <v>0</v>
      </c>
      <c r="W19" s="905">
        <f ca="1">((S$120/3-100+1)^Config!$L19-(N$120/3-100+1)^Config!$L19)*(100-S145)/(100-Config!$O29)</f>
        <v>0</v>
      </c>
      <c r="X19" s="617"/>
      <c r="Y19" s="617"/>
      <c r="Z19" s="641">
        <f>'42'!$U$19</f>
        <v>0</v>
      </c>
      <c r="AA19" s="642">
        <f>'42'!$W$19</f>
        <v>0</v>
      </c>
      <c r="AB19" s="643">
        <f>'42'!$Y$19</f>
        <v>0</v>
      </c>
      <c r="AC19" s="1114"/>
    </row>
    <row r="20" spans="1:29" ht="12.9" customHeight="1" thickBot="1" x14ac:dyDescent="0.3">
      <c r="A20" s="617"/>
      <c r="B20" s="617"/>
      <c r="C20" s="617"/>
      <c r="D20" s="617"/>
      <c r="E20" s="617"/>
      <c r="F20" s="617"/>
      <c r="G20" s="617"/>
      <c r="H20" s="617"/>
      <c r="I20" s="617"/>
      <c r="J20" s="617"/>
      <c r="K20" s="617"/>
      <c r="L20" s="617"/>
      <c r="M20" s="617"/>
      <c r="N20" s="617"/>
      <c r="O20" s="617"/>
      <c r="P20" s="617"/>
      <c r="Q20" s="617"/>
      <c r="R20" s="617"/>
      <c r="S20" s="617"/>
      <c r="T20" s="617"/>
      <c r="U20" s="617"/>
      <c r="V20" s="617"/>
      <c r="W20" s="617"/>
      <c r="X20" s="617"/>
      <c r="Y20" s="617"/>
    </row>
    <row r="21" spans="1:29" ht="12.9" customHeight="1" x14ac:dyDescent="0.25">
      <c r="A21" s="1190" t="str">
        <f>Lang!$A$48</f>
        <v>R&amp;D</v>
      </c>
      <c r="B21" s="1191"/>
      <c r="C21" s="1192"/>
      <c r="D21" s="617"/>
      <c r="E21" s="617"/>
      <c r="F21" s="1190" t="str">
        <f>A21</f>
        <v>R&amp;D</v>
      </c>
      <c r="G21" s="1191"/>
      <c r="H21" s="1192"/>
      <c r="I21" s="617"/>
      <c r="J21" s="617"/>
      <c r="K21" s="1190" t="str">
        <f>A21</f>
        <v>R&amp;D</v>
      </c>
      <c r="L21" s="1191"/>
      <c r="M21" s="1192"/>
      <c r="N21" s="617"/>
      <c r="O21" s="617"/>
      <c r="P21" s="1187" t="str">
        <f>A21</f>
        <v>R&amp;D</v>
      </c>
      <c r="Q21" s="1188"/>
      <c r="R21" s="1189"/>
      <c r="S21" s="617"/>
      <c r="T21" s="617"/>
      <c r="U21" s="1190" t="str">
        <f>A21</f>
        <v>R&amp;D</v>
      </c>
      <c r="V21" s="1191"/>
      <c r="W21" s="1192"/>
      <c r="X21" s="617"/>
      <c r="Y21" s="617"/>
      <c r="Z21" s="1131" t="str">
        <f>IF(AB21=4,"Taxes","")</f>
        <v/>
      </c>
      <c r="AA21" s="1132"/>
      <c r="AB21" s="806">
        <f>IF(AB16=4,1,AB16+1)</f>
        <v>2</v>
      </c>
      <c r="AC21" s="1114">
        <f>SUM(Z22:AB24)</f>
        <v>2892</v>
      </c>
    </row>
    <row r="22" spans="1:29" ht="12.9" customHeight="1" x14ac:dyDescent="0.25">
      <c r="A22" s="900">
        <f ca="1">(B$123*20+60-History!$W$6)*(Config!$J7+(Config!$M27-Config!$M27)*Config!$M7)</f>
        <v>7.2714547270456044E-3</v>
      </c>
      <c r="B22" s="901">
        <f ca="1">(C$123*20+60-History!$W$16)*(Config!$K7+(Config!$N27-Config!$N27)*Config!$N7)</f>
        <v>0</v>
      </c>
      <c r="C22" s="902">
        <f ca="1">(D$123*20+60-History!$W$26)*(Config!$L7+(Config!$O27-Config!$O27)*Config!$O7)</f>
        <v>4.9076024195021072E-3</v>
      </c>
      <c r="D22" s="617">
        <f ca="1">SUM(A22:C24)</f>
        <v>4.4767279425562571E-2</v>
      </c>
      <c r="E22" s="617">
        <f ca="1">SUM('1'!N22:P24)</f>
        <v>4.4767279425562571E-2</v>
      </c>
      <c r="F22" s="900">
        <f ca="1">((G$123*20+60)-(B$123*20+60))*(Config!$J7+(B143-Config!$M27)*Config!$M7)</f>
        <v>0.12315372710323909</v>
      </c>
      <c r="G22" s="901">
        <f ca="1">((H$123*20+60)-(C$123*20+60))*(Config!$K7+(C143-Config!$N27)*Config!$N7)</f>
        <v>0</v>
      </c>
      <c r="H22" s="902">
        <f ca="1">((I$123*20+60)-(D$123*20+60))*(Config!$L7+(D143-Config!$O27)*Config!$O7)</f>
        <v>3.7938340476184563E-3</v>
      </c>
      <c r="I22" s="617">
        <f ca="1">SUM(F22:H24)</f>
        <v>0.45509698052375486</v>
      </c>
      <c r="J22" s="617">
        <f ca="1">SUM('2'!N22:P24)</f>
        <v>3.8084669194260672E-2</v>
      </c>
      <c r="K22" s="900">
        <f ca="1">((L$123*20+60)-(G$123*20+60))*(Config!$J7+(G143-Config!$M27)*Config!$M7)</f>
        <v>0.10296958084555713</v>
      </c>
      <c r="L22" s="901">
        <f ca="1">((M$123*20+60)-(H$123*20+60))*(Config!$K7+(H143-Config!$N27)*Config!$N7)</f>
        <v>0</v>
      </c>
      <c r="M22" s="902">
        <f ca="1">((N$123*20+60)-(I$123*20+60))*(Config!$L7+(I143-Config!$O27)*Config!$O7)</f>
        <v>0</v>
      </c>
      <c r="N22" s="617">
        <f ca="1">SUM(K22:M24)</f>
        <v>0.36532280543749207</v>
      </c>
      <c r="O22" s="617">
        <f ca="1">SUM('3'!N22:P24)</f>
        <v>1.3357416067020544</v>
      </c>
      <c r="P22" s="900">
        <f ca="1">((Q$123*20+60)-(L$123*20+60))*(Config!$J7+(L143-Config!$M27)*Config!$M7)</f>
        <v>-4.5100355354514652E-3</v>
      </c>
      <c r="Q22" s="901">
        <f ca="1">((R$123*20+60)-(M$123*20+60))*(Config!$K7+(M143-Config!$N27)*Config!$N7)</f>
        <v>6.8738394182831397E-2</v>
      </c>
      <c r="R22" s="902">
        <f ca="1">((S$123*20+60)-(N$123*20+60))*(Config!$L7+(N143-Config!$O27)*Config!$O7)</f>
        <v>4.4356551780943609E-2</v>
      </c>
      <c r="S22" s="617">
        <f ca="1">SUM(P22:R24)</f>
        <v>0.42743599272720817</v>
      </c>
      <c r="T22" s="617">
        <f ca="1">SUM('4'!N22:P24)</f>
        <v>0.26679524982075709</v>
      </c>
      <c r="U22" s="900">
        <f ca="1">((V$123*20+60)-(Q$123*20+60))*(Config!$J7+(Q143-Config!$M27)*Config!$M7)</f>
        <v>-3.9832407045366147E-3</v>
      </c>
      <c r="V22" s="901">
        <f ca="1">((W$123*20+60)-(R$123*20+60))*(Config!$K7+(R143-Config!$N27)*Config!$N7)</f>
        <v>-3.1580395926410058E-3</v>
      </c>
      <c r="W22" s="902">
        <f ca="1">((X$123*20+60)-(S$123*20+60))*(Config!$L7+(S143-Config!$O27)*Config!$O7)</f>
        <v>3.7297318353453658E-2</v>
      </c>
      <c r="X22" s="617">
        <f ca="1">SUM(U22:W24)</f>
        <v>0.12766021207817316</v>
      </c>
      <c r="Y22" s="617" t="e">
        <f ca="1">SUM('5'!N22:P24)</f>
        <v>#VALUE!</v>
      </c>
      <c r="Z22" s="638">
        <f>'52'!$U$17</f>
        <v>1016</v>
      </c>
      <c r="AA22" s="639">
        <f>'52'!$W$17</f>
        <v>670</v>
      </c>
      <c r="AB22" s="640">
        <f>'52'!$Y$17</f>
        <v>396</v>
      </c>
      <c r="AC22" s="1114"/>
    </row>
    <row r="23" spans="1:29" ht="12.9" customHeight="1" x14ac:dyDescent="0.25">
      <c r="A23" s="900">
        <f ca="1">(B$123*20+60-History!$W$6)*(Config!$J8+(Config!$M28-Config!$M28)*Config!$M8)</f>
        <v>1.0092436314179606E-2</v>
      </c>
      <c r="B23" s="901">
        <f ca="1">(C$123*20+60-History!$W$16)*(Config!$K8+(Config!$N28-Config!$N28)*Config!$N8)</f>
        <v>0</v>
      </c>
      <c r="C23" s="902">
        <f ca="1">(D$123*20+60-History!$W$26)*(Config!$L8+(Config!$O28-Config!$O28)*Config!$O8)</f>
        <v>8.7470417846089062E-3</v>
      </c>
      <c r="D23" s="617"/>
      <c r="E23" s="617"/>
      <c r="F23" s="900">
        <f ca="1">((G$123*20+60)-(B$123*20+60))*(Config!$J8+(B144-Config!$M28)*Config!$M8)</f>
        <v>0.17957335884591913</v>
      </c>
      <c r="G23" s="901">
        <f ca="1">((H$123*20+60)-(C$123*20+60))*(Config!$K8+(C144-Config!$N28)*Config!$N8)</f>
        <v>0</v>
      </c>
      <c r="H23" s="902">
        <f ca="1">((I$123*20+60)-(D$123*20+60))*(Config!$L8+(D144-Config!$O28)*Config!$O8)</f>
        <v>7.6332734127252562E-3</v>
      </c>
      <c r="I23" s="617"/>
      <c r="J23" s="617"/>
      <c r="K23" s="900">
        <f ca="1">((L$123*20+60)-(G$123*20+60))*(Config!$J8+(G144-Config!$M28)*Config!$M8)</f>
        <v>0.154985711418792</v>
      </c>
      <c r="L23" s="901">
        <f ca="1">((M$123*20+60)-(H$123*20+60))*(Config!$K8+(H144-Config!$N28)*Config!$N8)</f>
        <v>0</v>
      </c>
      <c r="M23" s="902">
        <f ca="1">((N$123*20+60)-(I$123*20+60))*(Config!$L8+(I144-Config!$O28)*Config!$O8)</f>
        <v>0</v>
      </c>
      <c r="N23" s="617"/>
      <c r="O23" s="617"/>
      <c r="P23" s="900">
        <f ca="1">((Q$123*20+60)-(L$123*20+60))*(Config!$J8+(L144-Config!$M28)*Config!$M8)</f>
        <v>-7.2288517416901716E-3</v>
      </c>
      <c r="Q23" s="901">
        <f ca="1">((R$123*20+60)-(M$123*20+60))*(Config!$K8+(M144-Config!$N28)*Config!$N8)</f>
        <v>0.11693899643755194</v>
      </c>
      <c r="R23" s="902">
        <f ca="1">((S$123*20+60)-(N$123*20+60))*(Config!$L8+(N144-Config!$O28)*Config!$O8)</f>
        <v>9.9574942513205186E-2</v>
      </c>
      <c r="S23" s="617"/>
      <c r="T23" s="617"/>
      <c r="U23" s="900">
        <f ca="1">((V$123*20+60)-(Q$123*20+60))*(Config!$J8+(Q144-Config!$M28)*Config!$M8)</f>
        <v>-6.3679059122696609E-3</v>
      </c>
      <c r="V23" s="901">
        <f ca="1">((W$123*20+60)-(R$123*20+60))*(Config!$K8+(R144-Config!$N28)*Config!$N8)</f>
        <v>-5.2652752241048456E-3</v>
      </c>
      <c r="W23" s="902">
        <f ca="1">((X$123*20+60)-(S$123*20+60))*(Config!$L8+(S144-Config!$O28)*Config!$O8)</f>
        <v>8.2963545289830409E-2</v>
      </c>
      <c r="X23" s="617"/>
      <c r="Y23" s="617"/>
      <c r="Z23" s="638">
        <f>'52'!$U$18</f>
        <v>122</v>
      </c>
      <c r="AA23" s="639">
        <f>'52'!$W$18</f>
        <v>120</v>
      </c>
      <c r="AB23" s="640">
        <f>'52'!$Y$18</f>
        <v>63</v>
      </c>
      <c r="AC23" s="1114"/>
    </row>
    <row r="24" spans="1:29" ht="12.9" customHeight="1" thickBot="1" x14ac:dyDescent="0.3">
      <c r="A24" s="903">
        <f ca="1">(B$123*20+60-History!$W$6)*(Config!$J9+(Config!$M29-Config!$M29)*Config!$M9)</f>
        <v>7.925430460188591E-3</v>
      </c>
      <c r="B24" s="904">
        <f ca="1">(C$123*20+60-History!$W$16)*(Config!$K9+(Config!$N29-Config!$N29)*Config!$N9)</f>
        <v>0</v>
      </c>
      <c r="C24" s="905">
        <f ca="1">(D$123*20+60-History!$W$26)*(Config!$L9+(Config!$O29-Config!$O29)*Config!$O9)</f>
        <v>5.8233137200377552E-3</v>
      </c>
      <c r="D24" s="617"/>
      <c r="E24" s="617"/>
      <c r="F24" s="903">
        <f ca="1">((G$123*20+60)-(B$123*20+60))*(Config!$J9+(B145-Config!$M29)*Config!$M9)</f>
        <v>0.13623324176609883</v>
      </c>
      <c r="G24" s="904">
        <f ca="1">((H$123*20+60)-(C$123*20+60))*(Config!$K9+(C145-Config!$N29)*Config!$N9)</f>
        <v>0</v>
      </c>
      <c r="H24" s="905">
        <f ca="1">((I$123*20+60)-(D$123*20+60))*(Config!$L9+(D145-Config!$O29)*Config!$O9)</f>
        <v>4.7095453481541052E-3</v>
      </c>
      <c r="I24" s="617"/>
      <c r="J24" s="617"/>
      <c r="K24" s="903">
        <f ca="1">((L$123*20+60)-(G$123*20+60))*(Config!$J9+(G145-Config!$M29)*Config!$M9)</f>
        <v>0.10736751317314294</v>
      </c>
      <c r="L24" s="904">
        <f ca="1">((M$123*20+60)-(H$123*20+60))*(Config!$K9+(H145-Config!$N29)*Config!$N9)</f>
        <v>0</v>
      </c>
      <c r="M24" s="905">
        <f ca="1">((N$123*20+60)-(I$123*20+60))*(Config!$L9+(I145-Config!$O29)*Config!$O9)</f>
        <v>0</v>
      </c>
      <c r="N24" s="617"/>
      <c r="O24" s="617"/>
      <c r="P24" s="903">
        <f ca="1">((Q$123*20+60)-(L$123*20+60))*(Config!$J9+(L145-Config!$M29)*Config!$M9)</f>
        <v>-4.380015184212006E-3</v>
      </c>
      <c r="Q24" s="904">
        <f ca="1">((R$123*20+60)-(M$123*20+60))*(Config!$K9+(M145-Config!$N29)*Config!$N9)</f>
        <v>6.9985088388663783E-2</v>
      </c>
      <c r="R24" s="905">
        <f ca="1">((S$123*20+60)-(N$123*20+60))*(Config!$L9+(N145-Config!$O29)*Config!$O9)</f>
        <v>4.3960921885365899E-2</v>
      </c>
      <c r="S24" s="617"/>
      <c r="T24" s="617"/>
      <c r="U24" s="903">
        <f ca="1">((V$123*20+60)-(Q$123*20+60))*(Config!$J9+(Q145-Config!$M29)*Config!$M9)</f>
        <v>-3.5681088568345308E-3</v>
      </c>
      <c r="V24" s="904">
        <f ca="1">((W$123*20+60)-(R$123*20+60))*(Config!$K9+(R145-Config!$N29)*Config!$N9)</f>
        <v>-2.97198964870135E-3</v>
      </c>
      <c r="W24" s="905">
        <f ca="1">((X$123*20+60)-(S$123*20+60))*(Config!$L9+(S145-Config!$O29)*Config!$O9)</f>
        <v>3.2713908373977106E-2</v>
      </c>
      <c r="X24" s="617"/>
      <c r="Y24" s="617"/>
      <c r="Z24" s="641">
        <f>'52'!$U$19</f>
        <v>243</v>
      </c>
      <c r="AA24" s="642">
        <f>'52'!$W$19</f>
        <v>167</v>
      </c>
      <c r="AB24" s="643">
        <f>'52'!$Y$19</f>
        <v>95</v>
      </c>
      <c r="AC24" s="1114"/>
    </row>
    <row r="25" spans="1:29" ht="12.9" customHeight="1" thickBot="1" x14ac:dyDescent="0.3">
      <c r="A25" s="941"/>
      <c r="B25" s="941"/>
      <c r="C25" s="941"/>
      <c r="D25" s="617"/>
      <c r="E25" s="617"/>
      <c r="F25" s="941"/>
      <c r="G25" s="941"/>
      <c r="H25" s="941"/>
      <c r="I25" s="617"/>
      <c r="J25" s="617"/>
      <c r="K25" s="941"/>
      <c r="L25" s="941"/>
      <c r="M25" s="941"/>
      <c r="N25" s="617"/>
      <c r="O25" s="617"/>
      <c r="P25" s="941"/>
      <c r="Q25" s="941"/>
      <c r="R25" s="941"/>
      <c r="S25" s="617"/>
      <c r="T25" s="617"/>
      <c r="U25" s="941"/>
      <c r="V25" s="941"/>
      <c r="W25" s="941"/>
      <c r="X25" s="617"/>
      <c r="Y25" s="617"/>
    </row>
    <row r="26" spans="1:29" ht="12.9" customHeight="1" x14ac:dyDescent="0.25">
      <c r="A26" s="1187" t="str">
        <f>Lang!$A$61</f>
        <v>Corporate advertising</v>
      </c>
      <c r="B26" s="1188"/>
      <c r="C26" s="1189"/>
      <c r="D26" s="942"/>
      <c r="E26" s="617"/>
      <c r="F26" s="1190" t="str">
        <f>A26</f>
        <v>Corporate advertising</v>
      </c>
      <c r="G26" s="1191"/>
      <c r="H26" s="1192"/>
      <c r="I26" s="617"/>
      <c r="J26" s="617"/>
      <c r="K26" s="1190" t="str">
        <f>A26</f>
        <v>Corporate advertising</v>
      </c>
      <c r="L26" s="1191"/>
      <c r="M26" s="1192"/>
      <c r="N26" s="617"/>
      <c r="O26" s="617"/>
      <c r="P26" s="1187" t="str">
        <f>A26</f>
        <v>Corporate advertising</v>
      </c>
      <c r="Q26" s="1188"/>
      <c r="R26" s="1189"/>
      <c r="S26" s="617"/>
      <c r="T26" s="617"/>
      <c r="U26" s="1190" t="str">
        <f>A26</f>
        <v>Corporate advertising</v>
      </c>
      <c r="V26" s="1191"/>
      <c r="W26" s="1192"/>
      <c r="X26" s="942"/>
      <c r="Y26" s="617"/>
      <c r="Z26" s="1080" t="str">
        <f>IF(AB26=4,"Taxes","")</f>
        <v/>
      </c>
      <c r="AA26" s="1104"/>
      <c r="AB26" s="806">
        <f>IF(AB21=4,1,AB21+1)</f>
        <v>3</v>
      </c>
      <c r="AC26" s="1114">
        <f>SUM(Z27:AB29)</f>
        <v>3376</v>
      </c>
    </row>
    <row r="27" spans="1:29" ht="12.9" customHeight="1" x14ac:dyDescent="0.25">
      <c r="A27" s="900">
        <f ca="1">Config!$G17*(OFFSET(History!$A$32,$B$253,0)+OFFSET(History!$A$31,$B$253,0)*Config!$H17+OFFSET(History!$A$30,$B$253,0)*Config!$H17^2+OFFSET(History!$A$29,$B$253,0)*Config!$H17^3)-Config!$G17*(OFFSET(History!$A$31,$B$253,0)+OFFSET(History!$A$30,$B$253,0)*Config!$H17+OFFSET(History!$A$29,$B$253,0)*Config!$H17^2+OFFSET(History!$A$28,$B$253,0)*Config!$H17^3)</f>
        <v>-4.1704343466631702E-5</v>
      </c>
      <c r="B27" s="901">
        <f ca="1">Config!$G17*(OFFSET(History!$A$32,$B$253,0)+OFFSET(History!$A$31,$B$253,0)*Config!$H17+OFFSET(History!$A$30,$B$253,0)*Config!$H17^2+OFFSET(History!$A$29,$B$253,0)*Config!$H17^3)-Config!$G17*(OFFSET(History!$A$31,$B$253,0)+OFFSET(History!$A$30,$B$253,0)*Config!$H17+OFFSET(History!$A$29,$B$253,0)*Config!$H17^2+OFFSET(History!$A$28,$B$253,0)*Config!$H17^3)</f>
        <v>-4.1704343466631702E-5</v>
      </c>
      <c r="C27" s="902">
        <f ca="1">Config!$G17*(OFFSET(History!$A$32,$B$253,0)+OFFSET(History!$A$31,$B$253,0)*Config!$H17+OFFSET(History!$A$30,$B$253,0)*Config!$H17^2+OFFSET(History!$A$29,$B$253,0)*Config!$H17^3)-Config!$G17*(OFFSET(History!$A$31,$B$253,0)+OFFSET(History!$A$30,$B$253,0)*Config!$H17+OFFSET(History!$A$29,$B$253,0)*Config!$H17^2+OFFSET(History!$A$28,$B$253,0)*Config!$H17^3)</f>
        <v>-4.1704343466631702E-5</v>
      </c>
      <c r="D27" s="617">
        <f ca="1">SUM(A27:C29)</f>
        <v>1.1559638385692551E-3</v>
      </c>
      <c r="E27" s="617">
        <f ca="1">SUM('1'!N27:P29)</f>
        <v>1.1559638385692551E-3</v>
      </c>
      <c r="F27" s="900">
        <f ca="1">Config!$G17*($A$138+OFFSET(History!$A$31,$G$253,0)*Config!$H17+OFFSET(History!$A$30,$G$253,0)*Config!$H17^2+OFFSET(History!$A$29,$G$253,0)*Config!$H17^3)-Config!$G17*(OFFSET(History!$A$31,$G$253,0)+OFFSET(History!$A$30,$G$253,0)*Config!$H17+OFFSET(History!$A$29,$G$253,0)*Config!$H17^2+OFFSET(History!$A$28,$G$253,0)*Config!$H17^3)</f>
        <v>3.4704228267276116E-4</v>
      </c>
      <c r="G27" s="901">
        <f ca="1">Config!$G17*($A$138+OFFSET(History!$A$31,$G$253,0)*Config!$H17+OFFSET(History!$A$30,$G$253,0)*Config!$H17^2+OFFSET(History!$A$29,$G$253,0)*Config!$H17^3)-Config!$G17*(OFFSET(History!$A$31,$G$253,0)+OFFSET(History!$A$30,$G$253,0)*Config!$H17+OFFSET(History!$A$29,$G$253,0)*Config!$H17^2+OFFSET(History!$A$28,$G$253,0)*Config!$H17^3)</f>
        <v>3.4704228267276116E-4</v>
      </c>
      <c r="H27" s="902">
        <f ca="1">Config!$G17*($A$138+OFFSET(History!$A$31,$G$253,0)*Config!$H17+OFFSET(History!$A$30,$G$253,0)*Config!$H17^2+OFFSET(History!$A$29,$G$253,0)*Config!$H17^3)-Config!$G17*(OFFSET(History!$A$31,$G$253,0)+OFFSET(History!$A$30,$G$253,0)*Config!$H17+OFFSET(History!$A$29,$G$253,0)*Config!$H17^2+OFFSET(History!$A$28,$G$253,0)*Config!$H17^3)</f>
        <v>3.4704228267276116E-4</v>
      </c>
      <c r="I27" s="617">
        <f ca="1">SUM(F27:H29)</f>
        <v>2.5062093987736449E-3</v>
      </c>
      <c r="J27" s="617">
        <f ca="1">SUM('2'!N27:P29)</f>
        <v>3.7555616163955853E-3</v>
      </c>
      <c r="K27" s="900">
        <f ca="1">Config!$G17*($F$138+$A$138*Config!$H17+OFFSET(History!$A$30,$L$253,0)*Config!$H17^2+OFFSET(History!$A$29,$L$253,0)*Config!$H17^3)-Config!$G17*($A$138+OFFSET(History!$A$30,$L$253,0)*Config!$H17+OFFSET(History!$A$29,$L$253,0)*Config!$H17^2+OFFSET(History!$A$28,$L$253,0)*Config!$H17^3)</f>
        <v>1.712571413331216E-4</v>
      </c>
      <c r="L27" s="901">
        <f ca="1">Config!$G17*($F$138+$A$138*Config!$H17+OFFSET(History!$A$30,$L$253,0)*Config!$H17^2+OFFSET(History!$A$29,$L$253,0)*Config!$H17^3)-Config!$G17*($A$138+OFFSET(History!$A$30,$L$253,0)*Config!$H17+OFFSET(History!$A$29,$L$253,0)*Config!$H17^2+OFFSET(History!$A$28,$L$253,0)*Config!$H17^3)</f>
        <v>1.712571413331216E-4</v>
      </c>
      <c r="M27" s="902">
        <f ca="1">Config!$G17*($F$138+$A$138*Config!$H17+OFFSET(History!$A$30,$L$253,0)*Config!$H17^2+OFFSET(History!$A$29,$L$253,0)*Config!$H17^3)-Config!$G17*($A$138+OFFSET(History!$A$30,$L$253,0)*Config!$H17+OFFSET(History!$A$29,$L$253,0)*Config!$H17^2+OFFSET(History!$A$28,$L$253,0)*Config!$H17^3)</f>
        <v>1.712571413331216E-4</v>
      </c>
      <c r="N27" s="617">
        <f ca="1">SUM(K27:M29)</f>
        <v>1.1750146239986449E-3</v>
      </c>
      <c r="O27" s="617">
        <f ca="1">SUM('3'!N27:P29)</f>
        <v>4.9149208768527316E-3</v>
      </c>
      <c r="P27" s="900">
        <f ca="1">Config!$G17*($K$138+$F$138*Config!$H17+$A$138*Config!$H17^2+OFFSET(History!$A$29,$Q$253,0)*Config!$H17^3)-Config!$G17*($F$138+$A$138*Config!$H17+OFFSET(History!$A$29,$Q$253,0)*Config!$H17^2+OFFSET(History!$A$28,$Q$253,0)*Config!$H17^3)</f>
        <v>-2.6253094234928776E-4</v>
      </c>
      <c r="Q27" s="901">
        <f ca="1">Config!$G17*($K$138+$F$138*Config!$H17+$A$138*Config!$H17^2+OFFSET(History!$A$29,$Q$253,0)*Config!$H17^3)-Config!$G17*($F$138+$A$138*Config!$H17+OFFSET(History!$A$29,$Q$253,0)*Config!$H17^2+OFFSET(History!$A$28,$Q$253,0)*Config!$H17^3)</f>
        <v>-2.6253094234928776E-4</v>
      </c>
      <c r="R27" s="902">
        <f ca="1">Config!$G17*($K$138+$F$138*Config!$H17+$A$138*Config!$H17^2+OFFSET(History!$A$29,$Q$253,0)*Config!$H17^3)-Config!$G17*($F$138+$A$138*Config!$H17+OFFSET(History!$A$29,$Q$253,0)*Config!$H17^2+OFFSET(History!$A$28,$Q$253,0)*Config!$H17^3)</f>
        <v>-2.6253094234928776E-4</v>
      </c>
      <c r="S27" s="617">
        <f ca="1">SUM(P27:R29)</f>
        <v>-1.4176670886861537E-3</v>
      </c>
      <c r="T27" s="617">
        <f ca="1">SUM('4'!N27:P29)</f>
        <v>2.3019163349093583E-3</v>
      </c>
      <c r="U27" s="900">
        <f ca="1">Config!$G17*($P$138+$K$138*Config!$H17+$F$138*Config!$H17^2+$A$138*Config!$H17^3)-Config!$G17*($K$138+$F$138*Config!$H17+$A$138*Config!$H17^2+OFFSET(History!$A$28,$V$253,0)*Config!$H17^3)</f>
        <v>-4.7659508053925128E-4</v>
      </c>
      <c r="V27" s="901">
        <f ca="1">Config!$G17*($P$138+$K$138*Config!$H17+$F$138*Config!$H17^2+$A$138*Config!$H17^3)-Config!$G17*($K$138+$F$138*Config!$H17+$A$138*Config!$H17^2+OFFSET(History!$A$28,$V$253,0)*Config!$H17^3)</f>
        <v>-4.7659508053925128E-4</v>
      </c>
      <c r="W27" s="902">
        <f ca="1">Config!$G17*($P$138+$K$138*Config!$H17+$F$138*Config!$H17^2+$A$138*Config!$H17^3)-Config!$G17*($K$138+$F$138*Config!$H17+$A$138*Config!$H17^2+OFFSET(History!$A$28,$V$253,0)*Config!$H17^3)</f>
        <v>-4.7659508053925128E-4</v>
      </c>
      <c r="X27" s="617">
        <f ca="1">SUM(U27:W29)</f>
        <v>-2.781838804515613E-3</v>
      </c>
      <c r="Y27" s="617">
        <f ca="1">SUM('5'!N27:P29)</f>
        <v>-1.0316454174090176E-2</v>
      </c>
      <c r="Z27" s="638">
        <f>'62'!$U$17</f>
        <v>970</v>
      </c>
      <c r="AA27" s="639">
        <f>'62'!$W$17</f>
        <v>663</v>
      </c>
      <c r="AB27" s="640">
        <f>'62'!$Y$17</f>
        <v>399</v>
      </c>
      <c r="AC27" s="1114"/>
    </row>
    <row r="28" spans="1:29" ht="12.9" customHeight="1" x14ac:dyDescent="0.25">
      <c r="A28" s="900">
        <f ca="1">Config!$G18*(OFFSET(History!$E$32,$B$253,0)+OFFSET(History!$E$31,$B$253,0)*Config!$H18+OFFSET(History!$E$30,$B$253,0)*Config!$H18^2+OFFSET(History!$E$29,$B$253,0)*Config!$H18^3)-Config!$G18*(OFFSET(History!$E$31,$B$253,0)+OFFSET(History!$E$30,$B$253,0)*Config!$H18+OFFSET(History!$E$29,$B$253,0)*Config!$H18^2+OFFSET(History!$E$28,$B$253,0)*Config!$H18^3)</f>
        <v>8.45113403234734E-5</v>
      </c>
      <c r="B28" s="901">
        <f ca="1">Config!$G18*(OFFSET(History!$E$32,$B$253,0)+OFFSET(History!$E$31,$B$253,0)*Config!$H18+OFFSET(History!$E$30,$B$253,0)*Config!$H18^2+OFFSET(History!$E$29,$B$253,0)*Config!$H18^3)-Config!$G18*(OFFSET(History!$E$31,$B$253,0)+OFFSET(History!$E$30,$B$253,0)*Config!$H18+OFFSET(History!$E$29,$B$253,0)*Config!$H18^2+OFFSET(History!$E$28,$B$253,0)*Config!$H18^3)</f>
        <v>8.45113403234734E-5</v>
      </c>
      <c r="C28" s="902">
        <f ca="1">Config!$G18*(OFFSET(History!$E$32,$B$253,0)+OFFSET(History!$E$31,$B$253,0)*Config!$H18+OFFSET(History!$E$30,$B$253,0)*Config!$H18^2+OFFSET(History!$E$29,$B$253,0)*Config!$H18^3)-Config!$G18*(OFFSET(History!$E$31,$B$253,0)+OFFSET(History!$E$30,$B$253,0)*Config!$H18+OFFSET(History!$E$29,$B$253,0)*Config!$H18^2+OFFSET(History!$E$28,$B$253,0)*Config!$H18^3)</f>
        <v>8.45113403234734E-5</v>
      </c>
      <c r="D28" s="617"/>
      <c r="E28" s="617"/>
      <c r="F28" s="900">
        <f ca="1">Config!$G18*($A$139+OFFSET(History!$E$31,$G$253,0)*Config!$H18+OFFSET(History!$E$30,$G$253,0)*Config!$H18^2+OFFSET(History!$E$29,$G$253,0)*Config!$H18^3)-Config!$G18*(OFFSET(History!$E$31,$G$253,0)+OFFSET(History!$E$30,$G$253,0)*Config!$H18+OFFSET(History!$E$29,$G$253,0)*Config!$H18^2+OFFSET(History!$E$28,$G$253,0)*Config!$H18^3)</f>
        <v>1.8052125653573591E-4</v>
      </c>
      <c r="G28" s="901">
        <f ca="1">Config!$G18*($A$139+OFFSET(History!$E$31,$G$253,0)*Config!$H18+OFFSET(History!$E$30,$G$253,0)*Config!$H18^2+OFFSET(History!$E$29,$G$253,0)*Config!$H18^3)-Config!$G18*(OFFSET(History!$E$31,$G$253,0)+OFFSET(History!$E$30,$G$253,0)*Config!$H18+OFFSET(History!$E$29,$G$253,0)*Config!$H18^2+OFFSET(History!$E$28,$G$253,0)*Config!$H18^3)</f>
        <v>1.8052125653573591E-4</v>
      </c>
      <c r="H28" s="902">
        <f ca="1">Config!$G18*($A$139+OFFSET(History!$E$31,$G$253,0)*Config!$H18+OFFSET(History!$E$30,$G$253,0)*Config!$H18^2+OFFSET(History!$E$29,$G$253,0)*Config!$H18^3)-Config!$G18*(OFFSET(History!$E$31,$G$253,0)+OFFSET(History!$E$30,$G$253,0)*Config!$H18+OFFSET(History!$E$29,$G$253,0)*Config!$H18^2+OFFSET(History!$E$28,$G$253,0)*Config!$H18^3)</f>
        <v>1.8052125653573591E-4</v>
      </c>
      <c r="I28" s="617"/>
      <c r="J28" s="617"/>
      <c r="K28" s="900">
        <f ca="1">Config!$G18*($F$139+$A$139*Config!$H18+OFFSET(History!$E$30,$L$253,0)*Config!$H18^2+OFFSET(History!$E$29,$L$253,0)*Config!$H18^3)-Config!$G18*($A$139+OFFSET(History!$E$30,$L$253,0)*Config!$H18+OFFSET(History!$E$29,$L$253,0)*Config!$H18^2+OFFSET(History!$E$28,$L$253,0)*Config!$H18^3)</f>
        <v>6.8502856533248641E-5</v>
      </c>
      <c r="L28" s="901">
        <f ca="1">Config!$G18*($F$139+$A$139*Config!$H18+OFFSET(History!$E$30,$L$253,0)*Config!$H18^2+OFFSET(History!$E$29,$L$253,0)*Config!$H18^3)-Config!$G18*($A$139+OFFSET(History!$E$30,$L$253,0)*Config!$H18+OFFSET(History!$E$29,$L$253,0)*Config!$H18^2+OFFSET(History!$E$28,$L$253,0)*Config!$H18^3)</f>
        <v>6.8502856533248641E-5</v>
      </c>
      <c r="M28" s="902">
        <f ca="1">Config!$G18*($F$139+$A$139*Config!$H18+OFFSET(History!$E$30,$L$253,0)*Config!$H18^2+OFFSET(History!$E$29,$L$253,0)*Config!$H18^3)-Config!$G18*($A$139+OFFSET(History!$E$30,$L$253,0)*Config!$H18+OFFSET(History!$E$29,$L$253,0)*Config!$H18^2+OFFSET(History!$E$28,$L$253,0)*Config!$H18^3)</f>
        <v>6.8502856533248641E-5</v>
      </c>
      <c r="N28" s="617"/>
      <c r="O28" s="617"/>
      <c r="P28" s="900">
        <f ca="1">Config!$G18*($K$139+$F$139*Config!$H18+$A$139*Config!$H18^2+OFFSET(History!$E$29,$Q$253,0)*Config!$H18^3)-Config!$G18*($F$139+$A$139*Config!$H18+OFFSET(History!$E$29,$Q$253,0)*Config!$H18^2+OFFSET(History!$E$28,$Q$253,0)*Config!$H18^3)</f>
        <v>-1.0501237693971504E-4</v>
      </c>
      <c r="Q28" s="901">
        <f ca="1">Config!$G18*($K$139+$F$139*Config!$H18+$A$139*Config!$H18^2+OFFSET(History!$E$29,$Q$253,0)*Config!$H18^3)-Config!$G18*($F$139+$A$139*Config!$H18+OFFSET(History!$E$29,$Q$253,0)*Config!$H18^2+OFFSET(History!$E$28,$Q$253,0)*Config!$H18^3)</f>
        <v>-1.0501237693971504E-4</v>
      </c>
      <c r="R28" s="902">
        <f ca="1">Config!$G18*($K$139+$F$139*Config!$H18+$A$139*Config!$H18^2+OFFSET(History!$E$29,$Q$253,0)*Config!$H18^3)-Config!$G18*($F$139+$A$139*Config!$H18+OFFSET(History!$E$29,$Q$253,0)*Config!$H18^2+OFFSET(History!$E$28,$Q$253,0)*Config!$H18^3)</f>
        <v>-1.0501237693971504E-4</v>
      </c>
      <c r="S28" s="617"/>
      <c r="T28" s="617"/>
      <c r="U28" s="900">
        <f ca="1">Config!$G18*($P$139+$K$139*Config!$H18+$F$139*Config!$H18^2+$A$139*Config!$H18^3)-Config!$G18*($K$139+$F$139*Config!$H18+$A$139*Config!$H18^2+OFFSET(History!$E$28,$V$253,0)*Config!$H18^3)</f>
        <v>-5.182111914659609E-5</v>
      </c>
      <c r="V28" s="901">
        <f ca="1">Config!$G18*($P$139+$K$139*Config!$H18+$F$139*Config!$H18^2+$A$139*Config!$H18^3)-Config!$G18*($K$139+$F$139*Config!$H18+$A$139*Config!$H18^2+OFFSET(History!$E$28,$V$253,0)*Config!$H18^3)</f>
        <v>-5.182111914659609E-5</v>
      </c>
      <c r="W28" s="902">
        <f ca="1">Config!$G18*($P$139+$K$139*Config!$H18+$F$139*Config!$H18^2+$A$139*Config!$H18^3)-Config!$G18*($K$139+$F$139*Config!$H18+$A$139*Config!$H18^2+OFFSET(History!$E$28,$V$253,0)*Config!$H18^3)</f>
        <v>-5.182111914659609E-5</v>
      </c>
      <c r="X28" s="617"/>
      <c r="Y28" s="617"/>
      <c r="Z28" s="638">
        <f>'62'!$U$18</f>
        <v>155</v>
      </c>
      <c r="AA28" s="639">
        <f>'62'!$W$18</f>
        <v>152</v>
      </c>
      <c r="AB28" s="640">
        <f>'62'!$Y$18</f>
        <v>77</v>
      </c>
      <c r="AC28" s="1114"/>
    </row>
    <row r="29" spans="1:29" ht="12.9" customHeight="1" thickBot="1" x14ac:dyDescent="0.3">
      <c r="A29" s="903">
        <f ca="1">Config!$G19*(OFFSET(History!$I$32,$B$253,0)+OFFSET(History!$I$31,$B$253,0)*Config!$H19+OFFSET(History!$I$30,$B$253,0)*Config!$H19^2+OFFSET(History!$I$29,$B$253,0)*Config!$H19^3)-Config!$G19*(OFFSET(History!$I$31,$B$253,0)+OFFSET(History!$I$30,$B$253,0)*Config!$H19+OFFSET(History!$I$29,$B$253,0)*Config!$H19^2+OFFSET(History!$I$28,$B$253,0)*Config!$H19^3)</f>
        <v>3.4251428266624331E-4</v>
      </c>
      <c r="B29" s="904">
        <f ca="1">Config!$G19*(OFFSET(History!$I$32,$B$253,0)+OFFSET(History!$I$31,$B$253,0)*Config!$H19+OFFSET(History!$I$30,$B$253,0)*Config!$H19^2+OFFSET(History!$I$29,$B$253,0)*Config!$H19^3)-Config!$G19*(OFFSET(History!$I$31,$B$253,0)+OFFSET(History!$I$30,$B$253,0)*Config!$H19+OFFSET(History!$I$29,$B$253,0)*Config!$H19^2+OFFSET(History!$I$28,$B$253,0)*Config!$H19^3)</f>
        <v>3.4251428266624331E-4</v>
      </c>
      <c r="C29" s="905">
        <f ca="1">Config!$G19*(OFFSET(History!$I$32,$B$253,0)+OFFSET(History!$I$31,$B$253,0)*Config!$H19+OFFSET(History!$I$30,$B$253,0)*Config!$H19^2+OFFSET(History!$I$29,$B$253,0)*Config!$H19^3)-Config!$G19*(OFFSET(History!$I$31,$B$253,0)+OFFSET(History!$I$30,$B$253,0)*Config!$H19+OFFSET(History!$I$29,$B$253,0)*Config!$H19^2+OFFSET(History!$I$28,$B$253,0)*Config!$H19^3)</f>
        <v>3.4251428266624331E-4</v>
      </c>
      <c r="D29" s="617"/>
      <c r="E29" s="617"/>
      <c r="F29" s="903">
        <f ca="1">Config!$G19*($A$140+OFFSET(History!$I$31,$G$253,0)*Config!$H19+OFFSET(History!$I$30,$G$253,0)*Config!$H19^2+OFFSET(History!$I$29,$G$253,0)*Config!$H19^3)-Config!$G19*(OFFSET(History!$I$31,$G$253,0)+OFFSET(History!$I$30,$G$253,0)*Config!$H19+OFFSET(History!$I$29,$G$253,0)*Config!$H19^2+OFFSET(History!$I$28,$G$253,0)*Config!$H19^3)</f>
        <v>3.0783959371605122E-4</v>
      </c>
      <c r="G29" s="904">
        <f ca="1">Config!$G19*($A$140+OFFSET(History!$I$31,$G$253,0)*Config!$H19+OFFSET(History!$I$30,$G$253,0)*Config!$H19^2+OFFSET(History!$I$29,$G$253,0)*Config!$H19^3)-Config!$G19*(OFFSET(History!$I$31,$G$253,0)+OFFSET(History!$I$30,$G$253,0)*Config!$H19+OFFSET(History!$I$29,$G$253,0)*Config!$H19^2+OFFSET(History!$I$28,$G$253,0)*Config!$H19^3)</f>
        <v>3.0783959371605122E-4</v>
      </c>
      <c r="H29" s="905">
        <f ca="1">Config!$G19*($A$140+OFFSET(History!$I$31,$G$253,0)*Config!$H19+OFFSET(History!$I$30,$G$253,0)*Config!$H19^2+OFFSET(History!$I$29,$G$253,0)*Config!$H19^3)-Config!$G19*(OFFSET(History!$I$31,$G$253,0)+OFFSET(History!$I$30,$G$253,0)*Config!$H19+OFFSET(History!$I$29,$G$253,0)*Config!$H19^2+OFFSET(History!$I$28,$G$253,0)*Config!$H19^3)</f>
        <v>3.0783959371605122E-4</v>
      </c>
      <c r="I29" s="617"/>
      <c r="J29" s="617"/>
      <c r="K29" s="903">
        <f ca="1">Config!$G19*($F$140+$A$140*Config!$H19+OFFSET(History!$I$30,$L$253,0)*Config!$H19^2+OFFSET(History!$I$29,$L$253,0)*Config!$H19^3)-Config!$G19*($A$140+OFFSET(History!$I$30,$L$253,0)*Config!$H19+OFFSET(History!$I$29,$L$253,0)*Config!$H19^2+OFFSET(History!$I$28,$L$253,0)*Config!$H19^3)</f>
        <v>1.5191154346651139E-4</v>
      </c>
      <c r="L29" s="904">
        <f ca="1">Config!$G19*($F$140+$A$140*Config!$H19+OFFSET(History!$I$30,$L$253,0)*Config!$H19^2+OFFSET(History!$I$29,$L$253,0)*Config!$H19^3)-Config!$G19*($A$140+OFFSET(History!$I$30,$L$253,0)*Config!$H19+OFFSET(History!$I$29,$L$253,0)*Config!$H19^2+OFFSET(History!$I$28,$L$253,0)*Config!$H19^3)</f>
        <v>1.5191154346651139E-4</v>
      </c>
      <c r="M29" s="905">
        <f ca="1">Config!$G19*($F$140+$A$140*Config!$H19+OFFSET(History!$I$30,$L$253,0)*Config!$H19^2+OFFSET(History!$I$29,$L$253,0)*Config!$H19^3)-Config!$G19*($A$140+OFFSET(History!$I$30,$L$253,0)*Config!$H19+OFFSET(History!$I$29,$L$253,0)*Config!$H19^2+OFFSET(History!$I$28,$L$253,0)*Config!$H19^3)</f>
        <v>1.5191154346651139E-4</v>
      </c>
      <c r="N29" s="617"/>
      <c r="O29" s="617"/>
      <c r="P29" s="903">
        <f ca="1">Config!$G19*($K$140+$F$140*Config!$H19+$A$140*Config!$H19^2+OFFSET(History!$I$29,$Q$253,0)*Config!$H19^3)-Config!$G19*($F$140+$A$140*Config!$H19+OFFSET(History!$I$29,$Q$253,0)*Config!$H19^2+OFFSET(History!$I$28,$Q$253,0)*Config!$H19^3)</f>
        <v>-1.0501237693971515E-4</v>
      </c>
      <c r="Q29" s="904">
        <f ca="1">Config!$G19*($K$140+$F$140*Config!$H19+$A$140*Config!$H19^2+OFFSET(History!$I$29,$Q$253,0)*Config!$H19^3)-Config!$G19*($F$140+$A$140*Config!$H19+OFFSET(History!$I$29,$Q$253,0)*Config!$H19^2+OFFSET(History!$I$28,$Q$253,0)*Config!$H19^3)</f>
        <v>-1.0501237693971515E-4</v>
      </c>
      <c r="R29" s="905">
        <f ca="1">Config!$G19*($K$140+$F$140*Config!$H19+$A$140*Config!$H19^2+OFFSET(History!$I$29,$Q$253,0)*Config!$H19^3)-Config!$G19*($F$140+$A$140*Config!$H19+OFFSET(History!$I$29,$Q$253,0)*Config!$H19^2+OFFSET(History!$I$28,$Q$253,0)*Config!$H19^3)</f>
        <v>-1.0501237693971515E-4</v>
      </c>
      <c r="S29" s="617"/>
      <c r="T29" s="617"/>
      <c r="U29" s="903">
        <f ca="1">Config!$G19*($P$140+$K$140*Config!$H19+$F$140*Config!$H19^2+$A$140*Config!$H19^3)-Config!$G19*($K$140+$F$140*Config!$H19+$A$140*Config!$H19^2+OFFSET(History!$I$28,$V$253,0)*Config!$H19^3)</f>
        <v>-3.9886340181935704E-4</v>
      </c>
      <c r="V29" s="904">
        <f ca="1">Config!$G19*($P$140+$K$140*Config!$H19+$F$140*Config!$H19^2+$A$140*Config!$H19^3)-Config!$G19*($K$140+$F$140*Config!$H19+$A$140*Config!$H19^2+OFFSET(History!$I$28,$V$253,0)*Config!$H19^3)</f>
        <v>-3.9886340181935704E-4</v>
      </c>
      <c r="W29" s="905">
        <f ca="1">Config!$G19*($P$140+$K$140*Config!$H19+$F$140*Config!$H19^2+$A$140*Config!$H19^3)-Config!$G19*($K$140+$F$140*Config!$H19+$A$140*Config!$H19^2+OFFSET(History!$I$28,$V$253,0)*Config!$H19^3)</f>
        <v>-3.9886340181935704E-4</v>
      </c>
      <c r="X29" s="617"/>
      <c r="Y29" s="617"/>
      <c r="Z29" s="641">
        <f>'62'!$U$19</f>
        <v>464</v>
      </c>
      <c r="AA29" s="642">
        <f>'62'!$W$19</f>
        <v>318</v>
      </c>
      <c r="AB29" s="643">
        <f>'62'!$Y$19</f>
        <v>178</v>
      </c>
      <c r="AC29" s="1114"/>
    </row>
    <row r="30" spans="1:29" ht="12.9" customHeight="1" thickBot="1" x14ac:dyDescent="0.3">
      <c r="A30" s="617"/>
      <c r="B30" s="703"/>
      <c r="C30" s="617"/>
      <c r="D30" s="617"/>
      <c r="E30" s="617"/>
      <c r="F30" s="617"/>
      <c r="G30" s="703"/>
      <c r="H30" s="617"/>
      <c r="I30" s="617"/>
      <c r="J30" s="617"/>
      <c r="K30" s="617"/>
      <c r="L30" s="703"/>
      <c r="M30" s="617"/>
      <c r="N30" s="617"/>
      <c r="O30" s="617"/>
      <c r="P30" s="617"/>
      <c r="Q30" s="703"/>
      <c r="R30" s="617"/>
      <c r="S30" s="617"/>
      <c r="T30" s="617"/>
      <c r="U30" s="617"/>
      <c r="V30" s="703"/>
      <c r="W30" s="617"/>
      <c r="X30" s="617"/>
      <c r="Y30" s="617"/>
    </row>
    <row r="31" spans="1:29" ht="12.9" customHeight="1" x14ac:dyDescent="0.25">
      <c r="A31" s="1187" t="str">
        <f>Lang!$A$67</f>
        <v>Direct advertising</v>
      </c>
      <c r="B31" s="1188"/>
      <c r="C31" s="1189"/>
      <c r="D31" s="703"/>
      <c r="E31" s="617"/>
      <c r="F31" s="1190" t="str">
        <f>A31</f>
        <v>Direct advertising</v>
      </c>
      <c r="G31" s="1191"/>
      <c r="H31" s="1192"/>
      <c r="I31" s="617"/>
      <c r="J31" s="617"/>
      <c r="K31" s="1190" t="str">
        <f>A31</f>
        <v>Direct advertising</v>
      </c>
      <c r="L31" s="1191"/>
      <c r="M31" s="1192"/>
      <c r="N31" s="617"/>
      <c r="O31" s="617"/>
      <c r="P31" s="1187" t="str">
        <f>A31</f>
        <v>Direct advertising</v>
      </c>
      <c r="Q31" s="1188"/>
      <c r="R31" s="1189"/>
      <c r="S31" s="617"/>
      <c r="T31" s="617"/>
      <c r="U31" s="1190" t="str">
        <f>A31</f>
        <v>Direct advertising</v>
      </c>
      <c r="V31" s="1191"/>
      <c r="W31" s="1192"/>
      <c r="X31" s="703"/>
      <c r="Y31" s="617"/>
      <c r="Z31" s="1080" t="str">
        <f>IF(AB31=4,"Taxes","")</f>
        <v>Taxes</v>
      </c>
      <c r="AA31" s="1104"/>
      <c r="AB31" s="806">
        <f>IF(AB26=4,1,AB26+1)</f>
        <v>4</v>
      </c>
      <c r="AC31" s="1114">
        <f>SUM(Z32:AB34)</f>
        <v>3802</v>
      </c>
    </row>
    <row r="32" spans="1:29" ht="12.9" customHeight="1" x14ac:dyDescent="0.25">
      <c r="A32" s="900">
        <f ca="1">Config!$L22*(B138+OFFSET(History!$B$32,$B$253,0)*Config!$O22+OFFSET(History!$B$31,$B$253,0)*Config!$O22^2+OFFSET(History!$B$30,$B$253,0)*Config!$O22^3)-Config!$L22*(OFFSET(History!$B$32,$B$253,0)+OFFSET(History!$B$31,$B$253,0)*Config!$O22+OFFSET(History!$B$30,$B$253,0)*Config!$O22^2+OFFSET(History!$B$29,$B$253,0)*Config!$O22^3)</f>
        <v>1.5858639043268303E-2</v>
      </c>
      <c r="B32" s="901">
        <f ca="1">Config!$M22*(C138+OFFSET(History!$C$32,$B$253,0)*Config!$O22+OFFSET(History!$C$31,$B$253,0)*Config!$O22^2+OFFSET(History!$C$30,$B$253,0)*Config!$O22^3)-Config!$M22*(OFFSET(History!$C$32,$B$253,0)+OFFSET(History!$C$31,$B$253,0)*Config!$O22+OFFSET(History!$C$30,$B$253,0)*Config!$O22^2+OFFSET(History!$C$29,$B$253,0)*Config!$O22^3)</f>
        <v>1.5858639043268303E-2</v>
      </c>
      <c r="C32" s="902">
        <f ca="1">Config!$N22*(D138+OFFSET(History!$D$32,$B$253,0)*Config!$O22+OFFSET(History!$D$31,$B$253,0)*Config!$O22^2+OFFSET(History!$D$30,$B$253,0)*Config!$O22^3)-Config!$N22*(OFFSET(History!$D$32,$B$253,0)+OFFSET(History!$D$31,$B$253,0)*Config!$O22+OFFSET(History!$D$30,$B$253,0)*Config!$O22^2+OFFSET(History!$D$29,$B$253,0)*Config!$O22^3)</f>
        <v>6.3434556173073142E-3</v>
      </c>
      <c r="D32" s="617">
        <f ca="1">SUM(A32:C34)</f>
        <v>9.1664489400693633E-2</v>
      </c>
      <c r="E32" s="617">
        <f ca="1">SUM('1'!N32:P34)</f>
        <v>2.505820541896675E-2</v>
      </c>
      <c r="F32" s="900">
        <f ca="1">Config!$L22*(G138+B138*Config!$O22+OFFSET(History!$B$31,$G$253,0)*Config!$O22^2+OFFSET(History!$B$30,$G$253,0)*Config!$O22^3)-Config!$L22*(B138+OFFSET(History!$B$31,$G$253,0)*Config!$O22+OFFSET(History!$B$30,$G$253,0)*Config!$O22^2+OFFSET(History!$B$29,$G$253,0)*Config!$O22^3)</f>
        <v>1.0457301510922383E-2</v>
      </c>
      <c r="G32" s="901">
        <f ca="1">Config!$M22*(H138+C138*Config!$O22+OFFSET(History!$C$31,$G$253,0)*Config!$O22^2+OFFSET(History!$C$30,$G$253,0)*Config!$O22^3)-Config!$M22*(C138+OFFSET(History!$C$31,$G$253,0)*Config!$O22+OFFSET(History!$C$30,$G$253,0)*Config!$O22^2+OFFSET(History!$C$29,$G$253,0)*Config!$O22^3)</f>
        <v>4.1138458936150618E-3</v>
      </c>
      <c r="H32" s="902">
        <f ca="1">Config!$N22*(I138+D138*Config!$O22+OFFSET(History!$D$31,$G$253,0)*Config!$O22^2+OFFSET(History!$D$30,$G$253,0)*Config!$O22^3)-Config!$N22*(D138+OFFSET(History!$D$31,$G$253,0)*Config!$O22+OFFSET(History!$D$30,$G$253,0)*Config!$O22^2+OFFSET(History!$D$29,$G$253,0)*Config!$O22^3)</f>
        <v>1.6455383574460261E-3</v>
      </c>
      <c r="I32" s="617">
        <f ca="1">SUM(F32:H34)</f>
        <v>3.9637071876155935E-2</v>
      </c>
      <c r="J32" s="617">
        <f ca="1">SUM('2'!N32:P34)</f>
        <v>3.3285522710507151E-3</v>
      </c>
      <c r="K32" s="900">
        <f ca="1">Config!$L22*(L138+G138*Config!$O22+B138*Config!$O22^2+OFFSET(History!$B$30,$G$253,0)*Config!$O22^3)-Config!$L22*(G138+B138*Config!$O22+OFFSET(History!$B$30,$G$253,0)*Config!$O22^2+OFFSET(History!$B$29,$G$253,0)*Config!$O22^3)</f>
        <v>2.712699794832886E-3</v>
      </c>
      <c r="L32" s="901">
        <f ca="1">Config!$M22*(M138+H138*Config!$O22+C138*Config!$O22^2+OFFSET(History!$C$30,$G$253,0)*Config!$O22^3)-Config!$M22*(H138+C138*Config!$O22+OFFSET(History!$C$30,$G$253,0)*Config!$O22^2+OFFSET(History!$C$29,$G$253,0)*Config!$O22^3)</f>
        <v>1.0671614373868599E-3</v>
      </c>
      <c r="M32" s="902">
        <f ca="1">Config!$N22*(N138+I138*Config!$O22+D138*Config!$O22^2+OFFSET(History!$D$30,$G$253,0)*Config!$O22^3)-Config!$N22*(I138+D138*Config!$O22+OFFSET(History!$D$30,$G$253,0)*Config!$O22^2+OFFSET(History!$D$29,$G$253,0)*Config!$O22^3)</f>
        <v>4.2686457495475644E-4</v>
      </c>
      <c r="N32" s="617">
        <f ca="1">SUM(K32:M34)</f>
        <v>1.6439921145261008E-2</v>
      </c>
      <c r="O32" s="617">
        <f ca="1">SUM('3'!N32:P34)</f>
        <v>1.967838276700587E-2</v>
      </c>
      <c r="P32" s="900">
        <f ca="1">Config!$L22*(Q138+L138*Config!$O22+G138*Config!$O22^2+B138*Config!$O22^3)-Config!$L22*(L138+G138*Config!$O22+B138*Config!$O22^2+OFFSET(History!$B$29,$G$253,0)*Config!$O22^3)</f>
        <v>7.0369398541300643E-4</v>
      </c>
      <c r="Q32" s="901">
        <f ca="1">Config!$M22*(R138+M138*Config!$O22+H138*Config!$O22^2+C138*Config!$O22^3)-Config!$M22*(M138+H138*Config!$O22+C138*Config!$O22^2+OFFSET(History!$C$29,$G$253,0)*Config!$O22^3)</f>
        <v>2.7682941045825693E-4</v>
      </c>
      <c r="R32" s="902">
        <f ca="1">Config!$N22*(S138+N138*Config!$O22+I138*Config!$O22^2+D138*Config!$O22^3)-Config!$N22*(N138+I138*Config!$O22+D138*Config!$O22^2+OFFSET(History!$D$29,$G$253,0)*Config!$O22^3)</f>
        <v>1.1073176418330277E-4</v>
      </c>
      <c r="S32" s="617">
        <f ca="1">SUM(P32:R34)</f>
        <v>1.7566599483673714E-2</v>
      </c>
      <c r="T32" s="617">
        <f ca="1">SUM('4'!N32:P34)</f>
        <v>0.11272802592536012</v>
      </c>
      <c r="U32" s="900">
        <f>Config!L22*(V138+Q138*Config!$O22+L138*Config!$O22^2+G138*Config!$O22^3)-Config!L22*(Q138+L138*Config!$O22+G138*Config!$O22^2+B138*Config!$O22^3)</f>
        <v>1.1073176418330277E-4</v>
      </c>
      <c r="V32" s="901">
        <f>Config!M22*(W138+R138*Config!$O22+M138*Config!$O22^2+H138*Config!$O22^3)-Config!M22*(R138+M138*Config!$O22+H138*Config!$O22^2+C138*Config!$O22^3)</f>
        <v>6.3434556173073142E-3</v>
      </c>
      <c r="W32" s="902">
        <f>Config!N22*(X138+S138*Config!$O22+N138*Config!$O22^2+I138*Config!$O22^3)-Config!N22*(S138+N138*Config!$O22+I138*Config!$O22^2+D138*Config!$O22^3)</f>
        <v>6.3434556173073142E-3</v>
      </c>
      <c r="X32" s="617">
        <f>SUM(U32:W34)</f>
        <v>7.3559350203208168E-2</v>
      </c>
      <c r="Y32" s="617">
        <f ca="1">SUM('5'!N32:P34)</f>
        <v>0.28970776319412567</v>
      </c>
      <c r="Z32" s="638">
        <f>'72'!$U$17</f>
        <v>1178</v>
      </c>
      <c r="AA32" s="639">
        <f>'72'!$W$17</f>
        <v>717</v>
      </c>
      <c r="AB32" s="640">
        <f>'72'!$Y$17</f>
        <v>392</v>
      </c>
      <c r="AC32" s="1114"/>
    </row>
    <row r="33" spans="1:36" ht="12.9" customHeight="1" x14ac:dyDescent="0.25">
      <c r="A33" s="900">
        <f ca="1">Config!$L23*(B139+OFFSET(History!$F$32,$B$253,0)*Config!$O23+OFFSET(History!$F$31,$B$253,0)*Config!$O23^2+OFFSET(History!$F$30,$B$253,0)*Config!$O23^3)-Config!$L23*(OFFSET(History!$F$32,$B$253,0)+OFFSET(History!$F$31,$B$253,0)*Config!$O23+OFFSET(History!$F$30,$B$253,0)*Config!$O23^2+OFFSET(History!$F$29,$B$253,0)*Config!$O23^3)</f>
        <v>7.410617054694181E-3</v>
      </c>
      <c r="B33" s="901">
        <f ca="1">Config!$M23*(C139+OFFSET(History!$G$32,$B$253,0)*Config!$O23+OFFSET(History!$G$31,$B$253,0)*Config!$O23^2+OFFSET(History!$G$30,$B$253,0)*Config!$O23^3)-Config!$M23*(OFFSET(History!$G$32,$B$253,0)+OFFSET(History!$G$31,$B$253,0)*Config!$O23+OFFSET(History!$G$30,$B$253,0)*Config!$O23^2+OFFSET(History!$G$29,$B$253,0)*Config!$O23^3)</f>
        <v>7.410617054694181E-3</v>
      </c>
      <c r="C33" s="902">
        <f ca="1">Config!$N23*(D139+OFFSET(History!$H$32,$B$253,0)*Config!$O23+OFFSET(History!$H$31,$B$253,0)*Config!$O23^2+OFFSET(History!$H$30,$B$253,0)*Config!$O23^3)-Config!$N23*(OFFSET(History!$H$32,$B$253,0)+OFFSET(History!$H$31,$B$253,0)*Config!$O23+OFFSET(History!$H$30,$B$253,0)*Config!$O23^2+OFFSET(History!$H$29,$B$253,0)*Config!$O23^3)</f>
        <v>7.410617054694181E-3</v>
      </c>
      <c r="D33" s="617"/>
      <c r="E33" s="617"/>
      <c r="F33" s="900">
        <f ca="1">Config!$L23*(G139+B139*Config!$O23+OFFSET(History!$F$31,$G$253,0)*Config!$O23^2+OFFSET(History!$F$30,$G$253,0)*Config!$O23^3)-Config!$L23*(B139+OFFSET(History!$F$31,$G$253,0)*Config!$O23+OFFSET(History!$F$30,$G$253,0)*Config!$O23^2+OFFSET(History!$F$29,$G$253,0)*Config!$O23^3)</f>
        <v>8.2658233852116007E-3</v>
      </c>
      <c r="G33" s="901">
        <f ca="1">Config!$M23*(H139+C139*Config!$O23+OFFSET(History!$G$31,$G$253,0)*Config!$O23^2+OFFSET(History!$G$30,$G$253,0)*Config!$O23^3)-Config!$M23*(C139+OFFSET(History!$G$31,$G$253,0)*Config!$O23+OFFSET(History!$G$30,$G$253,0)*Config!$O23^2+OFFSET(History!$G$29,$G$253,0)*Config!$O23^3)</f>
        <v>1.922367767904283E-3</v>
      </c>
      <c r="H33" s="902">
        <f ca="1">Config!$N23*(I139+D139*Config!$O23+OFFSET(History!$H$31,$G$253,0)*Config!$O23^2+OFFSET(History!$H$30,$G$253,0)*Config!$O23^3)-Config!$N23*(D139+OFFSET(History!$H$31,$G$253,0)*Config!$O23+OFFSET(History!$H$30,$G$253,0)*Config!$O23^2+OFFSET(History!$H$29,$G$253,0)*Config!$O23^3)</f>
        <v>1.922367767904283E-3</v>
      </c>
      <c r="I33" s="617"/>
      <c r="J33" s="617"/>
      <c r="K33" s="900">
        <f ca="1">Config!$L23*(L139+G139*Config!$O23+B139*Config!$O23^2+OFFSET(History!$F$30,$G$253,0)*Config!$O23^3)-Config!$L23*(G139+B139*Config!$O23+OFFSET(History!$F$30,$G$253,0)*Config!$O23^2+OFFSET(History!$F$29,$G$253,0)*Config!$O23^3)</f>
        <v>5.5209601515126897E-3</v>
      </c>
      <c r="L33" s="901">
        <f ca="1">Config!$M23*(M139+H139*Config!$O23+C139*Config!$O23^2+OFFSET(History!$G$30,$G$253,0)*Config!$O23^3)-Config!$M23*(H139+C139*Config!$O23+OFFSET(History!$G$30,$G$253,0)*Config!$O23^2+OFFSET(History!$G$29,$G$253,0)*Config!$O23^3)</f>
        <v>7.0369398541300296E-4</v>
      </c>
      <c r="M33" s="902">
        <f ca="1">Config!$N23*(N139+I139*Config!$O23+D139*Config!$O23^2+OFFSET(History!$H$30,$G$253,0)*Config!$O23^3)-Config!$N23*(I139+D139*Config!$O23+OFFSET(History!$H$30,$G$253,0)*Config!$O23^2+OFFSET(History!$H$29,$G$253,0)*Config!$O23^3)</f>
        <v>7.0369398541300296E-4</v>
      </c>
      <c r="N33" s="617"/>
      <c r="O33" s="617"/>
      <c r="P33" s="900">
        <f ca="1">Config!$L23*(Q139+L139*Config!$O23+G139*Config!$O23^2+B139*Config!$O23^3)-Config!$L23*(L139+G139*Config!$O23+B139*Config!$O23^2+OFFSET(History!$F$29,$G$253,0)*Config!$O23^3)</f>
        <v>1.6371949283193188E-3</v>
      </c>
      <c r="Q33" s="901">
        <f ca="1">Config!$M23*(R139+M139*Config!$O23+H139*Config!$O23^2+C139*Config!$O23^3)-Config!$M23*(M139+H139*Config!$O23+C139*Config!$O23^2+OFFSET(History!$G$29,$G$253,0)*Config!$O23^3)</f>
        <v>3.5592889832952238E-3</v>
      </c>
      <c r="R33" s="902">
        <f ca="1">Config!$N23*(S139+N139*Config!$O23+I139*Config!$O23^2+D139*Config!$O23^3)-Config!$N23*(N139+I139*Config!$O23+D139*Config!$O23^2+OFFSET(History!$H$29,$G$253,0)*Config!$O23^3)</f>
        <v>3.5592889832952238E-3</v>
      </c>
      <c r="S33" s="617"/>
      <c r="T33" s="617"/>
      <c r="U33" s="900">
        <f>Config!L23*(V139+Q139*Config!$O23+L139*Config!$O23^2+G139*Config!$O23^3)-Config!L23*(Q139+L139*Config!$O23+G139*Config!$O23^2+B139*Config!$O23^3)</f>
        <v>3.2041442138197276E-2</v>
      </c>
      <c r="V33" s="901">
        <f>Config!M23*(W139+R139*Config!$O23+M139*Config!$O23^2+H139*Config!$O23^3)-Config!M23*(R139+M139*Config!$O23+H139*Config!$O23^2+C139*Config!$O23^3)</f>
        <v>7.1662247960303307E-3</v>
      </c>
      <c r="W33" s="902">
        <f>Config!N23*(X139+S139*Config!$O23+N139*Config!$O23^2+I139*Config!$O23^3)-Config!N23*(S139+N139*Config!$O23+I139*Config!$O23^2+D139*Config!$O23^3)</f>
        <v>1.3509680413337652E-2</v>
      </c>
      <c r="X33" s="617"/>
      <c r="Y33" s="617"/>
      <c r="Z33" s="638">
        <f>'72'!$U$18</f>
        <v>113</v>
      </c>
      <c r="AA33" s="639">
        <f>'72'!$W$18</f>
        <v>126</v>
      </c>
      <c r="AB33" s="640">
        <f>'72'!$Y$18</f>
        <v>63</v>
      </c>
      <c r="AC33" s="1114"/>
    </row>
    <row r="34" spans="1:36" ht="12.9" customHeight="1" thickBot="1" x14ac:dyDescent="0.3">
      <c r="A34" s="903">
        <f ca="1">Config!$L24*(B140+OFFSET(History!$J$32,$B$253,0)*Config!$O24+OFFSET(History!$J$31,$B$253,0)*Config!$O24^2+OFFSET(History!$J$30,$B$253,0)*Config!$O24^3)-Config!$L24*(OFFSET(History!$J$32,$B$253,0)+OFFSET(History!$J$31,$B$253,0)*Config!$O24+OFFSET(History!$J$30,$B$253,0)*Config!$O24^2+OFFSET(History!$J$29,$B$253,0)*Config!$O24^3)</f>
        <v>1.045730151092239E-2</v>
      </c>
      <c r="B34" s="904">
        <f ca="1">Config!$M24*(C140+OFFSET(History!$K$32,$B$253,0)*Config!$O24+OFFSET(History!$K$31,$B$253,0)*Config!$O24^2+OFFSET(History!$K$30,$B$253,0)*Config!$O24^3)-Config!$M24*(OFFSET(History!$K$32,$B$253,0)+OFFSET(History!$K$31,$B$253,0)*Config!$O24+OFFSET(History!$K$30,$B$253,0)*Config!$O24^2+OFFSET(History!$K$29,$B$253,0)*Config!$O24^3)</f>
        <v>1.045730151092239E-2</v>
      </c>
      <c r="C34" s="905">
        <f ca="1">Config!$N24*(D140+OFFSET(History!$L$32,$B$253,0)*Config!$O24+OFFSET(History!$L$31,$B$253,0)*Config!$O24^2+OFFSET(History!$L$30,$B$253,0)*Config!$O24^3)-Config!$N24*(OFFSET(History!$L$32,$B$253,0)+OFFSET(History!$L$31,$B$253,0)*Config!$O24+OFFSET(History!$L$30,$B$253,0)*Config!$O24^2+OFFSET(History!$L$29,$B$253,0)*Config!$O24^3)</f>
        <v>1.045730151092239E-2</v>
      </c>
      <c r="D34" s="617"/>
      <c r="E34" s="617"/>
      <c r="F34" s="903">
        <f ca="1">Config!$L24*(G140+B140*Config!$O24+OFFSET(History!$J$31,$G$253,0)*Config!$O24^2+OFFSET(History!$J$30,$G$253,0)*Config!$O24^3)-Config!$L24*(B140+OFFSET(History!$J$31,$G$253,0)*Config!$O24+OFFSET(History!$J$30,$G$253,0)*Config!$O24^2+OFFSET(History!$J$29,$G$253,0)*Config!$O24^3)</f>
        <v>5.8844276034865431E-3</v>
      </c>
      <c r="G34" s="904">
        <f ca="1">Config!$M24*(H140+C140*Config!$O24+OFFSET(History!$K$31,$G$253,0)*Config!$O24^2+OFFSET(History!$K$30,$G$253,0)*Config!$O24^3)-Config!$M24*(C140+OFFSET(History!$K$31,$G$253,0)*Config!$O24+OFFSET(History!$K$30,$G$253,0)*Config!$O24^2+OFFSET(History!$K$29,$G$253,0)*Config!$O24^3)</f>
        <v>2.712699794832879E-3</v>
      </c>
      <c r="H34" s="905">
        <f ca="1">Config!$N24*(I140+D140*Config!$O24+OFFSET(History!$L$31,$G$253,0)*Config!$O24^2+OFFSET(History!$L$30,$G$253,0)*Config!$O24^3)-Config!$N24*(D140+OFFSET(History!$L$31,$G$253,0)*Config!$O24+OFFSET(History!$L$30,$G$253,0)*Config!$O24^2+OFFSET(History!$L$29,$G$253,0)*Config!$O24^3)</f>
        <v>2.712699794832879E-3</v>
      </c>
      <c r="I34" s="617"/>
      <c r="J34" s="617"/>
      <c r="K34" s="903">
        <f ca="1">Config!$L24*(L140+G140*Config!$O24+B140*Config!$O24^2+OFFSET(History!$J$30,$G$253,0)*Config!$O24^3)-Config!$L24*(G140+B140*Config!$O24+OFFSET(History!$J$30,$G$253,0)*Config!$O24^2+OFFSET(History!$J$29,$G$253,0)*Config!$O24^3)</f>
        <v>2.316795191064612E-3</v>
      </c>
      <c r="L34" s="904">
        <f ca="1">Config!$M24*(M140+H140*Config!$O24+C140*Config!$O24^2+OFFSET(History!$K$30,$G$253,0)*Config!$O24^3)-Config!$M24*(H140+C140*Config!$O24+OFFSET(History!$K$30,$G$253,0)*Config!$O24^2+OFFSET(History!$K$29,$G$253,0)*Config!$O24^3)</f>
        <v>1.494026012341599E-3</v>
      </c>
      <c r="M34" s="905">
        <f ca="1">Config!$N24*(N140+I140*Config!$O24+D140*Config!$O24^2+OFFSET(History!$L$30,$G$253,0)*Config!$O24^3)-Config!$N24*(I140+D140*Config!$O24+OFFSET(History!$L$30,$G$253,0)*Config!$O24^2+OFFSET(History!$L$29,$G$253,0)*Config!$O24^3)</f>
        <v>1.494026012341599E-3</v>
      </c>
      <c r="N34" s="617"/>
      <c r="O34" s="617"/>
      <c r="P34" s="903">
        <f ca="1">Config!$L24*(Q140+L140*Config!$O24+G140*Config!$O24^2+B140*Config!$O24^3)-Config!$L24*(L140+G140*Config!$O24+B140*Config!$O24^2+OFFSET(History!$J$29,$G$253,0)*Config!$O24^3)</f>
        <v>6.0099346211893445E-4</v>
      </c>
      <c r="Q34" s="904">
        <f ca="1">Config!$M24*(R140+M140*Config!$O24+H140*Config!$O24^2+C140*Config!$O24^3)-Config!$M24*(M140+H140*Config!$O24+C140*Config!$O24^2+OFFSET(History!$K$29,$G$253,0)*Config!$O24^3)</f>
        <v>3.5592889832952238E-3</v>
      </c>
      <c r="R34" s="905">
        <f ca="1">Config!$N24*(S140+N140*Config!$O24+I140*Config!$O24^2+D140*Config!$O24^3)-Config!$N24*(N140+I140*Config!$O24+D140*Config!$O24^2+OFFSET(History!$L$29,$G$253,0)*Config!$O24^3)</f>
        <v>3.5592889832952238E-3</v>
      </c>
      <c r="S34" s="617"/>
      <c r="T34" s="617"/>
      <c r="U34" s="903">
        <f>Config!L24*(V140+Q140*Config!$O24+L140*Config!$O24^2+G140*Config!$O24^3)-Config!L24*(Q140+L140*Config!$O24+G140*Config!$O24^2+B140*Config!$O24^3)</f>
        <v>5.5365882091651386E-5</v>
      </c>
      <c r="V34" s="904">
        <f>Config!M24*(W140+R140*Config!$O24+M140*Config!$O24^2+H140*Config!$O24^3)-Config!M24*(R140+M140*Config!$O24+H140*Config!$O24^2+C140*Config!$O24^3)</f>
        <v>8.2276917872301653E-4</v>
      </c>
      <c r="W34" s="905">
        <f>Config!N24*(X140+S140*Config!$O24+N140*Config!$O24^2+I140*Config!$O24^3)-Config!N24*(S140+N140*Config!$O24+I140*Config!$O24^2+D140*Config!$O24^3)</f>
        <v>7.1662247960303307E-3</v>
      </c>
      <c r="X34" s="617"/>
      <c r="Y34" s="617"/>
      <c r="Z34" s="641">
        <f>'72'!$U$19</f>
        <v>584</v>
      </c>
      <c r="AA34" s="642">
        <f>'72'!$W$19</f>
        <v>395</v>
      </c>
      <c r="AB34" s="643">
        <f>'72'!$Y$19</f>
        <v>234</v>
      </c>
      <c r="AC34" s="1114"/>
    </row>
    <row r="35" spans="1:36" ht="12.9" customHeight="1" thickBot="1" x14ac:dyDescent="0.3">
      <c r="A35" s="703"/>
      <c r="B35" s="703"/>
      <c r="C35" s="703"/>
      <c r="D35" s="617"/>
      <c r="E35" s="617"/>
      <c r="F35" s="703"/>
      <c r="G35" s="703"/>
      <c r="H35" s="703"/>
      <c r="I35" s="617"/>
      <c r="J35" s="617"/>
      <c r="K35" s="703"/>
      <c r="L35" s="703"/>
      <c r="M35" s="703"/>
      <c r="N35" s="617"/>
      <c r="O35" s="617"/>
      <c r="P35" s="703"/>
      <c r="Q35" s="703"/>
      <c r="R35" s="703"/>
      <c r="S35" s="617"/>
      <c r="T35" s="617"/>
      <c r="U35" s="703"/>
      <c r="V35" s="703"/>
      <c r="W35" s="703"/>
      <c r="X35" s="617"/>
      <c r="Y35" s="617"/>
    </row>
    <row r="36" spans="1:36" ht="12.9" customHeight="1" x14ac:dyDescent="0.25">
      <c r="A36" s="1187" t="str">
        <f>Lang!$A$74</f>
        <v>Prices</v>
      </c>
      <c r="B36" s="1188"/>
      <c r="C36" s="1189"/>
      <c r="D36" s="703"/>
      <c r="E36" s="617"/>
      <c r="F36" s="1190" t="str">
        <f>A36</f>
        <v>Prices</v>
      </c>
      <c r="G36" s="1191"/>
      <c r="H36" s="1192"/>
      <c r="I36" s="617"/>
      <c r="J36" s="617"/>
      <c r="K36" s="1190" t="str">
        <f>A36</f>
        <v>Prices</v>
      </c>
      <c r="L36" s="1191"/>
      <c r="M36" s="1192"/>
      <c r="N36" s="617"/>
      <c r="O36" s="617"/>
      <c r="P36" s="1187" t="str">
        <f>A36</f>
        <v>Prices</v>
      </c>
      <c r="Q36" s="1188"/>
      <c r="R36" s="1189"/>
      <c r="S36" s="617"/>
      <c r="T36" s="617"/>
      <c r="U36" s="1190" t="str">
        <f>A36</f>
        <v>Prices</v>
      </c>
      <c r="V36" s="1191"/>
      <c r="W36" s="1192"/>
      <c r="X36" s="703"/>
      <c r="Y36" s="617"/>
      <c r="Z36" s="1080" t="str">
        <f>IF(AB36=4,"Taxes","")</f>
        <v/>
      </c>
      <c r="AA36" s="1104"/>
      <c r="AB36" s="806">
        <f>IF(AB31=4,1,AB31+1)</f>
        <v>1</v>
      </c>
      <c r="AC36" s="1114">
        <f>SUM(Z37:AB39)</f>
        <v>4965</v>
      </c>
    </row>
    <row r="37" spans="1:36" ht="12.9" customHeight="1" x14ac:dyDescent="0.25">
      <c r="A37" s="900">
        <f>((Config!$J12/A244)-(Config!$J12/A249))*(100-Config!$M27)/(100-Config!$M27)</f>
        <v>-8.0192462965190447E-2</v>
      </c>
      <c r="B37" s="901">
        <f>((Config!$K12/B244)-(Config!$K12/B249))*(100-Config!$N27)/(100-Config!$N27)</f>
        <v>-4.03647088388892E-2</v>
      </c>
      <c r="C37" s="902">
        <f>((Config!$L12/C244)-(Config!$L12/C249))*(100-Config!$O27)/(100-Config!$O27)</f>
        <v>-1.5648640153343774E-2</v>
      </c>
      <c r="D37" s="617">
        <f>SUM(A37:C39)</f>
        <v>-0.25151908175744842</v>
      </c>
      <c r="E37" s="617">
        <f>SUM('1'!N37:P39)</f>
        <v>-0.13516726384682798</v>
      </c>
      <c r="F37" s="900">
        <f ca="1">((Config!$J12/F244)-(Config!$J12/F249))*(100-B143)/(100-Config!$M27)</f>
        <v>3.344022857398999E-2</v>
      </c>
      <c r="G37" s="901">
        <f ca="1">((Config!$K12/G244)-(Config!$K12/G249))*(100-C143)/(100-Config!$N27)</f>
        <v>1.6431010420559732E-2</v>
      </c>
      <c r="H37" s="902">
        <f ca="1">((Config!$L12/H244)-(Config!$L12/H249))*(100-D143)/(100-Config!$O27)</f>
        <v>6.005711821179616E-3</v>
      </c>
      <c r="I37" s="617">
        <f ca="1">SUM(F37:H39)</f>
        <v>0.10542463208783298</v>
      </c>
      <c r="J37" s="617">
        <f ca="1">SUM('2'!N37:P39)</f>
        <v>0</v>
      </c>
      <c r="K37" s="900">
        <f ca="1">((Config!$J12/K244)-(Config!$J12/K249))*(100-G143)/(100-Config!$M27)</f>
        <v>0</v>
      </c>
      <c r="L37" s="901">
        <f ca="1">((Config!$K12/L244)-(Config!$K12/L249))*(100-H143)/(100-Config!$N27)</f>
        <v>9.1198121248434374E-3</v>
      </c>
      <c r="M37" s="902">
        <f ca="1">((Config!$L12/M244)-(Config!$L12/M249))*(100-I143)/(100-Config!$O27)</f>
        <v>-7.3168672364376814E-3</v>
      </c>
      <c r="N37" s="617">
        <f ca="1">SUM(K37:M39)</f>
        <v>-9.6797090210873765E-2</v>
      </c>
      <c r="O37" s="617">
        <f ca="1">SUM('3'!N37:P39)</f>
        <v>0.26150639879793974</v>
      </c>
      <c r="P37" s="900">
        <f ca="1">((Config!$J12/P244)-(Config!$J12/P249))*(100-L143)/(100-Config!$M27)</f>
        <v>-2.4492416547959705E-2</v>
      </c>
      <c r="Q37" s="901">
        <f ca="1">((Config!$K12/Q244)-(Config!$K12/Q249))*(100-M143)/(100-Config!$N27)</f>
        <v>0</v>
      </c>
      <c r="R37" s="902">
        <f ca="1">((Config!$L12/R244)-(Config!$L12/R249))*(100-N143)/(100-Config!$O27)</f>
        <v>0</v>
      </c>
      <c r="S37" s="617">
        <f ca="1">SUM(P37:R39)</f>
        <v>-5.982361598341502E-2</v>
      </c>
      <c r="T37" s="617">
        <f ca="1">SUM('4'!N37:P39)</f>
        <v>6.2921888474908094E-2</v>
      </c>
      <c r="U37" s="900">
        <f ca="1">((Config!$J12/U244)-(Config!$J12/U249))*(100-Q143)/(100-Config!$M27)</f>
        <v>2.1631579126024196E-2</v>
      </c>
      <c r="V37" s="901">
        <f ca="1">((Config!$K12/V244)-(Config!$K12/V249))*(100-R143)/(100-Config!$N27)</f>
        <v>8.2951288263889561E-3</v>
      </c>
      <c r="W37" s="902">
        <f ca="1">((Config!$L12/W244)-(Config!$L12/W249))*(100-S143)/(100-Config!$O27)</f>
        <v>2.4685070238216074E-3</v>
      </c>
      <c r="X37" s="617">
        <f ca="1">SUM(U37:W39)</f>
        <v>0.11472950276902395</v>
      </c>
      <c r="Y37" s="617" t="e">
        <f ca="1">SUM('5'!N37:P39)</f>
        <v>#DIV/0!</v>
      </c>
      <c r="Z37" s="638">
        <f>'82'!$U$17</f>
        <v>1093</v>
      </c>
      <c r="AA37" s="639">
        <f>'82'!$W$17</f>
        <v>701</v>
      </c>
      <c r="AB37" s="640">
        <f>'82'!$Y$17</f>
        <v>363</v>
      </c>
      <c r="AC37" s="1114"/>
    </row>
    <row r="38" spans="1:36" ht="12.9" customHeight="1" x14ac:dyDescent="0.25">
      <c r="A38" s="900">
        <f>((Config!$J13/A245)-(Config!$J13/A250))*(100-Config!$M28)/(100-Config!$M28)</f>
        <v>0</v>
      </c>
      <c r="B38" s="901">
        <f>((Config!$K13/B245)-(Config!$K13/B250))*(100-Config!$N28)/(100-Config!$N28)</f>
        <v>-6.3934957366954315E-2</v>
      </c>
      <c r="C38" s="902">
        <f>((Config!$L13/C245)-(Config!$L13/C250))*(100-Config!$O28)/(100-Config!$O28)</f>
        <v>0</v>
      </c>
      <c r="D38" s="617"/>
      <c r="E38" s="617"/>
      <c r="F38" s="900">
        <f ca="1">((Config!$J13/F245)-(Config!$J13/F250))*(100-B144)/(100-Config!$M28)</f>
        <v>0</v>
      </c>
      <c r="G38" s="901">
        <f ca="1">((Config!$K13/G245)-(Config!$K13/G250))*(100-C144)/(100-Config!$N28)</f>
        <v>2.7910989028171976E-2</v>
      </c>
      <c r="H38" s="902">
        <f ca="1">((Config!$L13/H245)-(Config!$L13/H250))*(100-D144)/(100-Config!$O28)</f>
        <v>0</v>
      </c>
      <c r="I38" s="617"/>
      <c r="J38" s="617"/>
      <c r="K38" s="900">
        <f ca="1">((Config!$J13/K245)-(Config!$J13/K250))*(100-G144)/(100-Config!$M28)</f>
        <v>-4.9261431522299629E-2</v>
      </c>
      <c r="L38" s="901">
        <f ca="1">((Config!$K13/L245)-(Config!$K13/L250))*(100-H144)/(100-Config!$N28)</f>
        <v>-2.4683060583219084E-2</v>
      </c>
      <c r="M38" s="902">
        <f ca="1">((Config!$L13/M245)-(Config!$L13/M250))*(100-I144)/(100-Config!$O28)</f>
        <v>-1.3224105343743027E-2</v>
      </c>
      <c r="N38" s="617"/>
      <c r="O38" s="617"/>
      <c r="P38" s="900">
        <f ca="1">((Config!$J13/P245)-(Config!$J13/P250))*(100-L144)/(100-Config!$M28)</f>
        <v>-4.2390056722671522E-2</v>
      </c>
      <c r="Q38" s="901">
        <f ca="1">((Config!$K13/Q245)-(Config!$K13/Q250))*(100-M144)/(100-Config!$N28)</f>
        <v>0</v>
      </c>
      <c r="R38" s="902">
        <f ca="1">((Config!$L13/R245)-(Config!$L13/R250))*(100-N144)/(100-Config!$O28)</f>
        <v>3.7777820960990215E-2</v>
      </c>
      <c r="S38" s="617"/>
      <c r="T38" s="617"/>
      <c r="U38" s="900">
        <f ca="1">((Config!$J13/U245)-(Config!$J13/U250))*(100-Q144)/(100-Config!$M28)</f>
        <v>3.7341462029021055E-2</v>
      </c>
      <c r="V38" s="901">
        <f ca="1">((Config!$K13/V245)-(Config!$K13/V250))*(100-R144)/(100-Config!$N28)</f>
        <v>3.5660830293847465E-2</v>
      </c>
      <c r="W38" s="902">
        <f ca="1">((Config!$L13/W245)-(Config!$L13/W250))*(100-S144)/(100-Config!$O28)</f>
        <v>-4.6878566648170259E-3</v>
      </c>
      <c r="X38" s="703"/>
      <c r="Y38" s="617"/>
      <c r="Z38" s="638">
        <f>'82'!$U$18</f>
        <v>595</v>
      </c>
      <c r="AA38" s="639">
        <f>'82'!$W$18</f>
        <v>362</v>
      </c>
      <c r="AB38" s="640">
        <f>'82'!$Y$18</f>
        <v>190</v>
      </c>
      <c r="AC38" s="1114"/>
      <c r="AD38" s="23"/>
      <c r="AE38" s="23"/>
      <c r="AF38" s="23"/>
    </row>
    <row r="39" spans="1:36" ht="12.9" customHeight="1" thickBot="1" x14ac:dyDescent="0.3">
      <c r="A39" s="903">
        <f>((Config!$J14/A246)-(Config!$J14/A251))*(100-Config!$M29)/(100-Config!$M29)</f>
        <v>0</v>
      </c>
      <c r="B39" s="904">
        <f>((Config!$K14/B246)-(Config!$K14/B251))*(100-Config!$N29)/(100-Config!$N29)</f>
        <v>-5.1378312433070672E-2</v>
      </c>
      <c r="C39" s="905">
        <f>((Config!$L14/C246)-(Config!$L14/C251))*(100-Config!$O29)/(100-Config!$O29)</f>
        <v>0</v>
      </c>
      <c r="D39" s="617"/>
      <c r="E39" s="617"/>
      <c r="F39" s="903">
        <f ca="1">((Config!$J14/F246)-(Config!$J14/F251))*(100-B145)/(100-Config!$M29)</f>
        <v>0</v>
      </c>
      <c r="G39" s="904">
        <f ca="1">((Config!$K14/G246)-(Config!$K14/G251))*(100-C145)/(100-Config!$N29)</f>
        <v>2.1636692243931673E-2</v>
      </c>
      <c r="H39" s="905">
        <f ca="1">((Config!$L14/H246)-(Config!$L14/H251))*(100-D145)/(100-Config!$O29)</f>
        <v>0</v>
      </c>
      <c r="I39" s="617"/>
      <c r="J39" s="617"/>
      <c r="K39" s="903">
        <f ca="1">((Config!$J14/K246)-(Config!$J14/K251))*(100-G145)/(100-Config!$M29)</f>
        <v>-5.8931642261468254E-3</v>
      </c>
      <c r="L39" s="904">
        <f ca="1">((Config!$K14/L246)-(Config!$K14/L251))*(100-H145)/(100-Config!$N29)</f>
        <v>0</v>
      </c>
      <c r="M39" s="905">
        <f ca="1">((Config!$L14/M246)-(Config!$L14/M251))*(100-I145)/(100-Config!$O29)</f>
        <v>-5.5382734238709468E-3</v>
      </c>
      <c r="N39" s="617"/>
      <c r="O39" s="617"/>
      <c r="P39" s="903">
        <f ca="1">((Config!$J14/P246)-(Config!$J14/P251))*(100-L145)/(100-Config!$M29)</f>
        <v>-1.8030697576058623E-2</v>
      </c>
      <c r="Q39" s="904">
        <f ca="1">((Config!$K14/Q246)-(Config!$K14/Q251))*(100-M145)/(100-Config!$N29)</f>
        <v>-1.2688266097715386E-2</v>
      </c>
      <c r="R39" s="905">
        <f ca="1">((Config!$L14/R246)-(Config!$L14/R251))*(100-N145)/(100-Config!$O29)</f>
        <v>0</v>
      </c>
      <c r="S39" s="617"/>
      <c r="T39" s="617"/>
      <c r="U39" s="903">
        <f ca="1">((Config!$J14/U246)-(Config!$J14/U251))*(100-Q145)/(100-Config!$M29)</f>
        <v>7.3053505065055896E-3</v>
      </c>
      <c r="V39" s="904">
        <f ca="1">((Config!$K14/V246)-(Config!$K14/V251))*(100-R145)/(100-Config!$N29)</f>
        <v>4.074491621800241E-3</v>
      </c>
      <c r="W39" s="905">
        <f ca="1">((Config!$L14/W246)-(Config!$L14/W251))*(100-S145)/(100-Config!$O29)</f>
        <v>2.6400100064318736E-3</v>
      </c>
      <c r="X39" s="703"/>
      <c r="Y39" s="617"/>
      <c r="Z39" s="641">
        <f>'82'!$U$19</f>
        <v>928</v>
      </c>
      <c r="AA39" s="642">
        <f>'82'!$W$19</f>
        <v>479</v>
      </c>
      <c r="AB39" s="643">
        <f>'82'!$Y$19</f>
        <v>254</v>
      </c>
      <c r="AC39" s="1114"/>
      <c r="AD39" s="29"/>
      <c r="AE39" s="23"/>
      <c r="AF39" s="23"/>
    </row>
    <row r="40" spans="1:36" ht="12.9" customHeight="1" thickBot="1" x14ac:dyDescent="0.3">
      <c r="D40" s="2"/>
      <c r="I40" s="2"/>
      <c r="N40" s="2"/>
      <c r="S40" s="2"/>
      <c r="X40" s="2"/>
      <c r="AD40" s="23"/>
      <c r="AE40" s="23"/>
      <c r="AF40" s="23"/>
    </row>
    <row r="41" spans="1:36" ht="12.9" customHeight="1" x14ac:dyDescent="0.25">
      <c r="A41" s="1078" t="str">
        <f>Lang!$A$82</f>
        <v>Average prices</v>
      </c>
      <c r="B41" s="1079"/>
      <c r="C41" s="1088"/>
      <c r="F41" s="1078" t="str">
        <f>A41</f>
        <v>Average prices</v>
      </c>
      <c r="G41" s="1079"/>
      <c r="H41" s="1088"/>
      <c r="K41" s="1078" t="str">
        <f>A41</f>
        <v>Average prices</v>
      </c>
      <c r="L41" s="1079"/>
      <c r="M41" s="1088"/>
      <c r="P41" s="1078" t="str">
        <f>A41</f>
        <v>Average prices</v>
      </c>
      <c r="Q41" s="1079"/>
      <c r="R41" s="1088"/>
      <c r="U41" s="1078" t="str">
        <f>A41</f>
        <v>Average prices</v>
      </c>
      <c r="V41" s="1079"/>
      <c r="W41" s="1088"/>
      <c r="Z41" s="1080" t="str">
        <f>IF(AB41=4,"Taxes","")</f>
        <v/>
      </c>
      <c r="AA41" s="1104"/>
      <c r="AB41" s="806">
        <f>IF(AB36=4,1,AB36+1)</f>
        <v>2</v>
      </c>
      <c r="AC41" s="1194">
        <f>SUM(Z42:AB44)</f>
        <v>0</v>
      </c>
    </row>
    <row r="42" spans="1:36" ht="12.9" customHeight="1" x14ac:dyDescent="0.25">
      <c r="A42" s="421">
        <f>IF(ISNUMBER(AVERAGEIF('64'!$F43:$M43,"&gt;0")),AVERAGEIF('64'!$F43:$M43,"&gt;0"),0)</f>
        <v>325.42857142857144</v>
      </c>
      <c r="B42" s="422">
        <f>IF(ISNUMBER(AVERAGEIF('64'!$F46:$M46,"&gt;0")),AVERAGEIF('64'!$F46:$M46,"&gt;0"),0)</f>
        <v>491.42857142857144</v>
      </c>
      <c r="C42" s="423">
        <f>IF(ISNUMBER(AVERAGEIF('64'!$F49:$M49,"&gt;0")),AVERAGEIF('64'!$F49:$M49,"&gt;0"),0)</f>
        <v>700</v>
      </c>
      <c r="D42" s="923">
        <f>AVERAGE(A42:C42)/AVERAGE(A47:C47)-1</f>
        <v>1.2258368694013644E-3</v>
      </c>
      <c r="F42" s="421">
        <f>IF(ISNUMBER(AVERAGEIF('74'!$F43:$M43,"&gt;0")),AVERAGEIF('74'!$F43:$M43,"&gt;0"),0)</f>
        <v>322.85714285714283</v>
      </c>
      <c r="G42" s="422">
        <f>IF(ISNUMBER(AVERAGEIF('74'!$F46:$M46,"&gt;0")),AVERAGEIF('74'!$F46:$M46,"&gt;0"),0)</f>
        <v>497.14285714285717</v>
      </c>
      <c r="H42" s="423">
        <f>IF(ISNUMBER(AVERAGEIF('74'!$F49:$M49,"&gt;0")),AVERAGEIF('74'!$F49:$M49,"&gt;0"),0)</f>
        <v>696.42857142857144</v>
      </c>
      <c r="I42" s="923">
        <f>AVERAGE(F42:H42)/AVERAGE(F47:H47)-1</f>
        <v>-2.8253908457331889E-4</v>
      </c>
      <c r="K42" s="421">
        <f>IF(ISNUMBER(AVERAGEIF('84'!$F43:$M43,"&gt;0")),AVERAGEIF('84'!$F43:$M43,"&gt;0"),0)</f>
        <v>331</v>
      </c>
      <c r="L42" s="422">
        <f>IF(ISNUMBER(AVERAGEIF('84'!$F46:$M46,"&gt;0")),AVERAGEIF('84'!$F46:$M46,"&gt;0"),0)</f>
        <v>499.28571428571428</v>
      </c>
      <c r="M42" s="423">
        <f>IF(ISNUMBER(AVERAGEIF('84'!$F49:$M49,"&gt;0")),AVERAGEIF('84'!$F49:$M49,"&gt;0"),0)</f>
        <v>707.85714285714289</v>
      </c>
      <c r="N42" s="923">
        <f>AVERAGE(K42:M42)/AVERAGE(K47:M47)-1</f>
        <v>1.4319359397079401E-2</v>
      </c>
      <c r="P42" s="421">
        <f>IF(ISNUMBER(AVERAGEIF('94'!$F43:$M43,"&gt;0")),AVERAGEIF('94'!$F43:$M43,"&gt;0"),0)</f>
        <v>0</v>
      </c>
      <c r="Q42" s="422">
        <f>IF(ISNUMBER(AVERAGEIF('94'!$F46:$M46,"&gt;0")),AVERAGEIF('94'!$F46:$M46,"&gt;0"),0)</f>
        <v>0</v>
      </c>
      <c r="R42" s="423">
        <f>IF(ISNUMBER(AVERAGEIF('94'!$F49:$M49,"&gt;0")),AVERAGEIF('94'!$F49:$M49,"&gt;0"),0)</f>
        <v>0</v>
      </c>
      <c r="S42" s="923">
        <f>AVERAGE(P42:R42)/AVERAGE(P47:R47)-1</f>
        <v>-1</v>
      </c>
      <c r="U42" s="421">
        <f>IF(ISNUMBER(AVERAGEIF('104'!$F43:$M43,"&gt;0")),AVERAGEIF('104'!$F43:$M43,"&gt;0"),0)</f>
        <v>0</v>
      </c>
      <c r="V42" s="422">
        <f>IF(ISNUMBER(AVERAGEIF('104'!$F46:$M46,"&gt;0")),AVERAGEIF('104'!$F46:$M46,"&gt;0"),0)</f>
        <v>0</v>
      </c>
      <c r="W42" s="423">
        <f>IF(ISNUMBER(AVERAGEIF('104'!$F49:$M49,"&gt;0")),AVERAGEIF('104'!$F49:$M49,"&gt;0"),0)</f>
        <v>0</v>
      </c>
      <c r="X42" s="923" t="e">
        <f>AVERAGE(U42:W42)/AVERAGE(U47:W47)-1</f>
        <v>#DIV/0!</v>
      </c>
      <c r="Z42" s="638">
        <f>'92'!$U$17</f>
        <v>0</v>
      </c>
      <c r="AA42" s="639">
        <f>'92'!$W$17</f>
        <v>0</v>
      </c>
      <c r="AB42" s="640">
        <f>'92'!$Y$17</f>
        <v>0</v>
      </c>
      <c r="AC42" s="1194"/>
      <c r="AF42" s="8"/>
    </row>
    <row r="43" spans="1:36" ht="12.9" customHeight="1" x14ac:dyDescent="0.25">
      <c r="A43" s="421">
        <f>IF(ISNUMBER(AVERAGEIF('64'!$F44:$M44,"&gt;0")),AVERAGEIF('64'!$F44:$M44,"&gt;0"),0)</f>
        <v>334.28571428571428</v>
      </c>
      <c r="B43" s="422">
        <f>IF(ISNUMBER(AVERAGEIF('64'!$F47:$M47,"&gt;0")),AVERAGEIF('64'!$F47:$M47,"&gt;0"),0)</f>
        <v>491.42857142857144</v>
      </c>
      <c r="C43" s="423">
        <f>IF(ISNUMBER(AVERAGEIF('64'!$F50:$M50,"&gt;0")),AVERAGEIF('64'!$F50:$M50,"&gt;0"),0)</f>
        <v>720</v>
      </c>
      <c r="D43" s="923">
        <f>AVERAGE(A43:C43)/AVERAGE(A48:C48)-1</f>
        <v>-2.7649769585251782E-3</v>
      </c>
      <c r="F43" s="421">
        <f>IF(ISNUMBER(AVERAGEIF('74'!$F44:$M44,"&gt;0")),AVERAGEIF('74'!$F44:$M44,"&gt;0"),0)</f>
        <v>335.71428571428572</v>
      </c>
      <c r="G43" s="422">
        <f>IF(ISNUMBER(AVERAGEIF('74'!$F47:$M47,"&gt;0")),AVERAGEIF('74'!$F47:$M47,"&gt;0"),0)</f>
        <v>498.57142857142856</v>
      </c>
      <c r="H43" s="423">
        <f>IF(ISNUMBER(AVERAGEIF('74'!$F50:$M50,"&gt;0")),AVERAGEIF('74'!$F50:$M50,"&gt;0"),0)</f>
        <v>721.42857142857144</v>
      </c>
      <c r="I43" s="923">
        <f>AVERAGE(F43:H43)/AVERAGE(F48:H48)-1</f>
        <v>6.4695009242141666E-3</v>
      </c>
      <c r="K43" s="421">
        <f>IF(ISNUMBER(AVERAGEIF('84'!$F44:$M44,"&gt;0")),AVERAGEIF('84'!$F44:$M44,"&gt;0"),0)</f>
        <v>339.14285714285717</v>
      </c>
      <c r="L43" s="422">
        <f>IF(ISNUMBER(AVERAGEIF('84'!$F47:$M47,"&gt;0")),AVERAGEIF('84'!$F47:$M47,"&gt;0"),0)</f>
        <v>499</v>
      </c>
      <c r="M43" s="423">
        <f>IF(ISNUMBER(AVERAGEIF('84'!$F50:$M50,"&gt;0")),AVERAGEIF('84'!$F50:$M50,"&gt;0"),0)</f>
        <v>729.14285714285711</v>
      </c>
      <c r="N43" s="923">
        <f>AVERAGE(K43:M43)/AVERAGE(K48:M48)-1</f>
        <v>7.4380165289256173E-3</v>
      </c>
      <c r="P43" s="421">
        <f>IF(ISNUMBER(AVERAGEIF('94'!$F44:$M44,"&gt;0")),AVERAGEIF('94'!$F44:$M44,"&gt;0"),0)</f>
        <v>0</v>
      </c>
      <c r="Q43" s="422">
        <f>IF(ISNUMBER(AVERAGEIF('94'!$F47:$M47,"&gt;0")),AVERAGEIF('94'!$F47:$M47,"&gt;0"),0)</f>
        <v>0</v>
      </c>
      <c r="R43" s="423">
        <f>IF(ISNUMBER(AVERAGEIF('94'!$F50:$M50,"&gt;0")),AVERAGEIF('94'!$F50:$M50,"&gt;0"),0)</f>
        <v>0</v>
      </c>
      <c r="S43" s="923">
        <f>AVERAGE(P43:R43)/AVERAGE(P48:R48)-1</f>
        <v>-1</v>
      </c>
      <c r="U43" s="421">
        <f>IF(ISNUMBER(AVERAGEIF('104'!$F44:$M44,"&gt;0")),AVERAGEIF('104'!$F44:$M44,"&gt;0"),0)</f>
        <v>0</v>
      </c>
      <c r="V43" s="422">
        <f>IF(ISNUMBER(AVERAGEIF('104'!$F47:$M47,"&gt;0")),AVERAGEIF('104'!$F47:$M47,"&gt;0"),0)</f>
        <v>0</v>
      </c>
      <c r="W43" s="423">
        <f>IF(ISNUMBER(AVERAGEIF('104'!$F50:$M50,"&gt;0")),AVERAGEIF('104'!$F50:$M50,"&gt;0"),0)</f>
        <v>0</v>
      </c>
      <c r="X43" s="923" t="e">
        <f>AVERAGE(U43:W43)/AVERAGE(U48:W48)-1</f>
        <v>#DIV/0!</v>
      </c>
      <c r="Z43" s="638">
        <f>'92'!$U$18</f>
        <v>0</v>
      </c>
      <c r="AA43" s="639">
        <f>'92'!$W$18</f>
        <v>0</v>
      </c>
      <c r="AB43" s="640">
        <f>'92'!$Y$18</f>
        <v>0</v>
      </c>
      <c r="AC43" s="1194"/>
      <c r="AE43" s="2"/>
      <c r="AF43" s="8"/>
    </row>
    <row r="44" spans="1:36" ht="12.9" customHeight="1" thickBot="1" x14ac:dyDescent="0.3">
      <c r="A44" s="424">
        <f>IF(ISNUMBER(AVERAGEIF('64'!$F45:$M45,"&gt;0")),AVERAGEIF('64'!$F45:$M45,"&gt;0"),0)</f>
        <v>367.85714285714283</v>
      </c>
      <c r="B44" s="425">
        <f>IF(ISNUMBER(AVERAGEIF('64'!$F48:$M48,"&gt;0")),AVERAGEIF('64'!$F48:$M48,"&gt;0"),0)</f>
        <v>582.85714285714289</v>
      </c>
      <c r="C44" s="426">
        <f>IF(ISNUMBER(AVERAGEIF('64'!$F51:$M51,"&gt;0")),AVERAGEIF('64'!$F51:$M51,"&gt;0"),0)</f>
        <v>833.57142857142856</v>
      </c>
      <c r="D44" s="923">
        <f>AVERAGE(A44:C44)/AVERAGE(A49:C49)-1</f>
        <v>-1.6922471467926137E-2</v>
      </c>
      <c r="F44" s="424">
        <f>IF(ISNUMBER(AVERAGEIF('74'!$F45:$M45,"&gt;0")),AVERAGEIF('74'!$F45:$M45,"&gt;0"),0)</f>
        <v>367.14285714285717</v>
      </c>
      <c r="G44" s="425">
        <f>IF(ISNUMBER(AVERAGEIF('74'!$F48:$M48,"&gt;0")),AVERAGEIF('74'!$F48:$M48,"&gt;0"),0)</f>
        <v>584.28571428571433</v>
      </c>
      <c r="H44" s="426">
        <f>IF(ISNUMBER(AVERAGEIF('74'!$F51:$M51,"&gt;0")),AVERAGEIF('74'!$F51:$M51,"&gt;0"),0)</f>
        <v>815</v>
      </c>
      <c r="I44" s="923">
        <f>AVERAGE(F44:H44)/AVERAGE(F49:H49)-1</f>
        <v>-1.0008006405123893E-2</v>
      </c>
      <c r="K44" s="424">
        <f>IF(ISNUMBER(AVERAGEIF('84'!$F45:$M45,"&gt;0")),AVERAGEIF('84'!$F45:$M45,"&gt;0"),0)</f>
        <v>369.85714285714283</v>
      </c>
      <c r="L44" s="425">
        <f>IF(ISNUMBER(AVERAGEIF('84'!$F48:$M48,"&gt;0")),AVERAGEIF('84'!$F48:$M48,"&gt;0"),0)</f>
        <v>581.85714285714289</v>
      </c>
      <c r="M44" s="426">
        <f>IF(ISNUMBER(AVERAGEIF('84'!$F51:$M51,"&gt;0")),AVERAGEIF('84'!$F51:$M51,"&gt;0"),0)</f>
        <v>822</v>
      </c>
      <c r="N44" s="923">
        <f>AVERAGE(K44:M44)/AVERAGE(K49:M49)-1</f>
        <v>4.1245450869389355E-3</v>
      </c>
      <c r="P44" s="424">
        <f>IF(ISNUMBER(AVERAGEIF('94'!$F45:$M45,"&gt;0")),AVERAGEIF('94'!$F45:$M45,"&gt;0"),0)</f>
        <v>0</v>
      </c>
      <c r="Q44" s="425">
        <f>IF(ISNUMBER(AVERAGEIF('94'!$F48:$M48,"&gt;0")),AVERAGEIF('94'!$F48:$M48,"&gt;0"),0)</f>
        <v>0</v>
      </c>
      <c r="R44" s="426">
        <f>IF(ISNUMBER(AVERAGEIF('94'!$F51:$M51,"&gt;0")),AVERAGEIF('94'!$F51:$M51,"&gt;0"),0)</f>
        <v>0</v>
      </c>
      <c r="S44" s="923">
        <f>AVERAGE(P44:R44)/AVERAGE(P49:R49)-1</f>
        <v>-1</v>
      </c>
      <c r="U44" s="424">
        <f>IF(ISNUMBER(AVERAGEIF('104'!$F45:$M45,"&gt;0")),AVERAGEIF('104'!$F45:$M45,"&gt;0"),0)</f>
        <v>0</v>
      </c>
      <c r="V44" s="425">
        <f>IF(ISNUMBER(AVERAGEIF('104'!$F48:$M48,"&gt;0")),AVERAGEIF('104'!$F48:$M48,"&gt;0"),0)</f>
        <v>0</v>
      </c>
      <c r="W44" s="426">
        <f>IF(ISNUMBER(AVERAGEIF('104'!$F51:$M51,"&gt;0")),AVERAGEIF('104'!$F51:$M51,"&gt;0"),0)</f>
        <v>0</v>
      </c>
      <c r="X44" s="923" t="e">
        <f>AVERAGE(U44:W44)/AVERAGE(U49:W49)-1</f>
        <v>#DIV/0!</v>
      </c>
      <c r="Z44" s="641">
        <f>'92'!$U$19</f>
        <v>0</v>
      </c>
      <c r="AA44" s="642">
        <f>'92'!$W$19</f>
        <v>0</v>
      </c>
      <c r="AB44" s="643">
        <f>'92'!$Y$19</f>
        <v>0</v>
      </c>
      <c r="AC44" s="1194"/>
      <c r="AE44" s="2"/>
      <c r="AF44" s="8"/>
    </row>
    <row r="45" spans="1:36" ht="12.9" customHeight="1" thickBot="1" x14ac:dyDescent="0.3">
      <c r="A45" s="923">
        <f>AVERAGE(A42:A44)/AVERAGE(A47:A49)-1</f>
        <v>-7.1773636991027123E-3</v>
      </c>
      <c r="B45" s="923">
        <f>AVERAGE(B42:B44)/AVERAGE(B47:B49)-1</f>
        <v>-2.7297543221110887E-3</v>
      </c>
      <c r="C45" s="923">
        <f>AVERAGE(C42:C44)/AVERAGE(C47:C49)-1</f>
        <v>-9.4191522762951951E-3</v>
      </c>
      <c r="D45" s="617"/>
      <c r="E45" s="617"/>
      <c r="F45" s="923">
        <f>AVERAGE(F42:F44)/AVERAGE(F47:F49)-1</f>
        <v>-1.8073126650911542E-3</v>
      </c>
      <c r="G45" s="923">
        <f>AVERAGE(G42:G44)/AVERAGE(G47:G49)-1</f>
        <v>9.124087591240837E-3</v>
      </c>
      <c r="H45" s="923">
        <f>AVERAGE(H42:H44)/AVERAGE(H47:H49)-1</f>
        <v>-9.1917591125196818E-3</v>
      </c>
      <c r="I45" s="617"/>
      <c r="J45" s="617"/>
      <c r="K45" s="923">
        <f>AVERAGE(K42:K44)/AVERAGE(K47:K49)-1</f>
        <v>1.3927576601671321E-2</v>
      </c>
      <c r="L45" s="923">
        <f>AVERAGE(L42:L44)/AVERAGE(L47:L49)-1</f>
        <v>9.0415913200692088E-5</v>
      </c>
      <c r="M45" s="923">
        <f>AVERAGE(M42:M44)/AVERAGE(M47:M49)-1</f>
        <v>1.1708253358925003E-2</v>
      </c>
      <c r="N45" s="617"/>
      <c r="O45" s="617"/>
      <c r="P45" s="923">
        <f>AVERAGE(P42:P44)/AVERAGE(P47:P49)-1</f>
        <v>-1</v>
      </c>
      <c r="Q45" s="923">
        <f>AVERAGE(Q42:Q44)/AVERAGE(Q47:Q49)-1</f>
        <v>-1</v>
      </c>
      <c r="R45" s="923">
        <f>AVERAGE(R42:R44)/AVERAGE(R47:R49)-1</f>
        <v>-1</v>
      </c>
      <c r="S45" s="617"/>
      <c r="T45" s="617"/>
      <c r="U45" s="923" t="e">
        <f>AVERAGE(U42:U44)/AVERAGE(U47:U49)-1</f>
        <v>#DIV/0!</v>
      </c>
      <c r="V45" s="923" t="e">
        <f>AVERAGE(V42:V44)/AVERAGE(V47:V49)-1</f>
        <v>#DIV/0!</v>
      </c>
      <c r="W45" s="923" t="e">
        <f>AVERAGE(W42:W44)/AVERAGE(W47:W49)-1</f>
        <v>#DIV/0!</v>
      </c>
      <c r="X45" s="617"/>
    </row>
    <row r="46" spans="1:36" ht="12.9" customHeight="1" x14ac:dyDescent="0.25">
      <c r="A46" s="1109" t="str">
        <f>Lang!$A$89</f>
        <v>Average prices previous quarter</v>
      </c>
      <c r="B46" s="1110"/>
      <c r="C46" s="1111"/>
      <c r="F46" s="1109" t="str">
        <f>A46</f>
        <v>Average prices previous quarter</v>
      </c>
      <c r="G46" s="1110"/>
      <c r="H46" s="1111"/>
      <c r="K46" s="1109" t="str">
        <f>A46</f>
        <v>Average prices previous quarter</v>
      </c>
      <c r="L46" s="1110"/>
      <c r="M46" s="1111"/>
      <c r="P46" s="1131" t="str">
        <f>A46</f>
        <v>Average prices previous quarter</v>
      </c>
      <c r="Q46" s="1139"/>
      <c r="R46" s="1140"/>
      <c r="U46" s="1109" t="str">
        <f>A46</f>
        <v>Average prices previous quarter</v>
      </c>
      <c r="V46" s="1110"/>
      <c r="W46" s="1111"/>
      <c r="Z46" s="1080" t="str">
        <f>IF(AB46=4,"Taxes","")</f>
        <v/>
      </c>
      <c r="AA46" s="1104"/>
      <c r="AB46" s="806">
        <f>IF(AB41=4,1,AB41+1)</f>
        <v>3</v>
      </c>
      <c r="AC46" s="1194">
        <f>SUM(Z47:AB49)</f>
        <v>0</v>
      </c>
      <c r="AE46" s="2"/>
    </row>
    <row r="47" spans="1:36" ht="12.9" customHeight="1" x14ac:dyDescent="0.25">
      <c r="A47" s="421">
        <f>AVERAGEIF('54'!F43:M43,"&gt;0")</f>
        <v>325</v>
      </c>
      <c r="B47" s="422">
        <f>AVERAGEIF('54'!F46:M46,"&gt;0")</f>
        <v>490</v>
      </c>
      <c r="C47" s="423">
        <f>AVERAGEIF('54'!F49:M49,"&gt;0")</f>
        <v>700</v>
      </c>
      <c r="F47" s="421">
        <f>AVERAGEIF('64'!F43:M43,"&gt;0")</f>
        <v>325.42857142857144</v>
      </c>
      <c r="G47" s="422">
        <f>AVERAGEIF('64'!F46:M46,"&gt;0")</f>
        <v>491.42857142857144</v>
      </c>
      <c r="H47" s="423">
        <f>AVERAGEIF('64'!F49:M49,"&gt;0")</f>
        <v>700</v>
      </c>
      <c r="K47" s="421">
        <f>AVERAGEIF('74'!F43:M43,"&gt;0")</f>
        <v>322.85714285714283</v>
      </c>
      <c r="L47" s="422">
        <f>AVERAGEIF('74'!F46:M46,"&gt;0")</f>
        <v>497.14285714285717</v>
      </c>
      <c r="M47" s="423">
        <f>AVERAGEIF('74'!F49:M49,"&gt;0")</f>
        <v>696.42857142857144</v>
      </c>
      <c r="P47" s="421">
        <f>AVERAGEIF('84'!F43:M43,"&gt;0")</f>
        <v>331</v>
      </c>
      <c r="Q47" s="422">
        <f>AVERAGEIF('84'!F46:M46,"&gt;0")</f>
        <v>499.28571428571428</v>
      </c>
      <c r="R47" s="423">
        <f>AVERAGEIF('84'!F49:M49,"&gt;0")</f>
        <v>707.85714285714289</v>
      </c>
      <c r="U47" s="421" t="e">
        <f>AVERAGEIF('94'!F43:M43,"&gt;0")</f>
        <v>#DIV/0!</v>
      </c>
      <c r="V47" s="422" t="e">
        <f>AVERAGEIF('94'!F46:M46,"&gt;0")</f>
        <v>#DIV/0!</v>
      </c>
      <c r="W47" s="423" t="e">
        <f>AVERAGEIF('94'!F49:M49,"&gt;0")</f>
        <v>#DIV/0!</v>
      </c>
      <c r="Z47" s="638">
        <f>'102'!$U$17</f>
        <v>0</v>
      </c>
      <c r="AA47" s="639">
        <f>'102'!$W$17</f>
        <v>0</v>
      </c>
      <c r="AB47" s="640">
        <f>'102'!$Y$17</f>
        <v>0</v>
      </c>
      <c r="AC47" s="1194"/>
      <c r="AE47" s="2"/>
      <c r="AF47" s="8"/>
    </row>
    <row r="48" spans="1:36" ht="12.9" customHeight="1" x14ac:dyDescent="0.25">
      <c r="A48" s="421">
        <f>AVERAGEIF('54'!F44:M44,"&gt;0")</f>
        <v>335</v>
      </c>
      <c r="B48" s="422">
        <f>AVERAGEIF('54'!F47:M47,"&gt;0")</f>
        <v>490</v>
      </c>
      <c r="C48" s="423">
        <f>AVERAGEIF('54'!F50:M50,"&gt;0")</f>
        <v>725</v>
      </c>
      <c r="F48" s="421">
        <f>AVERAGEIF('64'!F44:M44,"&gt;0")</f>
        <v>334.28571428571428</v>
      </c>
      <c r="G48" s="422">
        <f>AVERAGEIF('64'!F47:M47,"&gt;0")</f>
        <v>491.42857142857144</v>
      </c>
      <c r="H48" s="423">
        <f>AVERAGEIF('64'!F50:M50,"&gt;0")</f>
        <v>720</v>
      </c>
      <c r="K48" s="421">
        <f>AVERAGEIF('74'!F44:M44,"&gt;0")</f>
        <v>335.71428571428572</v>
      </c>
      <c r="L48" s="422">
        <f>AVERAGEIF('74'!F47:M47,"&gt;0")</f>
        <v>498.57142857142856</v>
      </c>
      <c r="M48" s="423">
        <f>AVERAGEIF('74'!F50:M50,"&gt;0")</f>
        <v>721.42857142857144</v>
      </c>
      <c r="P48" s="421">
        <f>AVERAGEIF('84'!F44:M44,"&gt;0")</f>
        <v>339.14285714285717</v>
      </c>
      <c r="Q48" s="422">
        <f>AVERAGEIF('84'!F47:M47,"&gt;0")</f>
        <v>499</v>
      </c>
      <c r="R48" s="423">
        <f>AVERAGEIF('84'!F50:M50,"&gt;0")</f>
        <v>729.14285714285711</v>
      </c>
      <c r="U48" s="421" t="e">
        <f>AVERAGEIF('94'!F44:M44,"&gt;0")</f>
        <v>#DIV/0!</v>
      </c>
      <c r="V48" s="422" t="e">
        <f>AVERAGEIF('94'!F47:M47,"&gt;0")</f>
        <v>#DIV/0!</v>
      </c>
      <c r="W48" s="423" t="e">
        <f>AVERAGEIF('94'!F50:M50,"&gt;0")</f>
        <v>#DIV/0!</v>
      </c>
      <c r="Z48" s="638">
        <f>'102'!$U$18</f>
        <v>0</v>
      </c>
      <c r="AA48" s="639">
        <f>'102'!$W$18</f>
        <v>0</v>
      </c>
      <c r="AB48" s="640">
        <f>'102'!$Y$18</f>
        <v>0</v>
      </c>
      <c r="AC48" s="1194"/>
      <c r="AE48" s="2"/>
      <c r="AF48" s="8"/>
    </row>
    <row r="49" spans="1:35" ht="12.9" customHeight="1" thickBot="1" x14ac:dyDescent="0.3">
      <c r="A49" s="424">
        <f>AVERAGEIF('54'!F45:M45,"&gt;0")</f>
        <v>375</v>
      </c>
      <c r="B49" s="425">
        <f>AVERAGEIF('54'!F48:M48,"&gt;0")</f>
        <v>590</v>
      </c>
      <c r="C49" s="426">
        <f>AVERAGEIF('54'!F51:M51,"&gt;0")</f>
        <v>850</v>
      </c>
      <c r="F49" s="424">
        <f>AVERAGEIF('64'!F45:M45,"&gt;0")</f>
        <v>367.85714285714283</v>
      </c>
      <c r="G49" s="425">
        <f>AVERAGEIF('64'!F48:M48,"&gt;0")</f>
        <v>582.85714285714289</v>
      </c>
      <c r="H49" s="426">
        <f>AVERAGEIF('64'!F51:M51,"&gt;0")</f>
        <v>833.57142857142856</v>
      </c>
      <c r="K49" s="424">
        <f>AVERAGEIF('74'!F45:M45,"&gt;0")</f>
        <v>367.14285714285717</v>
      </c>
      <c r="L49" s="425">
        <f>AVERAGEIF('74'!F48:M48,"&gt;0")</f>
        <v>584.28571428571433</v>
      </c>
      <c r="M49" s="426">
        <f>AVERAGEIF('74'!F51:M51,"&gt;0")</f>
        <v>815</v>
      </c>
      <c r="P49" s="424">
        <f>AVERAGEIF('84'!F45:M45,"&gt;0")</f>
        <v>369.85714285714283</v>
      </c>
      <c r="Q49" s="425">
        <f>AVERAGEIF('84'!F48:M48,"&gt;0")</f>
        <v>581.85714285714289</v>
      </c>
      <c r="R49" s="426">
        <f>AVERAGEIF('84'!F51:M51,"&gt;0")</f>
        <v>822</v>
      </c>
      <c r="U49" s="424" t="e">
        <f>AVERAGEIF('94'!F45:M45,"&gt;0")</f>
        <v>#DIV/0!</v>
      </c>
      <c r="V49" s="425" t="e">
        <f>AVERAGEIF('94'!F48:M48,"&gt;0")</f>
        <v>#DIV/0!</v>
      </c>
      <c r="W49" s="426" t="e">
        <f>AVERAGEIF('94'!F51:M51,"&gt;0")</f>
        <v>#DIV/0!</v>
      </c>
      <c r="Z49" s="641">
        <f>'102'!$U$19</f>
        <v>0</v>
      </c>
      <c r="AA49" s="642">
        <f>'102'!$W$19</f>
        <v>0</v>
      </c>
      <c r="AB49" s="643">
        <f>'102'!$Y$19</f>
        <v>0</v>
      </c>
      <c r="AC49" s="1194"/>
    </row>
    <row r="50" spans="1:35" ht="12.9" customHeight="1" thickBot="1" x14ac:dyDescent="0.3">
      <c r="D50" s="133"/>
      <c r="I50" s="133"/>
      <c r="N50" s="133"/>
      <c r="S50" s="133"/>
      <c r="X50" s="133"/>
      <c r="AA50" s="771">
        <f t="array" ref="AA50">MAX(IF(Z53:Z65&lt;&gt;0,Z53:Z65,""))</f>
        <v>1223338.6652891007</v>
      </c>
      <c r="AC50" s="771">
        <f t="array" ref="AC50">MAX(IF(AB53:AB65&lt;&gt;0,AB53:AB65,""))</f>
        <v>1223338.6652891007</v>
      </c>
      <c r="AE50" s="771">
        <f t="array" ref="AE50">MAX(IF(AD53:AD65&lt;&gt;0,AD53:AD65,""))</f>
        <v>1223338.6652891007</v>
      </c>
      <c r="AG50" s="771">
        <f t="array" ref="AG50">MAX(IF(AF53:AF65&lt;&gt;0,AF53:AF65,""))</f>
        <v>1223338.6652891007</v>
      </c>
      <c r="AI50" s="771">
        <f t="array" ref="AI50">MAX(IF(AH53:AH65&lt;&gt;0,AH53:AH65,""))</f>
        <v>1223338.6652891007</v>
      </c>
    </row>
    <row r="51" spans="1:35" ht="12.9" customHeight="1" x14ac:dyDescent="0.25">
      <c r="A51" s="1100" t="str">
        <f>Lang!$A$5</f>
        <v>A&amp;D - commission</v>
      </c>
      <c r="B51" s="1101"/>
      <c r="C51" s="1102"/>
      <c r="D51" s="2"/>
      <c r="F51" s="1100" t="str">
        <f>A51</f>
        <v>A&amp;D - commission</v>
      </c>
      <c r="G51" s="1101"/>
      <c r="H51" s="1102"/>
      <c r="K51" s="1100" t="str">
        <f>A51</f>
        <v>A&amp;D - commission</v>
      </c>
      <c r="L51" s="1101"/>
      <c r="M51" s="1102"/>
      <c r="P51" s="1080" t="str">
        <f>A51</f>
        <v>A&amp;D - commission</v>
      </c>
      <c r="Q51" s="1081"/>
      <c r="R51" s="1103"/>
      <c r="U51" s="1100" t="str">
        <f>A51</f>
        <v>A&amp;D - commission</v>
      </c>
      <c r="V51" s="1101"/>
      <c r="W51" s="1102"/>
      <c r="X51" s="2"/>
      <c r="Z51" s="1156" t="str">
        <f>Lang!$A$37</f>
        <v>Maintenance hours</v>
      </c>
      <c r="AA51" s="1157"/>
      <c r="AB51" s="1157"/>
      <c r="AC51" s="1157"/>
      <c r="AD51" s="1157"/>
      <c r="AE51" s="1157"/>
      <c r="AF51" s="1157"/>
      <c r="AG51" s="1157"/>
      <c r="AH51" s="1157"/>
      <c r="AI51" s="1193"/>
    </row>
    <row r="52" spans="1:35" ht="12.9" customHeight="1" x14ac:dyDescent="0.25">
      <c r="A52" s="900">
        <f ca="1">($D128*100+OFFSET(History!$C$45,$B$253,0)*Config!$H9+OFFSET(History!$C$44,$B$253,0)*Config!$H9^2+OFFSET(History!$C$43,$B$253,0)*Config!$H9^3+1)^Config!$G9-(OFFSET(History!$C$45,$B$253,0)+OFFSET(History!$C$44,$B$253,0)*Config!$H9+OFFSET(History!$C$43,$B$253,0)*Config!$H9^2+OFFSET(History!$C$42,$B$253,0)*Config!$H9^3+1)^Config!$G9</f>
        <v>4.2234173140495157E-2</v>
      </c>
      <c r="B52" s="901">
        <f ca="1">($D128*100+OFFSET(History!$C$45,$B$253,0)*Config!$H9+OFFSET(History!$C$44,$B$253,0)*Config!$H9^2+OFFSET(History!$C$43,$B$253,0)*Config!$H9^3+1)^Config!$G9-(OFFSET(History!$C$45,$B$253,0)+OFFSET(History!$C$44,$B$253,0)*Config!$H9+OFFSET(History!$C$43,$B$253,0)*Config!$H9^2+OFFSET(History!$C$42,$B$253,0)*Config!$H9^3+1)^Config!$G9</f>
        <v>4.2234173140495157E-2</v>
      </c>
      <c r="C52" s="902">
        <f ca="1">($D128*100+OFFSET(History!$C$45,$B$253,0)*Config!$H9+OFFSET(History!$C$44,$B$253,0)*Config!$H9^2+OFFSET(History!$C$43,$B$253,0)*Config!$H9^3+1)^Config!$G9-(OFFSET(History!$C$45,$B$253,0)+OFFSET(History!$C$44,$B$253,0)*Config!$H9+OFFSET(History!$C$43,$B$253,0)*Config!$H9^2+OFFSET(History!$C$42,$B$253,0)*Config!$H9^3+1)^Config!$G9</f>
        <v>4.2234173140495157E-2</v>
      </c>
      <c r="D52" s="617">
        <f ca="1">SUM(A52:C54)</f>
        <v>0.31472986682899728</v>
      </c>
      <c r="E52" s="617">
        <f ca="1">SUM('1'!R2:T4)</f>
        <v>9.0771178871798641E-2</v>
      </c>
      <c r="F52" s="900">
        <f ca="1">($I128*100+$D128*100*Config!$H9+OFFSET(History!$C$44,$G$253,0)*Config!$H9^2+OFFSET(History!$C$43,$G$253,0)*Config!$H9^3+1)^Config!$G9-($D128*100+OFFSET(History!$C$44,$G$253,0)*Config!$H9+OFFSET(History!$C$43,$G$253,0)*Config!$H9^2+OFFSET(History!$C$42,$G$253,0)*Config!$H9^3+1)^Config!$G9</f>
        <v>1.5018862016824563E-4</v>
      </c>
      <c r="G52" s="901">
        <f ca="1">($I128*100+$D128*100*Config!$H9+OFFSET(History!$C$44,$G$253,0)*Config!$H9^2+OFFSET(History!$C$43,$G$253,0)*Config!$H9^3+1)^Config!$G9-($D128*100+OFFSET(History!$C$44,$G$253,0)*Config!$H9+OFFSET(History!$C$43,$G$253,0)*Config!$H9^2+OFFSET(History!$C$42,$G$253,0)*Config!$H9^3+1)^Config!$G9</f>
        <v>1.5018862016824563E-4</v>
      </c>
      <c r="H52" s="902">
        <f ca="1">($I128*100+$D128*100*Config!$H9+OFFSET(History!$C$44,$G$253,0)*Config!$H9^2+OFFSET(History!$C$43,$G$253,0)*Config!$H9^3+1)^Config!$G9-($D128*100+OFFSET(History!$C$44,$G$253,0)*Config!$H9+OFFSET(History!$C$43,$G$253,0)*Config!$H9^2+OFFSET(History!$C$42,$G$253,0)*Config!$H9^3+1)^Config!$G9</f>
        <v>1.5018862016824563E-4</v>
      </c>
      <c r="I52" s="617">
        <f ca="1">SUM(F52:H54)</f>
        <v>1.1121638860289718E-3</v>
      </c>
      <c r="J52" s="617">
        <f ca="1">SUM('2'!R2:T4)</f>
        <v>0.13998065583497943</v>
      </c>
      <c r="K52" s="900">
        <f ca="1">($N128*100+$I128*100*Config!$H9+$D128*100*Config!$H9^2+OFFSET(History!$C$43,$L$253,0)*Config!$H9^3+1)^Config!$G9-($I128*100+$D128*100*Config!$H9+OFFSET(History!$C$43,$L$253,0)*Config!$H9^2+OFFSET(History!$C$42,$L$253,0)*Config!$H9^3+1)^Config!$G9</f>
        <v>5.5870502624344454E-7</v>
      </c>
      <c r="L52" s="901">
        <f ca="1">($N128*100+$I128*100*Config!$H9+$D128*100*Config!$H9^2+OFFSET(History!$C$43,$L$253,0)*Config!$H9^3+1)^Config!$G9-($I128*100+$D128*100*Config!$H9+OFFSET(History!$C$43,$L$253,0)*Config!$H9^2+OFFSET(History!$C$42,$L$253,0)*Config!$H9^3+1)^Config!$G9</f>
        <v>5.5870502624344454E-7</v>
      </c>
      <c r="M52" s="902">
        <f ca="1">($N128*100+$I128*100*Config!$H9+$D128*100*Config!$H9^2+OFFSET(History!$C$43,$L$253,0)*Config!$H9^3+1)^Config!$G9-($I128*100+$D128*100*Config!$H9+OFFSET(History!$C$43,$L$253,0)*Config!$H9^2+OFFSET(History!$C$42,$L$253,0)*Config!$H9^3+1)^Config!$G9</f>
        <v>5.5870502624344454E-7</v>
      </c>
      <c r="N52" s="617">
        <f ca="1">SUM(K52:M54)</f>
        <v>4.1371434191805889E-6</v>
      </c>
      <c r="O52" s="617">
        <f ca="1">SUM('3'!R2:T4)</f>
        <v>0.29172322974115716</v>
      </c>
      <c r="P52" s="900">
        <f ca="1">($S128*100+$N128*100*Config!$H9+$I128*100*Config!$H9^2+$D128*100*Config!$H9^3+1)^Config!$G9-($N128*100+$I128*100*Config!$H9+$D128*100*Config!$H9^2+OFFSET(History!$C$42,$Q$253,0)*Config!$H9^3+1)^Config!$G9</f>
        <v>2.0787280785583562E-9</v>
      </c>
      <c r="Q52" s="901">
        <f ca="1">($S128*100+$N128*100*Config!$H9+$I128*100*Config!$H9^2+$D128*100*Config!$H9^3+1)^Config!$G9-($N128*100+$I128*100*Config!$H9+$D128*100*Config!$H9^2+OFFSET(History!$C$42,$Q$253,0)*Config!$H9^3+1)^Config!$G9</f>
        <v>2.0787280785583562E-9</v>
      </c>
      <c r="R52" s="902">
        <f ca="1">($S128*100+$N128*100*Config!$H9+$I128*100*Config!$H9^2+$D128*100*Config!$H9^3+1)^Config!$G9-($N128*100+$I128*100*Config!$H9+$D128*100*Config!$H9^2+OFFSET(History!$C$42,$Q$253,0)*Config!$H9^3+1)^Config!$G9</f>
        <v>2.0787280785583562E-9</v>
      </c>
      <c r="S52" s="617">
        <f ca="1">SUM(P52:R54)</f>
        <v>1.5392729757479628E-8</v>
      </c>
      <c r="T52" s="617">
        <f ca="1">SUM('4'!R2:T4)</f>
        <v>1.0362579200395849E-3</v>
      </c>
      <c r="U52" s="900">
        <f>($X128*100+$S128*100*Config!$H9+$N128*100*Config!$H9^2+$I128*100*Config!$H9^3+1)^Config!$G9-($S128*100+$N128*100*Config!$H9+$I128*100*Config!$H9^2+$D128*100*Config!$H9^3+1)^Config!$G9</f>
        <v>0</v>
      </c>
      <c r="V52" s="901">
        <f>($X128*100+$S128*100*Config!$H9+$N128*100*Config!$H9^2+$I128*100*Config!$H9^3+1)^Config!$G9-($S128*100+$N128*100*Config!$H9+$I128*100*Config!$H9^2+$D128*100*Config!$H9^3+1)^Config!$G9</f>
        <v>0</v>
      </c>
      <c r="W52" s="902">
        <f>($X128*100+$S128*100*Config!$H9+$N128*100*Config!$H9^2+$I128*100*Config!$H9^3+1)^Config!$G9-($S128*100+$N128*100*Config!$H9+$I128*100*Config!$H9^2+$D128*100*Config!$H9^3+1)^Config!$G9</f>
        <v>0</v>
      </c>
      <c r="X52" s="617">
        <f>SUM(U52:W54)</f>
        <v>0</v>
      </c>
      <c r="Y52" s="617">
        <f ca="1">SUM('5'!R2:T4)</f>
        <v>4.3136957143332921</v>
      </c>
      <c r="Z52" s="573">
        <v>1</v>
      </c>
      <c r="AA52" s="605">
        <f>INDEX(AA53:AA65,MATCH(AA50,Z53:Z65,0))</f>
        <v>10</v>
      </c>
      <c r="AB52" s="811">
        <v>2</v>
      </c>
      <c r="AC52" s="605">
        <f>INDEX(AC53:AC65,MATCH(AC50,AB53:AB65,0))</f>
        <v>15</v>
      </c>
      <c r="AD52" s="811">
        <v>3</v>
      </c>
      <c r="AE52" s="605">
        <f>INDEX(AE53:AE65,MATCH(AE50,AD53:AD65,0))</f>
        <v>25</v>
      </c>
      <c r="AF52" s="811">
        <v>4</v>
      </c>
      <c r="AG52" s="605">
        <f>INDEX(AG53:AG65,MATCH(AG50,AF53:AF65,0))</f>
        <v>15</v>
      </c>
      <c r="AH52" s="811">
        <v>5</v>
      </c>
      <c r="AI52" s="606">
        <f>INDEX(AI53:AI65,MATCH(AI50,AH53:AH65,0))</f>
        <v>15</v>
      </c>
    </row>
    <row r="53" spans="1:35" ht="12.9" customHeight="1" x14ac:dyDescent="0.25">
      <c r="A53" s="900">
        <f ca="1">($D129*100+OFFSET(History!$F$45,$B$253,0)*Config!$H10+OFFSET(History!$F$44,$B$253,0)*Config!$H10^2+OFFSET(History!$F$43,$B$253,0)*Config!$H10^3+1)^Config!$G10-(OFFSET(History!$F$45,$B$253,0)+OFFSET(History!$F$44,$B$253,0)*Config!$H10+OFFSET(History!$F$43,$B$253,0)*Config!$H10^2+OFFSET(History!$F$42,$B$253,0)*Config!$H10^3+1)^Config!$G10</f>
        <v>4.6561158981441197E-2</v>
      </c>
      <c r="B53" s="901">
        <f ca="1">($D129*100+OFFSET(History!$F$45,$B$253,0)*Config!$H10+OFFSET(History!$F$44,$B$253,0)*Config!$H10^2+OFFSET(History!$F$43,$B$253,0)*Config!$H10^3+1)^Config!$G10-(OFFSET(History!$F$45,$B$253,0)+OFFSET(History!$F$44,$B$253,0)*Config!$H10+OFFSET(History!$F$43,$B$253,0)*Config!$H10^2+OFFSET(History!$F$42,$B$253,0)*Config!$H10^3+1)^Config!$G10</f>
        <v>4.6561158981441197E-2</v>
      </c>
      <c r="C53" s="902">
        <f ca="1">($D129*100+OFFSET(History!$F$45,$B$253,0)*Config!$H10+OFFSET(History!$F$44,$B$253,0)*Config!$H10^2+OFFSET(History!$F$43,$B$253,0)*Config!$H10^3+1)^Config!$G10-(OFFSET(History!$F$45,$B$253,0)+OFFSET(History!$F$44,$B$253,0)*Config!$H10+OFFSET(History!$F$43,$B$253,0)*Config!$H10^2+OFFSET(History!$F$42,$B$253,0)*Config!$H10^3+1)^Config!$G10</f>
        <v>4.6561158981441197E-2</v>
      </c>
      <c r="D53" s="617"/>
      <c r="E53" s="617"/>
      <c r="F53" s="900">
        <f ca="1">($I129*100+$D129*100*Config!$H10+OFFSET(History!$F$44,$G$253,0)*Config!$H10^2+OFFSET(History!$F$43,$G$253,0)*Config!$H10^3+1)^Config!$G10-($D129*100+OFFSET(History!$F$44,$G$253,0)*Config!$H10+OFFSET(History!$F$43,$G$253,0)*Config!$H10^2+OFFSET(History!$F$42,$G$253,0)*Config!$H10^3+1)^Config!$G10</f>
        <v>1.6459059474249749E-4</v>
      </c>
      <c r="G53" s="901">
        <f ca="1">($I129*100+$D129*100*Config!$H10+OFFSET(History!$F$44,$G$253,0)*Config!$H10^2+OFFSET(History!$F$43,$G$253,0)*Config!$H10^3+1)^Config!$G10-($D129*100+OFFSET(History!$F$44,$G$253,0)*Config!$H10+OFFSET(History!$F$43,$G$253,0)*Config!$H10^2+OFFSET(History!$F$42,$G$253,0)*Config!$H10^3+1)^Config!$G10</f>
        <v>1.6459059474249749E-4</v>
      </c>
      <c r="H53" s="902">
        <f ca="1">($I129*100+$D129*100*Config!$H10+OFFSET(History!$F$44,$G$253,0)*Config!$H10^2+OFFSET(History!$F$43,$G$253,0)*Config!$H10^3+1)^Config!$G10-($D129*100+OFFSET(History!$F$44,$G$253,0)*Config!$H10+OFFSET(History!$F$43,$G$253,0)*Config!$H10^2+OFFSET(History!$F$42,$G$253,0)*Config!$H10^3+1)^Config!$G10</f>
        <v>1.6459059474249749E-4</v>
      </c>
      <c r="I53" s="617"/>
      <c r="J53" s="617"/>
      <c r="K53" s="900">
        <f ca="1">($N129*100+$I129*100*Config!$H10+$D129*100*Config!$H10^2+OFFSET(History!$F$43,$L$253,0)*Config!$H10^3+1)^Config!$G10-($I129*100+$D129*100*Config!$H10+OFFSET(History!$F$43,$L$253,0)*Config!$H10^2+OFFSET(History!$F$42,$L$253,0)*Config!$H10^3+1)^Config!$G10</f>
        <v>6.1226838821148988E-7</v>
      </c>
      <c r="L53" s="901">
        <f ca="1">($N129*100+$I129*100*Config!$H10+$D129*100*Config!$H10^2+OFFSET(History!$F$43,$L$253,0)*Config!$H10^3+1)^Config!$G10-($I129*100+$D129*100*Config!$H10+OFFSET(History!$F$43,$L$253,0)*Config!$H10^2+OFFSET(History!$F$42,$L$253,0)*Config!$H10^3+1)^Config!$G10</f>
        <v>6.1226838821148988E-7</v>
      </c>
      <c r="M53" s="902">
        <f ca="1">($N129*100+$I129*100*Config!$H10+$D129*100*Config!$H10^2+OFFSET(History!$F$43,$L$253,0)*Config!$H10^3+1)^Config!$G10-($I129*100+$D129*100*Config!$H10+OFFSET(History!$F$43,$L$253,0)*Config!$H10^2+OFFSET(History!$F$42,$L$253,0)*Config!$H10^3+1)^Config!$G10</f>
        <v>6.1226838821148988E-7</v>
      </c>
      <c r="N53" s="617"/>
      <c r="O53" s="617"/>
      <c r="P53" s="900">
        <f ca="1">($S129*100+$N129*100*Config!$H10+$I129*100*Config!$H10^2+$D129*100*Config!$H10^3+1)^Config!$G10-($N129*100+$I129*100*Config!$H10+$D129*100*Config!$H10^2+OFFSET(History!$F$42,$Q$253,0)*Config!$H10^3+1)^Config!$G10</f>
        <v>2.2780166641922506E-9</v>
      </c>
      <c r="Q53" s="901">
        <f ca="1">($S129*100+$N129*100*Config!$H10+$I129*100*Config!$H10^2+$D129*100*Config!$H10^3+1)^Config!$G10-($N129*100+$I129*100*Config!$H10+$D129*100*Config!$H10^2+OFFSET(History!$F$42,$Q$253,0)*Config!$H10^3+1)^Config!$G10</f>
        <v>2.2780166641922506E-9</v>
      </c>
      <c r="R53" s="902">
        <f ca="1">($S129*100+$N129*100*Config!$H10+$I129*100*Config!$H10^2+$D129*100*Config!$H10^3+1)^Config!$G10-($N129*100+$I129*100*Config!$H10+$D129*100*Config!$H10^2+OFFSET(History!$F$42,$Q$253,0)*Config!$H10^3+1)^Config!$G10</f>
        <v>2.2780166641922506E-9</v>
      </c>
      <c r="S53" s="617"/>
      <c r="T53" s="617"/>
      <c r="U53" s="900">
        <f>($X129*100+$S129*100*Config!$H10+$N129*100*Config!$H10^2+$I129*100*Config!$H10^3+1)^Config!$G10-($S129*100+$N129*100*Config!$H10+$I129*100*Config!$H10^2+$D129*100*Config!$H10^3+1)^Config!$G10</f>
        <v>0</v>
      </c>
      <c r="V53" s="901">
        <f>($X129*100+$S129*100*Config!$H10+$N129*100*Config!$H10^2+$I129*100*Config!$H10^3+1)^Config!$G10-($S129*100+$N129*100*Config!$H10+$I129*100*Config!$H10^2+$D129*100*Config!$H10^3+1)^Config!$G10</f>
        <v>0</v>
      </c>
      <c r="W53" s="902">
        <f>($X129*100+$S129*100*Config!$H10+$N129*100*Config!$H10^2+$I129*100*Config!$H10^3+1)^Config!$G10-($S129*100+$N129*100*Config!$H10+$I129*100*Config!$H10^2+$D129*100*Config!$H10^3+1)^Config!$G10</f>
        <v>0</v>
      </c>
      <c r="X53" s="703"/>
      <c r="Y53" s="617"/>
      <c r="Z53" s="644">
        <v>0</v>
      </c>
      <c r="AA53" s="14">
        <v>0</v>
      </c>
      <c r="AB53" s="645">
        <v>0</v>
      </c>
      <c r="AC53" s="14">
        <v>0</v>
      </c>
      <c r="AD53" s="645">
        <v>0</v>
      </c>
      <c r="AE53" s="14">
        <v>0</v>
      </c>
      <c r="AF53" s="645">
        <v>0</v>
      </c>
      <c r="AG53" s="14">
        <v>0</v>
      </c>
      <c r="AH53" s="645">
        <v>0</v>
      </c>
      <c r="AI53" s="607">
        <v>0</v>
      </c>
    </row>
    <row r="54" spans="1:35" ht="12.9" customHeight="1" thickBot="1" x14ac:dyDescent="0.3">
      <c r="A54" s="903">
        <f ca="1">($D130*100+OFFSET(History!$I$45,$B$253,0)*Config!$H11+OFFSET(History!$I$44,$B$253,0)*Config!$H11^2+OFFSET(History!$I$43,$B$253,0)*Config!$H11^3+1)^Config!$G11-(OFFSET(History!$I$45,$B$253,0)+OFFSET(History!$I$44,$B$253,0)*Config!$H11+OFFSET(History!$I$43,$B$253,0)*Config!$H11^2+OFFSET(History!$I$42,$B$253,0)*Config!$H11^3+1)^Config!$G11</f>
        <v>1.6114623487729407E-2</v>
      </c>
      <c r="B54" s="904">
        <f ca="1">($D130*100+OFFSET(History!$I$45,$B$253,0)*Config!$H11+OFFSET(History!$I$44,$B$253,0)*Config!$H11^2+OFFSET(History!$I$43,$B$253,0)*Config!$H11^3+1)^Config!$G11-(OFFSET(History!$I$45,$B$253,0)+OFFSET(History!$I$44,$B$253,0)*Config!$H11+OFFSET(History!$I$43,$B$253,0)*Config!$H11^2+OFFSET(History!$I$42,$B$253,0)*Config!$H11^3+1)^Config!$G11</f>
        <v>1.6114623487729407E-2</v>
      </c>
      <c r="C54" s="905">
        <f ca="1">($D130*100+OFFSET(History!$I$45,$B$253,0)*Config!$H11+OFFSET(History!$I$44,$B$253,0)*Config!$H11^2+OFFSET(History!$I$43,$B$253,0)*Config!$H11^3+1)^Config!$G11-(OFFSET(History!$I$45,$B$253,0)+OFFSET(History!$I$44,$B$253,0)*Config!$H11+OFFSET(History!$I$43,$B$253,0)*Config!$H11^2+OFFSET(History!$I$42,$B$253,0)*Config!$H11^3+1)^Config!$G11</f>
        <v>1.6114623487729407E-2</v>
      </c>
      <c r="D54" s="617"/>
      <c r="E54" s="617"/>
      <c r="F54" s="903">
        <f ca="1">($I130*100+$D130*100*Config!$H11+OFFSET(History!$I$44,$G$253,0)*Config!$H11^2+OFFSET(History!$I$43,$G$253,0)*Config!$H11^3+1)^Config!$G11-($D130*100+OFFSET(History!$I$44,$G$253,0)*Config!$H11+OFFSET(History!$I$43,$G$253,0)*Config!$H11^2+OFFSET(History!$I$42,$G$253,0)*Config!$H11^3+1)^Config!$G11</f>
        <v>5.5942080432247465E-5</v>
      </c>
      <c r="G54" s="904">
        <f ca="1">($I130*100+$D130*100*Config!$H11+OFFSET(History!$I$44,$G$253,0)*Config!$H11^2+OFFSET(History!$I$43,$G$253,0)*Config!$H11^3+1)^Config!$G11-($D130*100+OFFSET(History!$I$44,$G$253,0)*Config!$H11+OFFSET(History!$I$43,$G$253,0)*Config!$H11^2+OFFSET(History!$I$42,$G$253,0)*Config!$H11^3+1)^Config!$G11</f>
        <v>5.5942080432247465E-5</v>
      </c>
      <c r="H54" s="905">
        <f ca="1">($I130*100+$D130*100*Config!$H11+OFFSET(History!$I$44,$G$253,0)*Config!$H11^2+OFFSET(History!$I$43,$G$253,0)*Config!$H11^3+1)^Config!$G11-($D130*100+OFFSET(History!$I$44,$G$253,0)*Config!$H11+OFFSET(History!$I$43,$G$253,0)*Config!$H11^2+OFFSET(History!$I$42,$G$253,0)*Config!$H11^3+1)^Config!$G11</f>
        <v>5.5942080432247465E-5</v>
      </c>
      <c r="I54" s="617"/>
      <c r="J54" s="617"/>
      <c r="K54" s="903">
        <f ca="1">($N130*100+$I130*100*Config!$H11+$D130*100*Config!$H11^2+OFFSET(History!$I$43,$L$253,0)*Config!$H11^3+1)^Config!$G11-($I130*100+$D130*100*Config!$H11+OFFSET(History!$I$43,$L$253,0)*Config!$H11^2+OFFSET(History!$I$42,$L$253,0)*Config!$H11^3+1)^Config!$G11</f>
        <v>2.0807439193859523E-7</v>
      </c>
      <c r="L54" s="904">
        <f ca="1">($N130*100+$I130*100*Config!$H11+$D130*100*Config!$H11^2+OFFSET(History!$I$43,$L$253,0)*Config!$H11^3+1)^Config!$G11-($I130*100+$D130*100*Config!$H11+OFFSET(History!$I$43,$L$253,0)*Config!$H11^2+OFFSET(History!$I$42,$L$253,0)*Config!$H11^3+1)^Config!$G11</f>
        <v>2.0807439193859523E-7</v>
      </c>
      <c r="M54" s="905">
        <f ca="1">($N130*100+$I130*100*Config!$H11+$D130*100*Config!$H11^2+OFFSET(History!$I$43,$L$253,0)*Config!$H11^3+1)^Config!$G11-($I130*100+$D130*100*Config!$H11+OFFSET(History!$I$43,$L$253,0)*Config!$H11^2+OFFSET(History!$I$42,$L$253,0)*Config!$H11^3+1)^Config!$G11</f>
        <v>2.0807439193859523E-7</v>
      </c>
      <c r="N54" s="617"/>
      <c r="O54" s="617"/>
      <c r="P54" s="903">
        <f ca="1">($S130*100+$N130*100*Config!$H11+$I130*100*Config!$H11^2+$D130*100*Config!$H11^3+1)^Config!$G11-($N130*100+$I130*100*Config!$H11+$D130*100*Config!$H11^2+OFFSET(History!$I$42,$Q$253,0)*Config!$H11^3+1)^Config!$G11</f>
        <v>7.7416517640926941E-10</v>
      </c>
      <c r="Q54" s="904">
        <f ca="1">($S130*100+$N130*100*Config!$H11+$I130*100*Config!$H11^2+$D130*100*Config!$H11^3+1)^Config!$G11-($N130*100+$I130*100*Config!$H11+$D130*100*Config!$H11^2+OFFSET(History!$I$42,$Q$253,0)*Config!$H11^3+1)^Config!$G11</f>
        <v>7.7416517640926941E-10</v>
      </c>
      <c r="R54" s="905">
        <f ca="1">($S130*100+$N130*100*Config!$H11+$I130*100*Config!$H11^2+$D130*100*Config!$H11^3+1)^Config!$G11-($N130*100+$I130*100*Config!$H11+$D130*100*Config!$H11^2+OFFSET(History!$I$42,$Q$253,0)*Config!$H11^3+1)^Config!$G11</f>
        <v>7.7416517640926941E-10</v>
      </c>
      <c r="S54" s="617"/>
      <c r="T54" s="617"/>
      <c r="U54" s="903">
        <f>($X130*100+$S130*100*Config!$H11+$N130*100*Config!$H11^2+$I130*100*Config!$H11^3+1)^Config!$G11-($S130*100+$N130*100*Config!$H11+$I130*100*Config!$H11^2+$D130*100*Config!$H11^3+1)^Config!$G11</f>
        <v>0</v>
      </c>
      <c r="V54" s="904">
        <f>($X130*100+$S130*100*Config!$H11+$N130*100*Config!$H11^2+$I130*100*Config!$H11^3+1)^Config!$G11-($S130*100+$N130*100*Config!$H11+$I130*100*Config!$H11^2+$D130*100*Config!$H11^3+1)^Config!$G11</f>
        <v>0</v>
      </c>
      <c r="W54" s="905">
        <f>($X130*100+$S130*100*Config!$H11+$N130*100*Config!$H11^2+$I130*100*Config!$H11^3+1)^Config!$G11-($S130*100+$N130*100*Config!$H11+$I130*100*Config!$H11^2+$D130*100*Config!$H11^3+1)^Config!$G11</f>
        <v>0</v>
      </c>
      <c r="X54" s="703"/>
      <c r="Y54" s="617"/>
      <c r="Z54" s="644">
        <v>0</v>
      </c>
      <c r="AA54" s="14">
        <v>0</v>
      </c>
      <c r="AB54" s="645">
        <v>0</v>
      </c>
      <c r="AC54" s="14">
        <v>0</v>
      </c>
      <c r="AD54" s="645">
        <v>0</v>
      </c>
      <c r="AE54" s="14">
        <v>0</v>
      </c>
      <c r="AF54" s="645">
        <v>0</v>
      </c>
      <c r="AG54" s="14">
        <v>0</v>
      </c>
      <c r="AH54" s="645">
        <v>0</v>
      </c>
      <c r="AI54" s="607">
        <v>0</v>
      </c>
    </row>
    <row r="55" spans="1:35" ht="12.9" customHeight="1" thickBot="1" x14ac:dyDescent="0.3">
      <c r="A55" s="617"/>
      <c r="B55" s="617"/>
      <c r="C55" s="617"/>
      <c r="D55" s="703"/>
      <c r="E55" s="617"/>
      <c r="F55" s="617"/>
      <c r="G55" s="617"/>
      <c r="H55" s="617"/>
      <c r="I55" s="703"/>
      <c r="J55" s="617"/>
      <c r="K55" s="617"/>
      <c r="L55" s="617"/>
      <c r="M55" s="617"/>
      <c r="N55" s="703"/>
      <c r="O55" s="617"/>
      <c r="P55" s="617"/>
      <c r="Q55" s="617"/>
      <c r="R55" s="617"/>
      <c r="S55" s="703"/>
      <c r="T55" s="617"/>
      <c r="U55" s="617"/>
      <c r="V55" s="617"/>
      <c r="W55" s="617"/>
      <c r="X55" s="703"/>
      <c r="Y55" s="617"/>
      <c r="Z55" s="644">
        <v>0</v>
      </c>
      <c r="AA55" s="14">
        <v>0</v>
      </c>
      <c r="AB55" s="645">
        <v>0</v>
      </c>
      <c r="AC55" s="14">
        <v>0</v>
      </c>
      <c r="AD55" s="645">
        <v>0</v>
      </c>
      <c r="AE55" s="14">
        <v>5</v>
      </c>
      <c r="AF55" s="645">
        <v>0</v>
      </c>
      <c r="AG55" s="14">
        <v>0</v>
      </c>
      <c r="AH55" s="645">
        <v>0</v>
      </c>
      <c r="AI55" s="607">
        <v>0</v>
      </c>
    </row>
    <row r="56" spans="1:35" ht="12.9" customHeight="1" x14ac:dyDescent="0.25">
      <c r="A56" s="1190" t="str">
        <f>Lang!$A$19</f>
        <v>A&amp;D - support</v>
      </c>
      <c r="B56" s="1191"/>
      <c r="C56" s="1192"/>
      <c r="D56" s="703"/>
      <c r="E56" s="617"/>
      <c r="F56" s="1190" t="str">
        <f>A56</f>
        <v>A&amp;D - support</v>
      </c>
      <c r="G56" s="1191"/>
      <c r="H56" s="1192"/>
      <c r="I56" s="617"/>
      <c r="J56" s="617"/>
      <c r="K56" s="1190" t="str">
        <f>A56</f>
        <v>A&amp;D - support</v>
      </c>
      <c r="L56" s="1191"/>
      <c r="M56" s="1192"/>
      <c r="N56" s="617"/>
      <c r="O56" s="617"/>
      <c r="P56" s="1187" t="str">
        <f>A56</f>
        <v>A&amp;D - support</v>
      </c>
      <c r="Q56" s="1188"/>
      <c r="R56" s="1189"/>
      <c r="S56" s="617"/>
      <c r="T56" s="617"/>
      <c r="U56" s="1190" t="str">
        <f>A56</f>
        <v>A&amp;D - support</v>
      </c>
      <c r="V56" s="1191"/>
      <c r="W56" s="1192"/>
      <c r="X56" s="703"/>
      <c r="Y56" s="617"/>
      <c r="Z56" s="644">
        <v>0</v>
      </c>
      <c r="AA56" s="14">
        <v>0</v>
      </c>
      <c r="AB56" s="645">
        <v>0</v>
      </c>
      <c r="AC56" s="14">
        <v>0</v>
      </c>
      <c r="AD56" s="645">
        <v>1215765.2195565975</v>
      </c>
      <c r="AE56" s="14">
        <v>10</v>
      </c>
      <c r="AF56" s="645">
        <v>0</v>
      </c>
      <c r="AG56" s="14">
        <v>0</v>
      </c>
      <c r="AH56" s="645">
        <v>1218743.6652891007</v>
      </c>
      <c r="AI56" s="607">
        <v>0</v>
      </c>
    </row>
    <row r="57" spans="1:35" ht="12.9" customHeight="1" x14ac:dyDescent="0.25">
      <c r="A57" s="900"/>
      <c r="B57" s="901"/>
      <c r="C57" s="902"/>
      <c r="D57" s="617">
        <f ca="1">SUM(A57:C59)</f>
        <v>0.28993833230982502</v>
      </c>
      <c r="E57" s="617">
        <f ca="1">SUM('1'!R7:T9)</f>
        <v>0.28993833230982502</v>
      </c>
      <c r="F57" s="900"/>
      <c r="G57" s="901"/>
      <c r="H57" s="902"/>
      <c r="I57" s="617">
        <f ca="1">SUM(F57:H59)</f>
        <v>0.15255288905063824</v>
      </c>
      <c r="J57" s="617">
        <f ca="1">SUM('2'!R7:T9)</f>
        <v>0.15255288905063824</v>
      </c>
      <c r="K57" s="900"/>
      <c r="L57" s="901"/>
      <c r="M57" s="902"/>
      <c r="N57" s="617">
        <f ca="1">SUM(K57:M59)</f>
        <v>2.0073307480082736E-2</v>
      </c>
      <c r="O57" s="617">
        <f ca="1">SUM('3'!R7:T9)</f>
        <v>0.12183039855153655</v>
      </c>
      <c r="P57" s="900"/>
      <c r="Q57" s="901"/>
      <c r="R57" s="902"/>
      <c r="S57" s="617">
        <f ca="1">SUM(P57:R59)</f>
        <v>1.2212442837994608E-2</v>
      </c>
      <c r="T57" s="617">
        <f ca="1">SUM('4'!R7:T9)</f>
        <v>0.11645059293793092</v>
      </c>
      <c r="U57" s="900"/>
      <c r="V57" s="901"/>
      <c r="W57" s="902"/>
      <c r="X57" s="617">
        <f>SUM(U57:W59)</f>
        <v>0</v>
      </c>
      <c r="Y57" s="617">
        <f ca="1">SUM('5'!R7:T9)</f>
        <v>0.23975019307315604</v>
      </c>
      <c r="Z57" s="644">
        <v>0</v>
      </c>
      <c r="AA57" s="14">
        <v>0</v>
      </c>
      <c r="AB57" s="645">
        <v>0</v>
      </c>
      <c r="AC57" s="14">
        <v>5</v>
      </c>
      <c r="AD57" s="645">
        <v>1220831.0252569839</v>
      </c>
      <c r="AE57" s="14">
        <v>15</v>
      </c>
      <c r="AF57" s="645">
        <v>1217495.4063809123</v>
      </c>
      <c r="AG57" s="14">
        <v>5</v>
      </c>
      <c r="AH57" s="645">
        <v>1220543.6652891007</v>
      </c>
      <c r="AI57" s="607">
        <v>5</v>
      </c>
    </row>
    <row r="58" spans="1:35" ht="12.9" customHeight="1" x14ac:dyDescent="0.25">
      <c r="A58" s="900"/>
      <c r="B58" s="901"/>
      <c r="C58" s="902"/>
      <c r="D58" s="617"/>
      <c r="E58" s="617"/>
      <c r="F58" s="900"/>
      <c r="G58" s="901"/>
      <c r="H58" s="902"/>
      <c r="I58" s="617"/>
      <c r="J58" s="617"/>
      <c r="K58" s="900"/>
      <c r="L58" s="901"/>
      <c r="M58" s="902"/>
      <c r="N58" s="617"/>
      <c r="O58" s="617"/>
      <c r="P58" s="900"/>
      <c r="Q58" s="901"/>
      <c r="R58" s="902"/>
      <c r="S58" s="617"/>
      <c r="T58" s="617"/>
      <c r="U58" s="900"/>
      <c r="V58" s="901"/>
      <c r="W58" s="902"/>
      <c r="X58" s="703"/>
      <c r="Y58" s="617"/>
      <c r="Z58" s="644">
        <v>0</v>
      </c>
      <c r="AA58" s="14">
        <v>5</v>
      </c>
      <c r="AB58" s="645">
        <v>1219960.7397271539</v>
      </c>
      <c r="AC58" s="14">
        <v>10</v>
      </c>
      <c r="AD58" s="645">
        <v>1222341.994853559</v>
      </c>
      <c r="AE58" s="14">
        <v>20</v>
      </c>
      <c r="AF58" s="645">
        <v>1220702.5555982399</v>
      </c>
      <c r="AG58" s="14">
        <v>10</v>
      </c>
      <c r="AH58" s="645">
        <v>1222343.6652891007</v>
      </c>
      <c r="AI58" s="607">
        <v>10</v>
      </c>
    </row>
    <row r="59" spans="1:35" ht="12.9" customHeight="1" thickBot="1" x14ac:dyDescent="0.3">
      <c r="A59" s="903">
        <f ca="1">($C130+OFFSET(History!$H$45,$B$253,0)*Config!$H2+OFFSET(History!$H$44,$B$253,0)*Config!$H2^2+OFFSET(History!$H$43,$B$253,0)*Config!$H2^3)^Config!$G2-(OFFSET(History!$H$45,$B$253,0)+OFFSET(History!$H$44,$B$253,0)*Config!$H2+OFFSET(History!$H$43,$B$253,0)*Config!$H2^2+OFFSET(History!$H$42,$B$253,0)*Config!$H2^3)^Config!$G2</f>
        <v>9.6646110769941673E-2</v>
      </c>
      <c r="B59" s="904">
        <f ca="1">($C130+OFFSET(History!$H$45,$B$253,0)*Config!$H2+OFFSET(History!$H$44,$B$253,0)*Config!$H2^2+OFFSET(History!$H$43,$B$253,0)*Config!$H2^3)^Config!$G2-(OFFSET(History!$H$45,$B$253,0)+OFFSET(History!$H$44,$B$253,0)*Config!$H2+OFFSET(History!$H$43,$B$253,0)*Config!$H2^2+OFFSET(History!$H$42,$B$253,0)*Config!$H2^3)^Config!$G2</f>
        <v>9.6646110769941673E-2</v>
      </c>
      <c r="C59" s="905">
        <f ca="1">($C130+OFFSET(History!$H$45,$B$253,0)*Config!$H2+OFFSET(History!$H$44,$B$253,0)*Config!$H2^2+OFFSET(History!$H$43,$B$253,0)*Config!$H2^3)^Config!$G2-(OFFSET(History!$H$45,$B$253,0)+OFFSET(History!$H$44,$B$253,0)*Config!$H2+OFFSET(History!$H$43,$B$253,0)*Config!$H2^2+OFFSET(History!$H$42,$B$253,0)*Config!$H2^3)^Config!$G2</f>
        <v>9.6646110769941673E-2</v>
      </c>
      <c r="D59" s="617"/>
      <c r="E59" s="617"/>
      <c r="F59" s="903">
        <f ca="1">($H130+$C130*Config!$H2+OFFSET(History!$H$44,$G$253,0)*Config!$H2^2+OFFSET(History!$H$43,$G$253,0)*Config!$H2^3)^Config!$G2-($C130+OFFSET(History!$H$44,$G$253,0)*Config!$H2+OFFSET(History!$H$43,$G$253,0)*Config!$H2^2+OFFSET(History!$H$42,$G$253,0)*Config!$H2^3)^Config!$G2</f>
        <v>5.0850963016879414E-2</v>
      </c>
      <c r="G59" s="904">
        <f ca="1">($H130+$C130*Config!$H2+OFFSET(History!$H$44,$G$253,0)*Config!$H2^2+OFFSET(History!$H$43,$G$253,0)*Config!$H2^3)^Config!$G2-($C130+OFFSET(History!$H$44,$G$253,0)*Config!$H2+OFFSET(History!$H$43,$G$253,0)*Config!$H2^2+OFFSET(History!$H$42,$G$253,0)*Config!$H2^3)^Config!$G2</f>
        <v>5.0850963016879414E-2</v>
      </c>
      <c r="H59" s="905">
        <f ca="1">($H130+$C130*Config!$H2+OFFSET(History!$H$44,$G$253,0)*Config!$H2^2+OFFSET(History!$H$43,$G$253,0)*Config!$H2^3)^Config!$G2-($C130+OFFSET(History!$H$44,$G$253,0)*Config!$H2+OFFSET(History!$H$43,$G$253,0)*Config!$H2^2+OFFSET(History!$H$42,$G$253,0)*Config!$H2^3)^Config!$G2</f>
        <v>5.0850963016879414E-2</v>
      </c>
      <c r="I59" s="617"/>
      <c r="J59" s="617"/>
      <c r="K59" s="903">
        <f ca="1">($M130+$H130*Config!$H2+$C130*Config!$H2^2+OFFSET(History!$H$43,$L$253,0)*Config!$H2^3)^Config!$G2-($H130+$C130*Config!$H2+OFFSET(History!$H$43,$L$253,0)*Config!$H2^2+OFFSET(History!$H$42,$L$253,0)*Config!$H2^3)^Config!$G2</f>
        <v>6.691102493360912E-3</v>
      </c>
      <c r="L59" s="904">
        <f ca="1">($M130+$H130*Config!$H2+$C130*Config!$H2^2+OFFSET(History!$H$43,$L$253,0)*Config!$H2^3)^Config!$G2-($H130+$C130*Config!$H2+OFFSET(History!$H$43,$L$253,0)*Config!$H2^2+OFFSET(History!$H$42,$L$253,0)*Config!$H2^3)^Config!$G2</f>
        <v>6.691102493360912E-3</v>
      </c>
      <c r="M59" s="905">
        <f ca="1">($M130+$H130*Config!$H2+$C130*Config!$H2^2+OFFSET(History!$H$43,$L$253,0)*Config!$H2^3)^Config!$G2-($H130+$C130*Config!$H2+OFFSET(History!$H$43,$L$253,0)*Config!$H2^2+OFFSET(History!$H$42,$L$253,0)*Config!$H2^3)^Config!$G2</f>
        <v>6.691102493360912E-3</v>
      </c>
      <c r="N59" s="617"/>
      <c r="O59" s="617"/>
      <c r="P59" s="903">
        <f ca="1">($R130+$M130*Config!$H2+$H130*Config!$H2^2+$C130*Config!$H2^3)^Config!$G2-($M130+$H130*Config!$H2+$C130*Config!$H2^2+OFFSET(History!$H$42,$Q$253,0)*Config!$H2^3)^Config!$G2</f>
        <v>4.0708142793315361E-3</v>
      </c>
      <c r="Q59" s="904">
        <f ca="1">($R130+$M130*Config!$H2+$H130*Config!$H2^2+$C130*Config!$H2^3)^Config!$G2-($M130+$H130*Config!$H2+$C130*Config!$H2^2+OFFSET(History!$H$42,$Q$253,0)*Config!$H2^3)^Config!$G2</f>
        <v>4.0708142793315361E-3</v>
      </c>
      <c r="R59" s="905">
        <f ca="1">($R130+$M130*Config!$H2+$H130*Config!$H2^2+$C130*Config!$H2^3)^Config!$G2-($M130+$H130*Config!$H2+$C130*Config!$H2^2+OFFSET(History!$H$42,$Q$253,0)*Config!$H2^3)^Config!$G2</f>
        <v>4.0708142793315361E-3</v>
      </c>
      <c r="S59" s="617"/>
      <c r="T59" s="617"/>
      <c r="U59" s="903">
        <f>($W130+$R130*Config!$H2+$M130*Config!$H2^2+$H130*Config!$H2^3)^Config!$G2-($R130+$M130*Config!$H2+$H130*Config!$H2^2+$C130*Config!$H2^3)^Config!$G2</f>
        <v>0</v>
      </c>
      <c r="V59" s="904">
        <f>($W130+$R130*Config!$H2+$M130*Config!$H2^2+$H130*Config!$H2^3)^Config!$G2-($R130+$M130*Config!$H2+$H130*Config!$H2^2+$C130*Config!$H2^3)^Config!$G2</f>
        <v>0</v>
      </c>
      <c r="W59" s="905">
        <f>($W130+$R130*Config!$H2+$M130*Config!$H2^2+$H130*Config!$H2^3)^Config!$G2-($R130+$M130*Config!$H2+$H130*Config!$H2^2+$C130*Config!$H2^3)^Config!$G2</f>
        <v>0</v>
      </c>
      <c r="X59" s="703"/>
      <c r="Y59" s="617"/>
      <c r="Z59" s="646">
        <v>1223338.6652891007</v>
      </c>
      <c r="AA59" s="609">
        <v>10</v>
      </c>
      <c r="AB59" s="647">
        <v>1223338.6652891007</v>
      </c>
      <c r="AC59" s="609">
        <v>15</v>
      </c>
      <c r="AD59" s="647">
        <v>1223338.6652891007</v>
      </c>
      <c r="AE59" s="609">
        <v>25</v>
      </c>
      <c r="AF59" s="647">
        <v>1223338.6652891007</v>
      </c>
      <c r="AG59" s="609">
        <v>15</v>
      </c>
      <c r="AH59" s="647">
        <v>1223338.6652891007</v>
      </c>
      <c r="AI59" s="610">
        <v>15</v>
      </c>
    </row>
    <row r="60" spans="1:35" ht="12.9" customHeight="1" thickBot="1" x14ac:dyDescent="0.3">
      <c r="A60" s="617"/>
      <c r="B60" s="617"/>
      <c r="C60" s="617"/>
      <c r="D60" s="703"/>
      <c r="E60" s="617"/>
      <c r="F60" s="617"/>
      <c r="G60" s="617"/>
      <c r="H60" s="617"/>
      <c r="I60" s="703"/>
      <c r="J60" s="617"/>
      <c r="K60" s="617"/>
      <c r="L60" s="617"/>
      <c r="M60" s="617"/>
      <c r="N60" s="703"/>
      <c r="O60" s="617"/>
      <c r="P60" s="617"/>
      <c r="Q60" s="617"/>
      <c r="R60" s="617"/>
      <c r="S60" s="703"/>
      <c r="T60" s="617"/>
      <c r="U60" s="617"/>
      <c r="V60" s="617"/>
      <c r="W60" s="617"/>
      <c r="X60" s="703"/>
      <c r="Y60" s="617"/>
      <c r="Z60" s="644">
        <v>1222115.6148984756</v>
      </c>
      <c r="AA60" s="14">
        <v>15</v>
      </c>
      <c r="AB60" s="645">
        <v>1223315.4403162436</v>
      </c>
      <c r="AC60" s="14">
        <v>20</v>
      </c>
      <c r="AD60" s="645">
        <v>1223019.0173725388</v>
      </c>
      <c r="AE60" s="14">
        <v>30</v>
      </c>
      <c r="AF60" s="645">
        <v>1222718.9843461593</v>
      </c>
      <c r="AG60" s="14">
        <v>20</v>
      </c>
      <c r="AH60" s="645">
        <v>1221638.6652891007</v>
      </c>
      <c r="AI60" s="607">
        <v>20</v>
      </c>
    </row>
    <row r="61" spans="1:35" ht="12.9" customHeight="1" x14ac:dyDescent="0.25">
      <c r="A61" s="1190" t="str">
        <f>Lang!$A$32</f>
        <v>A&amp;D - recruit</v>
      </c>
      <c r="B61" s="1191"/>
      <c r="C61" s="1192"/>
      <c r="D61" s="703"/>
      <c r="E61" s="617"/>
      <c r="F61" s="1190" t="str">
        <f>A61</f>
        <v>A&amp;D - recruit</v>
      </c>
      <c r="G61" s="1191"/>
      <c r="H61" s="1192"/>
      <c r="I61" s="617"/>
      <c r="J61" s="617"/>
      <c r="K61" s="1190" t="str">
        <f>A61</f>
        <v>A&amp;D - recruit</v>
      </c>
      <c r="L61" s="1191"/>
      <c r="M61" s="1192"/>
      <c r="N61" s="617"/>
      <c r="O61" s="617"/>
      <c r="P61" s="1190" t="str">
        <f>A61</f>
        <v>A&amp;D - recruit</v>
      </c>
      <c r="Q61" s="1191"/>
      <c r="R61" s="1192"/>
      <c r="S61" s="617"/>
      <c r="T61" s="617"/>
      <c r="U61" s="1190" t="str">
        <f>A61</f>
        <v>A&amp;D - recruit</v>
      </c>
      <c r="V61" s="1191"/>
      <c r="W61" s="1192"/>
      <c r="X61" s="703"/>
      <c r="Y61" s="617"/>
      <c r="Z61" s="644">
        <v>1220882.8928987694</v>
      </c>
      <c r="AA61" s="14">
        <v>20</v>
      </c>
      <c r="AB61" s="645">
        <v>1222632.6349581969</v>
      </c>
      <c r="AC61" s="14">
        <v>25</v>
      </c>
      <c r="AD61" s="645">
        <v>1222288.9677856653</v>
      </c>
      <c r="AE61" s="14">
        <v>35</v>
      </c>
      <c r="AF61" s="645">
        <v>1221589.5249450966</v>
      </c>
      <c r="AG61" s="14">
        <v>25</v>
      </c>
      <c r="AH61" s="645">
        <v>1219938.6652891007</v>
      </c>
      <c r="AI61" s="607">
        <v>25</v>
      </c>
    </row>
    <row r="62" spans="1:35" ht="12.9" customHeight="1" x14ac:dyDescent="0.25">
      <c r="A62" s="900">
        <f ca="1">($E128+OFFSET(History!$A$45,$B$253,0)*Config!$H5+OFFSET(History!$A$44,$B$253,0)*Config!$H5^2+OFFSET(History!$A$43,$B$253,0)*Config!$H5^3)^Config!$G5-(OFFSET(History!$A$45,$B$253,0)+OFFSET(History!$A$44,$B$253,0)*Config!$H5+OFFSET(History!$A$43,$B$253,0)*Config!$H5^2+OFFSET(History!$A$42,$B$253,0)*Config!$H5^3)^Config!$G5</f>
        <v>6.3718308143068114E-4</v>
      </c>
      <c r="B62" s="901">
        <f ca="1">($E128+OFFSET(History!$A$45,$B$253,0)*Config!$H5+OFFSET(History!$A$44,$B$253,0)*Config!$H5^2+OFFSET(History!$A$43,$B$253,0)*Config!$H5^3)^Config!$G5-(OFFSET(History!$A$45,$B$253,0)+OFFSET(History!$A$44,$B$253,0)*Config!$H5+OFFSET(History!$A$43,$B$253,0)*Config!$H5^2+OFFSET(History!$A$42,$B$253,0)*Config!$H5^3)^Config!$G5</f>
        <v>6.3718308143068114E-4</v>
      </c>
      <c r="C62" s="902">
        <f ca="1">($E128+OFFSET(History!$A$45,$B$253,0)*Config!$H5+OFFSET(History!$A$44,$B$253,0)*Config!$H5^2+OFFSET(History!$A$43,$B$253,0)*Config!$H5^3)^Config!$G5-(OFFSET(History!$A$45,$B$253,0)+OFFSET(History!$A$44,$B$253,0)*Config!$H5+OFFSET(History!$A$43,$B$253,0)*Config!$H5^2+OFFSET(History!$A$42,$B$253,0)*Config!$H5^3)^Config!$G5</f>
        <v>6.3718308143068114E-4</v>
      </c>
      <c r="D62" s="617">
        <f ca="1">SUM(A62:C64)</f>
        <v>2.3926759419998556E-2</v>
      </c>
      <c r="E62" s="617">
        <f ca="1">SUM('1'!R12:T14)</f>
        <v>0.82089020466385532</v>
      </c>
      <c r="F62" s="900">
        <f ca="1">($J128+$E128*Config!$H5+OFFSET(History!$A$44,$G$253,0)*Config!$H5^2+OFFSET(History!$A$43,$G$253,0)*Config!$H5^3)^Config!$G5-($E128+OFFSET(History!$A$44,$G$253,0)*Config!$H5+OFFSET(History!$A$43,$G$253,0)*Config!$H5^2+OFFSET(History!$A$42,$G$253,0)*Config!$H5^3)^Config!$G5</f>
        <v>5.6695240000425029E-2</v>
      </c>
      <c r="G62" s="901">
        <f ca="1">($J128+$E128*Config!$H5+OFFSET(History!$A$44,$G$253,0)*Config!$H5^2+OFFSET(History!$A$43,$G$253,0)*Config!$H5^3)^Config!$G5-($E128+OFFSET(History!$A$44,$G$253,0)*Config!$H5+OFFSET(History!$A$43,$G$253,0)*Config!$H5^2+OFFSET(History!$A$42,$G$253,0)*Config!$H5^3)^Config!$G5</f>
        <v>5.6695240000425029E-2</v>
      </c>
      <c r="H62" s="902">
        <f ca="1">($J128+$E128*Config!$H5+OFFSET(History!$A$44,$G$253,0)*Config!$H5^2+OFFSET(History!$A$43,$G$253,0)*Config!$H5^3)^Config!$G5-($E128+OFFSET(History!$A$44,$G$253,0)*Config!$H5+OFFSET(History!$A$43,$G$253,0)*Config!$H5^2+OFFSET(History!$A$42,$G$253,0)*Config!$H5^3)^Config!$G5</f>
        <v>5.6695240000425029E-2</v>
      </c>
      <c r="I62" s="617">
        <f ca="1">SUM(F62:H64)</f>
        <v>0.53188403147778684</v>
      </c>
      <c r="J62" s="617">
        <f ca="1">SUM('2'!R12:T14)</f>
        <v>0.79988263012856464</v>
      </c>
      <c r="K62" s="900">
        <f ca="1">($O128+$J128*Config!$H5+$E128*Config!$H5^2+OFFSET(History!$A$43,$L$253,0)*Config!$H5^3)^Config!$G5-($J128+$E128*Config!$H5+OFFSET(History!$A$43,$L$253,0)*Config!$H5^2+OFFSET(History!$A$42,$L$253,0)*Config!$H5^3)^Config!$G5</f>
        <v>5.7276218792454481E-2</v>
      </c>
      <c r="L62" s="901">
        <f ca="1">($O128+$J128*Config!$H5+$E128*Config!$H5^2+OFFSET(History!$A$43,$L$253,0)*Config!$H5^3)^Config!$G5-($J128+$E128*Config!$H5+OFFSET(History!$A$43,$L$253,0)*Config!$H5^2+OFFSET(History!$A$42,$L$253,0)*Config!$H5^3)^Config!$G5</f>
        <v>5.7276218792454481E-2</v>
      </c>
      <c r="M62" s="902">
        <f ca="1">($O128+$J128*Config!$H5+$E128*Config!$H5^2+OFFSET(History!$A$43,$L$253,0)*Config!$H5^3)^Config!$G5-($J128+$E128*Config!$H5+OFFSET(History!$A$43,$L$253,0)*Config!$H5^2+OFFSET(History!$A$42,$L$253,0)*Config!$H5^3)^Config!$G5</f>
        <v>5.7276218792454481E-2</v>
      </c>
      <c r="N62" s="617">
        <f ca="1">SUM(K62:M64)</f>
        <v>0.23154298430047415</v>
      </c>
      <c r="O62" s="617">
        <f ca="1">SUM('3'!R12:T14)</f>
        <v>1.2305189020947531</v>
      </c>
      <c r="P62" s="900">
        <f ca="1">($T128+$O128*Config!$H5+$J128*Config!$H5^2+$E128*Config!$H5^3)^Config!$G5-($O128+$J128*Config!$H5+$E128*Config!$H5^2+OFFSET(History!$A$42,$Q$253,0)*Config!$H5^3)^Config!$G5</f>
        <v>1.115757912250781E-2</v>
      </c>
      <c r="Q62" s="901">
        <f ca="1">($T128+$O128*Config!$H5+$J128*Config!$H5^2+$E128*Config!$H5^3)^Config!$G5-($O128+$J128*Config!$H5+$E128*Config!$H5^2+OFFSET(History!$A$42,$Q$253,0)*Config!$H5^3)^Config!$G5</f>
        <v>1.115757912250781E-2</v>
      </c>
      <c r="R62" s="902">
        <f ca="1">($T128+$O128*Config!$H5+$J128*Config!$H5^2+$E128*Config!$H5^3)^Config!$G5-($O128+$J128*Config!$H5+$E128*Config!$H5^2+OFFSET(History!$A$42,$Q$253,0)*Config!$H5^3)^Config!$G5</f>
        <v>1.115757912250781E-2</v>
      </c>
      <c r="S62" s="617">
        <f ca="1">SUM(P62:R64)</f>
        <v>4.5857579098689261E-2</v>
      </c>
      <c r="T62" s="617">
        <f ca="1">SUM('4'!R12:T14)</f>
        <v>1.7930441802235626</v>
      </c>
      <c r="U62" s="900">
        <f>($Y128+$T128*Config!$H5+$O128*Config!$H5^2+$J128*Config!$H5^3)^Config!$G5-($T128+$O128*Config!$H5+$J128*Config!$H5^2+$E128*Config!$H5^3)^Config!$G5</f>
        <v>2.3687539591448203E-3</v>
      </c>
      <c r="V62" s="901">
        <f>($Y128+$T128*Config!$H5+$O128*Config!$H5^2+$J128*Config!$H5^3)^Config!$G5-($T128+$O128*Config!$H5+$J128*Config!$H5^2+$E128*Config!$H5^3)^Config!$G5</f>
        <v>2.3687539591448203E-3</v>
      </c>
      <c r="W62" s="902">
        <f>($Y128+$T128*Config!$H5+$O128*Config!$H5^2+$J128*Config!$H5^3)^Config!$G5-($T128+$O128*Config!$H5+$J128*Config!$H5^2+$E128*Config!$H5^3)^Config!$G5</f>
        <v>2.3687539591448203E-3</v>
      </c>
      <c r="X62" s="617">
        <f>SUM(U62:W64)</f>
        <v>9.7667263937513127E-3</v>
      </c>
      <c r="Y62" s="617">
        <f ca="1">SUM('5'!R12:T14)</f>
        <v>-1.3894067288928715</v>
      </c>
      <c r="Z62" s="644">
        <v>1219660.5871846536</v>
      </c>
      <c r="AA62" s="14">
        <v>25</v>
      </c>
      <c r="AB62" s="645">
        <v>1222570.5722727315</v>
      </c>
      <c r="AC62" s="14">
        <v>30</v>
      </c>
      <c r="AD62" s="645">
        <v>1222319.2420180188</v>
      </c>
      <c r="AE62" s="14">
        <v>40</v>
      </c>
      <c r="AF62" s="645">
        <v>1219972.1959826304</v>
      </c>
      <c r="AG62" s="14">
        <v>30</v>
      </c>
      <c r="AH62" s="645">
        <v>1218238.6652891007</v>
      </c>
      <c r="AI62" s="607">
        <v>30</v>
      </c>
    </row>
    <row r="63" spans="1:35" ht="12.9" customHeight="1" x14ac:dyDescent="0.25">
      <c r="A63" s="900">
        <f ca="1">($E129+OFFSET(History!$D$45,$B$253,0)*Config!$H6+OFFSET(History!$D$44,$B$253,0)*Config!$H6^2+OFFSET(History!$D$43,$B$253,0)*Config!$H6^3)^Config!$G6-(OFFSET(History!$D$45,$B$253,0)+OFFSET(History!$D$44,$B$253,0)*Config!$H6+OFFSET(History!$D$43,$B$253,0)*Config!$H6^2+OFFSET(History!$D$42,$B$253,0)*Config!$H6^3)^Config!$G6</f>
        <v>7.3384033919021707E-3</v>
      </c>
      <c r="B63" s="901">
        <f ca="1">($E129+OFFSET(History!$D$45,$B$253,0)*Config!$H6+OFFSET(History!$D$44,$B$253,0)*Config!$H6^2+OFFSET(History!$D$43,$B$253,0)*Config!$H6^3)^Config!$G6-(OFFSET(History!$D$45,$B$253,0)+OFFSET(History!$D$44,$B$253,0)*Config!$H6+OFFSET(History!$D$43,$B$253,0)*Config!$H6^2+OFFSET(History!$D$42,$B$253,0)*Config!$H6^3)^Config!$G6</f>
        <v>7.3384033919021707E-3</v>
      </c>
      <c r="C63" s="902">
        <f ca="1">($E129+OFFSET(History!$D$45,$B$253,0)*Config!$H6+OFFSET(History!$D$44,$B$253,0)*Config!$H6^2+OFFSET(History!$D$43,$B$253,0)*Config!$H6^3)^Config!$G6-(OFFSET(History!$D$45,$B$253,0)+OFFSET(History!$D$44,$B$253,0)*Config!$H6+OFFSET(History!$D$43,$B$253,0)*Config!$H6^2+OFFSET(History!$D$42,$B$253,0)*Config!$H6^3)^Config!$G6</f>
        <v>7.3384033919021707E-3</v>
      </c>
      <c r="D63" s="617"/>
      <c r="E63" s="617"/>
      <c r="F63" s="900">
        <f ca="1">($J129+$E129*Config!$H6+OFFSET(History!$D$44,$G$253,0)*Config!$H6^2+OFFSET(History!$D$43,$G$253,0)*Config!$H6^3)^Config!$G6-($E129+OFFSET(History!$D$44,$G$253,0)*Config!$H6+OFFSET(History!$D$43,$G$253,0)*Config!$H6^2+OFFSET(History!$D$42,$G$253,0)*Config!$H6^3)^Config!$G6</f>
        <v>0.12059943715883725</v>
      </c>
      <c r="G63" s="901">
        <f ca="1">($J129+$E129*Config!$H6+OFFSET(History!$D$44,$G$253,0)*Config!$H6^2+OFFSET(History!$D$43,$G$253,0)*Config!$H6^3)^Config!$G6-($E129+OFFSET(History!$D$44,$G$253,0)*Config!$H6+OFFSET(History!$D$43,$G$253,0)*Config!$H6^2+OFFSET(History!$D$42,$G$253,0)*Config!$H6^3)^Config!$G6</f>
        <v>0.12059943715883725</v>
      </c>
      <c r="H63" s="902">
        <f ca="1">($J129+$E129*Config!$H6+OFFSET(History!$D$44,$G$253,0)*Config!$H6^2+OFFSET(History!$D$43,$G$253,0)*Config!$H6^3)^Config!$G6-($E129+OFFSET(History!$D$44,$G$253,0)*Config!$H6+OFFSET(History!$D$43,$G$253,0)*Config!$H6^2+OFFSET(History!$D$42,$G$253,0)*Config!$H6^3)^Config!$G6</f>
        <v>0.12059943715883725</v>
      </c>
      <c r="I63" s="617"/>
      <c r="J63" s="617"/>
      <c r="K63" s="900">
        <f ca="1">($O129+$J129*Config!$H6+$E129*Config!$H6^2+OFFSET(History!$D$43,$L$253,0)*Config!$H6^3)^Config!$G6-($J129+$E129*Config!$H6+OFFSET(History!$D$43,$L$253,0)*Config!$H6^2+OFFSET(History!$D$42,$L$253,0)*Config!$H6^3)^Config!$G6</f>
        <v>1.9904775974370237E-2</v>
      </c>
      <c r="L63" s="901">
        <f ca="1">($O129+$J129*Config!$H6+$E129*Config!$H6^2+OFFSET(History!$D$43,$L$253,0)*Config!$H6^3)^Config!$G6-($J129+$E129*Config!$H6+OFFSET(History!$D$43,$L$253,0)*Config!$H6^2+OFFSET(History!$D$42,$L$253,0)*Config!$H6^3)^Config!$G6</f>
        <v>1.9904775974370237E-2</v>
      </c>
      <c r="M63" s="902">
        <f ca="1">($O129+$J129*Config!$H6+$E129*Config!$H6^2+OFFSET(History!$D$43,$L$253,0)*Config!$H6^3)^Config!$G6-($J129+$E129*Config!$H6+OFFSET(History!$D$43,$L$253,0)*Config!$H6^2+OFFSET(History!$D$42,$L$253,0)*Config!$H6^3)^Config!$G6</f>
        <v>1.9904775974370237E-2</v>
      </c>
      <c r="N63" s="617"/>
      <c r="O63" s="617"/>
      <c r="P63" s="900">
        <f ca="1">($T129+$O129*Config!$H6+$J129*Config!$H6^2+$E129*Config!$H6^3)^Config!$G6-($O129+$J129*Config!$H6+$E129*Config!$H6^2+OFFSET(History!$D$42,$Q$253,0)*Config!$H6^3)^Config!$G6</f>
        <v>4.1282805770552766E-3</v>
      </c>
      <c r="Q63" s="901">
        <f ca="1">($T129+$O129*Config!$H6+$J129*Config!$H6^2+$E129*Config!$H6^3)^Config!$G6-($O129+$J129*Config!$H6+$E129*Config!$H6^2+OFFSET(History!$D$42,$Q$253,0)*Config!$H6^3)^Config!$G6</f>
        <v>4.1282805770552766E-3</v>
      </c>
      <c r="R63" s="902">
        <f ca="1">($T129+$O129*Config!$H6+$J129*Config!$H6^2+$E129*Config!$H6^3)^Config!$G6-($O129+$J129*Config!$H6+$E129*Config!$H6^2+OFFSET(History!$D$42,$Q$253,0)*Config!$H6^3)^Config!$G6</f>
        <v>4.1282805770552766E-3</v>
      </c>
      <c r="S63" s="617"/>
      <c r="T63" s="617"/>
      <c r="U63" s="900">
        <f>($Y129+$T129*Config!$H6+$O129*Config!$H6^2+$J129*Config!$H6^3)^Config!$G6-($T129+$O129*Config!$H6+$J129*Config!$H6^2+$E129*Config!$H6^3)^Config!$G6</f>
        <v>8.8682150543895055E-4</v>
      </c>
      <c r="V63" s="901">
        <f>($Y129+$T129*Config!$H6+$O129*Config!$H6^2+$J129*Config!$H6^3)^Config!$G6-($T129+$O129*Config!$H6+$J129*Config!$H6^2+$E129*Config!$H6^3)^Config!$G6</f>
        <v>8.8682150543895055E-4</v>
      </c>
      <c r="W63" s="902">
        <f>($Y129+$T129*Config!$H6+$O129*Config!$H6^2+$J129*Config!$H6^3)^Config!$G6-($T129+$O129*Config!$H6+$J129*Config!$H6^2+$E129*Config!$H6^3)^Config!$G6</f>
        <v>8.8682150543895055E-4</v>
      </c>
      <c r="X63" s="703"/>
      <c r="Y63" s="617"/>
      <c r="Z63" s="644">
        <v>1218635.390355031</v>
      </c>
      <c r="AA63" s="14">
        <v>30</v>
      </c>
      <c r="AB63" s="645">
        <v>1221606.2602343657</v>
      </c>
      <c r="AC63" s="14">
        <v>35</v>
      </c>
      <c r="AD63" s="645">
        <v>1221411.6181324045</v>
      </c>
      <c r="AE63" s="14">
        <v>45</v>
      </c>
      <c r="AF63" s="645">
        <v>1218710.4743892637</v>
      </c>
      <c r="AG63" s="14">
        <v>35</v>
      </c>
      <c r="AH63" s="645">
        <v>1216538.6652891007</v>
      </c>
      <c r="AI63" s="607">
        <v>35</v>
      </c>
    </row>
    <row r="64" spans="1:35" ht="12.9" customHeight="1" thickBot="1" x14ac:dyDescent="0.3">
      <c r="A64" s="903"/>
      <c r="B64" s="904"/>
      <c r="C64" s="905"/>
      <c r="D64" s="617"/>
      <c r="E64" s="617"/>
      <c r="F64" s="903"/>
      <c r="G64" s="904"/>
      <c r="H64" s="905"/>
      <c r="I64" s="617"/>
      <c r="J64" s="617"/>
      <c r="K64" s="903"/>
      <c r="L64" s="904"/>
      <c r="M64" s="905"/>
      <c r="N64" s="617"/>
      <c r="O64" s="617"/>
      <c r="P64" s="903"/>
      <c r="Q64" s="904"/>
      <c r="R64" s="905"/>
      <c r="S64" s="617"/>
      <c r="T64" s="617"/>
      <c r="U64" s="903"/>
      <c r="V64" s="904"/>
      <c r="W64" s="905"/>
      <c r="X64" s="703"/>
      <c r="Y64" s="617"/>
      <c r="Z64" s="644">
        <v>1217459.3823041492</v>
      </c>
      <c r="AA64" s="14">
        <v>35</v>
      </c>
      <c r="AB64" s="645">
        <v>1220396.6395530063</v>
      </c>
      <c r="AC64" s="14">
        <v>40</v>
      </c>
      <c r="AD64" s="645">
        <v>1221127.1380164395</v>
      </c>
      <c r="AE64" s="14">
        <v>50</v>
      </c>
      <c r="AF64" s="645">
        <v>1217457.9521969627</v>
      </c>
      <c r="AG64" s="14">
        <v>40</v>
      </c>
      <c r="AH64" s="645">
        <v>1214838.6652891007</v>
      </c>
      <c r="AI64" s="607">
        <v>40</v>
      </c>
    </row>
    <row r="65" spans="1:35" ht="12.9" customHeight="1" thickBot="1" x14ac:dyDescent="0.3">
      <c r="A65" s="703"/>
      <c r="B65" s="942"/>
      <c r="C65" s="617"/>
      <c r="D65" s="703"/>
      <c r="E65" s="617"/>
      <c r="F65" s="703"/>
      <c r="G65" s="942"/>
      <c r="H65" s="617"/>
      <c r="I65" s="703"/>
      <c r="J65" s="617"/>
      <c r="K65" s="703"/>
      <c r="L65" s="942"/>
      <c r="M65" s="617"/>
      <c r="N65" s="703"/>
      <c r="O65" s="617"/>
      <c r="P65" s="703"/>
      <c r="Q65" s="942"/>
      <c r="R65" s="617"/>
      <c r="S65" s="703"/>
      <c r="T65" s="617"/>
      <c r="U65" s="703"/>
      <c r="V65" s="942"/>
      <c r="W65" s="617"/>
      <c r="X65" s="703"/>
      <c r="Y65" s="617"/>
      <c r="Z65" s="648">
        <v>1217361.4540780601</v>
      </c>
      <c r="AA65" s="16">
        <v>40</v>
      </c>
      <c r="AB65" s="649">
        <v>1219219.6342685523</v>
      </c>
      <c r="AC65" s="16">
        <v>45</v>
      </c>
      <c r="AD65" s="649">
        <v>1220127.5894747837</v>
      </c>
      <c r="AE65" s="16">
        <v>55</v>
      </c>
      <c r="AF65" s="649">
        <v>1216067.4484089662</v>
      </c>
      <c r="AG65" s="16">
        <v>45</v>
      </c>
      <c r="AH65" s="649">
        <v>1213138.6652891007</v>
      </c>
      <c r="AI65" s="608">
        <v>45</v>
      </c>
    </row>
    <row r="66" spans="1:35" ht="12.9" customHeight="1" thickBot="1" x14ac:dyDescent="0.3">
      <c r="A66" s="1190" t="str">
        <f>Lang!$A$45</f>
        <v>Premium materials</v>
      </c>
      <c r="B66" s="1191"/>
      <c r="C66" s="1192"/>
      <c r="D66" s="703"/>
      <c r="E66" s="617"/>
      <c r="F66" s="1190" t="str">
        <f>A66</f>
        <v>Premium materials</v>
      </c>
      <c r="G66" s="1191"/>
      <c r="H66" s="1192"/>
      <c r="I66" s="617"/>
      <c r="J66" s="617"/>
      <c r="K66" s="1190" t="str">
        <f>A66</f>
        <v>Premium materials</v>
      </c>
      <c r="L66" s="1191"/>
      <c r="M66" s="1192"/>
      <c r="N66" s="617"/>
      <c r="O66" s="617"/>
      <c r="P66" s="1187" t="str">
        <f>A66</f>
        <v>Premium materials</v>
      </c>
      <c r="Q66" s="1188"/>
      <c r="R66" s="1189"/>
      <c r="S66" s="617"/>
      <c r="T66" s="617"/>
      <c r="U66" s="1195" t="str">
        <f>A66</f>
        <v>Premium materials</v>
      </c>
      <c r="V66" s="1196"/>
      <c r="W66" s="1197"/>
      <c r="X66" s="703"/>
      <c r="Y66" s="617"/>
      <c r="Z66" s="3"/>
      <c r="AA66" s="771">
        <f t="array" ref="AA66">MAX(IF(Z69:Z81&lt;&gt;0,Z69:Z81,""))</f>
        <v>1322653.7151295864</v>
      </c>
      <c r="AC66" s="771">
        <f t="array" ref="AC66">MAX(IF(AB69:AB81&lt;&gt;0,AB69:AB81,""))</f>
        <v>1322653.7151295864</v>
      </c>
      <c r="AE66" s="771">
        <f t="array" ref="AE66">MAX(IF(AD69:AD81&lt;&gt;0,AD69:AD81,""))</f>
        <v>1322653.7151295864</v>
      </c>
    </row>
    <row r="67" spans="1:35" ht="12.9" customHeight="1" x14ac:dyDescent="0.25">
      <c r="A67" s="900">
        <f ca="1">(B$122*100-OFFSET(History!N$19,$B$253,0))*(Config!$J2+(Config!$M27-Config!$M27)*Config!$M2)</f>
        <v>2.9798626989305729E-3</v>
      </c>
      <c r="B67" s="901">
        <f ca="1">(C$122*100-OFFSET(History!O$19,$B$253,0))*(Config!$K2+(Config!$N27-Config!$N27)*Config!$N2)</f>
        <v>0</v>
      </c>
      <c r="C67" s="902">
        <f ca="1">(D$122*100-OFFSET(History!P$19,$B$253,0))*(Config!$L2+(Config!$O27-Config!$O27)*Config!$O2)</f>
        <v>0</v>
      </c>
      <c r="D67" s="617">
        <f ca="1">SUM(A67:C69)</f>
        <v>1.0363635428139999E-2</v>
      </c>
      <c r="E67" s="617">
        <f ca="1">SUM('1'!R17:T19)</f>
        <v>2.6607074030468192E-2</v>
      </c>
      <c r="F67" s="900">
        <f ca="1">(G$122*100-B$122*100)*(Config!$J2+(B143-Config!$M27)*Config!$M2)</f>
        <v>1.6822915148109203E-3</v>
      </c>
      <c r="G67" s="901">
        <f ca="1">(H$122*100-C$122*100)*(Config!$K2+(C143-Config!$N27)*Config!$N2)</f>
        <v>0</v>
      </c>
      <c r="H67" s="902">
        <f ca="1">(I$122*100-D$122*100)*(Config!$L2+(D143-Config!$O27)*Config!$O2)</f>
        <v>0</v>
      </c>
      <c r="I67" s="617">
        <f ca="1">SUM(F67:H69)</f>
        <v>5.9962394319982805E-3</v>
      </c>
      <c r="J67" s="617">
        <f ca="1">SUM('2'!R17:T19)</f>
        <v>7.2951446131380396E-2</v>
      </c>
      <c r="K67" s="900">
        <f ca="1">(L$122*100-G$122*100)*(Config!$J2+(G143-Config!$M27)*Config!$M2)</f>
        <v>7.4030219754665002E-3</v>
      </c>
      <c r="L67" s="901">
        <f ca="1">(M$122*100-H$122*100)*(Config!$K2+(H143-Config!$N27)*Config!$N2)</f>
        <v>5.131544768518871E-3</v>
      </c>
      <c r="M67" s="902">
        <f ca="1">(N$122*100-I$122*100)*(Config!$L2+(I143-Config!$O27)*Config!$O2)</f>
        <v>2.2612903206122702E-3</v>
      </c>
      <c r="N67" s="617">
        <f ca="1">SUM(K67:M69)</f>
        <v>5.4399641445829539E-2</v>
      </c>
      <c r="O67" s="617">
        <f ca="1">SUM('3'!R17:T19)</f>
        <v>-2.7811236023796999E-2</v>
      </c>
      <c r="P67" s="900">
        <f ca="1">(Q$122*100-L$122*100)*(Config!$J2+(L143-Config!$M27)*Config!$M2)</f>
        <v>-6.16075103145309E-3</v>
      </c>
      <c r="Q67" s="901">
        <f ca="1">(R$122*100-M$122*100)*(Config!$K2+(M143-Config!$N27)*Config!$N2)</f>
        <v>-2.4709814224505317E-3</v>
      </c>
      <c r="R67" s="902">
        <f ca="1">(S$122*100-N$122*100)*(Config!$L2+(N143-Config!$O27)*Config!$O2)</f>
        <v>-9.5670738356048676E-4</v>
      </c>
      <c r="S67" s="617">
        <f ca="1">SUM(P67:R69)</f>
        <v>-3.526160002674366E-2</v>
      </c>
      <c r="T67" s="617">
        <f ca="1">SUM('4'!R17:T19)</f>
        <v>3.5881951669306436E-18</v>
      </c>
      <c r="U67" s="900">
        <f ca="1">(V$122*100-Q$122*100)*(Config!$J2+(Q143-Config!$M27)*Config!$M2)</f>
        <v>9.2499453599368987E-3</v>
      </c>
      <c r="V67" s="901">
        <f ca="1">(W$122*100-R$122*100)*(Config!$K2+(R143-Config!$N27)*Config!$N2)</f>
        <v>8.1964324886393287E-3</v>
      </c>
      <c r="W67" s="902">
        <f ca="1">(X$122*100-S$122*100)*(Config!$L2+(S143-Config!$O27)*Config!$O2)</f>
        <v>2.1451995055567015E-3</v>
      </c>
      <c r="X67" s="617">
        <f ca="1">SUM(U67:W69)</f>
        <v>7.0697620646401102E-2</v>
      </c>
      <c r="Y67" s="617">
        <f ca="1">SUM('5'!R17:T19)</f>
        <v>8.7073997046448262E-2</v>
      </c>
      <c r="Z67" s="1080" t="str">
        <f>Lang!$A$61</f>
        <v>Corporate advertising</v>
      </c>
      <c r="AA67" s="1081"/>
      <c r="AB67" s="1081"/>
      <c r="AC67" s="1081"/>
      <c r="AD67" s="1081"/>
      <c r="AE67" s="1103"/>
    </row>
    <row r="68" spans="1:35" ht="12.9" customHeight="1" x14ac:dyDescent="0.25">
      <c r="A68" s="900">
        <f ca="1">(B$122*100-OFFSET(History!N$19,$B$253,0))*(Config!$J3+(Config!$M28-Config!$M28)*Config!$M3)</f>
        <v>4.1359089264625419E-3</v>
      </c>
      <c r="B68" s="901">
        <f ca="1">(C$122*100-OFFSET(History!O$19,$B$253,0))*(Config!$K3+(Config!$N28-Config!$N28)*Config!$N3)</f>
        <v>0</v>
      </c>
      <c r="C68" s="902">
        <f ca="1">(D$122*100-OFFSET(History!P$19,$B$253,0))*(Config!$L3+(Config!$O28-Config!$O28)*Config!$O3)</f>
        <v>0</v>
      </c>
      <c r="D68" s="617"/>
      <c r="E68" s="617"/>
      <c r="F68" s="900">
        <f ca="1">(G$122*100-B$122*100)*(Config!$J3+(B144-Config!$M28)*Config!$M3)</f>
        <v>2.4529889998322328E-3</v>
      </c>
      <c r="G68" s="901">
        <f ca="1">(H$122*100-C$122*100)*(Config!$K3+(C144-Config!$N28)*Config!$N3)</f>
        <v>0</v>
      </c>
      <c r="H68" s="902">
        <f ca="1">(I$122*100-D$122*100)*(Config!$L3+(D144-Config!$O28)*Config!$O3)</f>
        <v>0</v>
      </c>
      <c r="I68" s="617"/>
      <c r="J68" s="617"/>
      <c r="K68" s="900">
        <f ca="1">(L$122*100-G$122*100)*(Config!$J3+(G144-Config!$M28)*Config!$M3)</f>
        <v>1.1142733786957355E-2</v>
      </c>
      <c r="L68" s="901">
        <f ca="1">(M$122*100-H$122*100)*(Config!$K3+(H144-Config!$N28)*Config!$N3)</f>
        <v>8.0465818271335116E-3</v>
      </c>
      <c r="M68" s="902">
        <f ca="1">(N$122*100-I$122*100)*(Config!$L3+(I144-Config!$O28)*Config!$O3)</f>
        <v>4.5421091816235711E-3</v>
      </c>
      <c r="N68" s="617"/>
      <c r="O68" s="617"/>
      <c r="P68" s="900">
        <f ca="1">(Q$122*100-L$122*100)*(Config!$J3+(L144-Config!$M28)*Config!$M3)</f>
        <v>-9.874679583734388E-3</v>
      </c>
      <c r="Q68" s="901">
        <f ca="1">(R$122*100-M$122*100)*(Config!$K3+(M144-Config!$N28)*Config!$N3)</f>
        <v>-4.2036781800377137E-3</v>
      </c>
      <c r="R68" s="902">
        <f ca="1">(S$122*100-N$122*100)*(Config!$L3+(N144-Config!$O28)*Config!$O3)</f>
        <v>-2.1476890987933289E-3</v>
      </c>
      <c r="S68" s="617"/>
      <c r="T68" s="617"/>
      <c r="U68" s="900">
        <f ca="1">(V$122*100-Q$122*100)*(Config!$J3+(Q144-Config!$M28)*Config!$M3)</f>
        <v>1.4787653098299477E-2</v>
      </c>
      <c r="V68" s="901">
        <f ca="1">(W$122*100-R$122*100)*(Config!$K3+(R144-Config!$N28)*Config!$N3)</f>
        <v>1.3665589566719072E-2</v>
      </c>
      <c r="W68" s="902">
        <f ca="1">(X$122*100-S$122*100)*(Config!$L3+(S144-Config!$O28)*Config!$O3)</f>
        <v>4.7717467150958101E-3</v>
      </c>
      <c r="X68" s="703"/>
      <c r="Y68" s="617"/>
      <c r="Z68" s="835" t="str">
        <f>Lang!$A$7</f>
        <v>Europe</v>
      </c>
      <c r="AA68" s="605">
        <f>INDEX(AA69:AA81,MATCH(AA66,Z69:Z81,0))</f>
        <v>0</v>
      </c>
      <c r="AB68" s="836" t="str">
        <f>Lang!$A$9</f>
        <v>Nafta</v>
      </c>
      <c r="AC68" s="605">
        <f>INDEX(AC69:AC81,MATCH(AC66,AB69:AB81,0))</f>
        <v>0</v>
      </c>
      <c r="AD68" s="836" t="str">
        <f>Lang!$A$11</f>
        <v>Internet</v>
      </c>
      <c r="AE68" s="606">
        <f>INDEX(AE69:AE81,MATCH(AE66,AD69:AD81,0))</f>
        <v>0</v>
      </c>
    </row>
    <row r="69" spans="1:35" ht="12.9" customHeight="1" thickBot="1" x14ac:dyDescent="0.3">
      <c r="A69" s="903">
        <f ca="1">(B$122*100-OFFSET(History!N$19,$B$253,0))*(Config!$J4+(Config!$M29-Config!$M29)*Config!$M4)</f>
        <v>3.2478638027468847E-3</v>
      </c>
      <c r="B69" s="904">
        <f ca="1">(C$122*100-OFFSET(History!O$19,$B$253,0))*(Config!$K4+(Config!$N29-Config!$N29)*Config!$N4)</f>
        <v>0</v>
      </c>
      <c r="C69" s="905">
        <f ca="1">(D$122*100-OFFSET(History!P$19,$B$253,0))*(Config!$L4+(Config!$O29-Config!$O29)*Config!$O4)</f>
        <v>0</v>
      </c>
      <c r="D69" s="617"/>
      <c r="E69" s="617"/>
      <c r="F69" s="903">
        <f ca="1">(G$122*100-B$122*100)*(Config!$J4+(B145-Config!$M29)*Config!$M4)</f>
        <v>1.8609589173551279E-3</v>
      </c>
      <c r="G69" s="904">
        <f ca="1">(H$122*100-C$122*100)*(Config!$K4+(C145-Config!$N29)*Config!$N4)</f>
        <v>0</v>
      </c>
      <c r="H69" s="905">
        <f ca="1">(I$122*100-D$122*100)*(Config!$L4+(D145-Config!$O29)*Config!$O4)</f>
        <v>0</v>
      </c>
      <c r="I69" s="617"/>
      <c r="J69" s="617"/>
      <c r="K69" s="903">
        <f ca="1">(L$122*100-G$122*100)*(Config!$J4+(G145-Config!$M29)*Config!$M4)</f>
        <v>7.7192123435380709E-3</v>
      </c>
      <c r="L69" s="904">
        <f ca="1">(M$122*100-H$122*100)*(Config!$K4+(H145-Config!$N29)*Config!$N4)</f>
        <v>5.6861347362828999E-3</v>
      </c>
      <c r="M69" s="905">
        <f ca="1">(N$122*100-I$122*100)*(Config!$L4+(I145-Config!$O29)*Config!$O4)</f>
        <v>2.4670125056964927E-3</v>
      </c>
      <c r="N69" s="617"/>
      <c r="O69" s="617"/>
      <c r="P69" s="903">
        <f ca="1">(Q$122*100-L$122*100)*(Config!$J4+(L145-Config!$M29)*Config!$M4)</f>
        <v>-5.9831420067099593E-3</v>
      </c>
      <c r="Q69" s="904">
        <f ca="1">(R$122*100-M$122*100)*(Config!$K4+(M145-Config!$N29)*Config!$N4)</f>
        <v>-2.5157971074648601E-3</v>
      </c>
      <c r="R69" s="905">
        <f ca="1">(S$122*100-N$122*100)*(Config!$L4+(N145-Config!$O29)*Config!$O4)</f>
        <v>-9.4817421253931013E-4</v>
      </c>
      <c r="S69" s="617"/>
      <c r="T69" s="617"/>
      <c r="U69" s="903">
        <f ca="1">(V$122*100-Q$122*100)*(Config!$J4+(Q145-Config!$M29)*Config!$M4)</f>
        <v>8.2859195344223823E-3</v>
      </c>
      <c r="V69" s="904">
        <f ca="1">(W$122*100-R$122*100)*(Config!$K4+(R145-Config!$N29)*Config!$N4)</f>
        <v>7.7135551337860174E-3</v>
      </c>
      <c r="W69" s="905">
        <f ca="1">(X$122*100-S$122*100)*(Config!$L4+(S145-Config!$O29)*Config!$O4)</f>
        <v>1.8815792439454181E-3</v>
      </c>
      <c r="X69" s="703"/>
      <c r="Y69" s="617"/>
      <c r="Z69" s="644">
        <v>0</v>
      </c>
      <c r="AA69" s="82">
        <v>0</v>
      </c>
      <c r="AB69" s="645">
        <v>0</v>
      </c>
      <c r="AC69" s="82">
        <v>0</v>
      </c>
      <c r="AD69" s="645">
        <v>0</v>
      </c>
      <c r="AE69" s="85">
        <v>0</v>
      </c>
    </row>
    <row r="70" spans="1:35" ht="12.9" customHeight="1" thickBot="1" x14ac:dyDescent="0.3">
      <c r="A70" s="617"/>
      <c r="B70" s="617"/>
      <c r="C70" s="617"/>
      <c r="D70" s="703"/>
      <c r="E70" s="617"/>
      <c r="F70" s="617"/>
      <c r="G70" s="617"/>
      <c r="H70" s="617"/>
      <c r="I70" s="703"/>
      <c r="J70" s="617"/>
      <c r="K70" s="617"/>
      <c r="L70" s="617"/>
      <c r="M70" s="617"/>
      <c r="N70" s="703"/>
      <c r="O70" s="617"/>
      <c r="P70" s="617"/>
      <c r="Q70" s="617"/>
      <c r="R70" s="617"/>
      <c r="S70" s="703"/>
      <c r="T70" s="617"/>
      <c r="U70" s="617"/>
      <c r="V70" s="617"/>
      <c r="W70" s="617"/>
      <c r="X70" s="703"/>
      <c r="Y70" s="617"/>
      <c r="Z70" s="644">
        <v>0</v>
      </c>
      <c r="AA70" s="82">
        <v>0</v>
      </c>
      <c r="AB70" s="645">
        <v>0</v>
      </c>
      <c r="AC70" s="82">
        <v>0</v>
      </c>
      <c r="AD70" s="645">
        <v>0</v>
      </c>
      <c r="AE70" s="85">
        <v>0</v>
      </c>
    </row>
    <row r="71" spans="1:35" ht="12.9" customHeight="1" x14ac:dyDescent="0.25">
      <c r="A71" s="1187" t="str">
        <f>Lang!$A$53</f>
        <v>Training</v>
      </c>
      <c r="B71" s="1188"/>
      <c r="C71" s="1189"/>
      <c r="D71" s="703"/>
      <c r="E71" s="617"/>
      <c r="F71" s="1190" t="str">
        <f>A71</f>
        <v>Training</v>
      </c>
      <c r="G71" s="1191"/>
      <c r="H71" s="1192"/>
      <c r="I71" s="617"/>
      <c r="J71" s="617"/>
      <c r="K71" s="1190" t="str">
        <f>A71</f>
        <v>Training</v>
      </c>
      <c r="L71" s="1191"/>
      <c r="M71" s="1192"/>
      <c r="N71" s="617"/>
      <c r="O71" s="617"/>
      <c r="P71" s="1187" t="str">
        <f>A71</f>
        <v>Training</v>
      </c>
      <c r="Q71" s="1188"/>
      <c r="R71" s="1189"/>
      <c r="S71" s="617"/>
      <c r="T71" s="617"/>
      <c r="U71" s="1190" t="str">
        <f>A71</f>
        <v>Training</v>
      </c>
      <c r="V71" s="1191"/>
      <c r="W71" s="1192"/>
      <c r="X71" s="703"/>
      <c r="Y71" s="617"/>
      <c r="Z71" s="644">
        <v>0</v>
      </c>
      <c r="AA71" s="82">
        <v>0</v>
      </c>
      <c r="AB71" s="645">
        <v>0</v>
      </c>
      <c r="AC71" s="82">
        <v>0</v>
      </c>
      <c r="AD71" s="645">
        <v>0</v>
      </c>
      <c r="AE71" s="85">
        <v>0</v>
      </c>
    </row>
    <row r="72" spans="1:35" ht="12.9" customHeight="1" x14ac:dyDescent="0.25">
      <c r="A72" s="900">
        <f ca="1">($C$174+OFFSET(History!$P$32,$B$253,0)*Config!$H$22+OFFSET(History!$P$31,$B$253,0)*Config!$H$22^2+OFFSET(History!$P$30,$B$253,0)*Config!$H$22^3+1)^Config!$G$22-(OFFSET(History!$P$32,$B$253,0)+OFFSET(History!$P$31,$B$253,0)*Config!$H$22+OFFSET(History!$P$30,$B$253,0)*Config!$H$22^2+OFFSET(History!$P$29,$B$253,0)*Config!$H$22^3+1)^Config!$G$22</f>
        <v>8.9736764656340728E-3</v>
      </c>
      <c r="B72" s="901">
        <f ca="1">($C$174+OFFSET(History!$P$32,$B$253,0)*Config!$H$22+OFFSET(History!$P$31,$B$253,0)*Config!$H$22^2+OFFSET(History!$P$30,$B$253,0)*Config!$H$22^3+1)^Config!$G$22-(OFFSET(History!$P$32,$B$253,0)+OFFSET(History!$P$31,$B$253,0)*Config!$H$22+OFFSET(History!$P$30,$B$253,0)*Config!$H$22^2+OFFSET(History!$P$29,$B$253,0)*Config!$H$22^3+1)^Config!$G$22</f>
        <v>8.9736764656340728E-3</v>
      </c>
      <c r="C72" s="902">
        <f ca="1">($C$174+OFFSET(History!$P$32,$B$253,0)*Config!$H$22+OFFSET(History!$P$31,$B$253,0)*Config!$H$22^2+OFFSET(History!$P$30,$B$253,0)*Config!$H$22^3+1)^Config!$G$22-(OFFSET(History!$P$32,$B$253,0)+OFFSET(History!$P$31,$B$253,0)*Config!$H$22+OFFSET(History!$P$30,$B$253,0)*Config!$H$22^2+OFFSET(History!$P$29,$B$253,0)*Config!$H$22^3+1)^Config!$G$22</f>
        <v>8.9736764656340728E-3</v>
      </c>
      <c r="D72" s="617">
        <f ca="1">SUM(A72:C74)</f>
        <v>8.0763088190706656E-2</v>
      </c>
      <c r="E72" s="617">
        <f ca="1">SUM('1'!R22:T24)</f>
        <v>0.10618926049288269</v>
      </c>
      <c r="F72" s="900">
        <f ca="1">($H$174+$C$174*Config!$H$22+OFFSET(History!$P$31,$G$253,0)*Config!$H$22^2+OFFSET(History!$P$30,$G$253,0)*Config!$H$22^3+1)^Config!$G$22-($C$174+OFFSET(History!$P$31,$G$253,0)*Config!$H$22+OFFSET(History!$P$30,$G$253,0)*Config!$H$22^2+OFFSET(History!$P$29,$G$253,0)*Config!$H$22^3+1)^Config!$G$22</f>
        <v>-4.3519264549500836E-3</v>
      </c>
      <c r="G72" s="901">
        <f ca="1">($H$174+$C$174*Config!$H$22+OFFSET(History!$P$31,$G$253,0)*Config!$H$22^2+OFFSET(History!$P$30,$G$253,0)*Config!$H$22^3+1)^Config!$G$22-($C$174+OFFSET(History!$P$31,$G$253,0)*Config!$H$22+OFFSET(History!$P$30,$G$253,0)*Config!$H$22^2+OFFSET(History!$P$29,$G$253,0)*Config!$H$22^3+1)^Config!$G$22</f>
        <v>-4.3519264549500836E-3</v>
      </c>
      <c r="H72" s="902">
        <f ca="1">($H$174+$C$174*Config!$H$22+OFFSET(History!$P$31,$G$253,0)*Config!$H$22^2+OFFSET(History!$P$30,$G$253,0)*Config!$H$22^3+1)^Config!$G$22-($C$174+OFFSET(History!$P$31,$G$253,0)*Config!$H$22+OFFSET(History!$P$30,$G$253,0)*Config!$H$22^2+OFFSET(History!$P$29,$G$253,0)*Config!$H$22^3+1)^Config!$G$22</f>
        <v>-4.3519264549500836E-3</v>
      </c>
      <c r="I72" s="617">
        <f ca="1">SUM(F72:H74)</f>
        <v>-3.9167338094550752E-2</v>
      </c>
      <c r="J72" s="617">
        <f ca="1">SUM('2'!R22:T24)</f>
        <v>8.4828611385342922E-2</v>
      </c>
      <c r="K72" s="900">
        <f ca="1">($M$174+$H$174*Config!$H$22+$C$174*Config!$H$22^2+OFFSET(History!$P$30,$L$253,0)*Config!$H$22^3+1)^Config!$G$22-($H$174+$C$174*Config!$H$22+OFFSET(History!$P$30,$L$253,0)*Config!$H$22^2+OFFSET(History!$P$29,$L$253,0)*Config!$H$22^3+1)^Config!$G$22</f>
        <v>-2.9157097806118415E-3</v>
      </c>
      <c r="L72" s="901">
        <f ca="1">($M$174+$H$174*Config!$H$22+$C$174*Config!$H$22^2+OFFSET(History!$P$30,$L$253,0)*Config!$H$22^3+1)^Config!$G$22-($H$174+$C$174*Config!$H$22+OFFSET(History!$P$30,$L$253,0)*Config!$H$22^2+OFFSET(History!$P$29,$L$253,0)*Config!$H$22^3+1)^Config!$G$22</f>
        <v>-2.9157097806118415E-3</v>
      </c>
      <c r="M72" s="902">
        <f ca="1">($M$174+$H$174*Config!$H$22+$C$174*Config!$H$22^2+OFFSET(History!$P$30,$L$253,0)*Config!$H$22^3+1)^Config!$G$22-($H$174+$C$174*Config!$H$22+OFFSET(History!$P$30,$L$253,0)*Config!$H$22^2+OFFSET(History!$P$29,$L$253,0)*Config!$H$22^3+1)^Config!$G$22</f>
        <v>-2.9157097806118415E-3</v>
      </c>
      <c r="N72" s="617">
        <f ca="1">SUM(K72:M74)</f>
        <v>-2.6241388025506573E-2</v>
      </c>
      <c r="O72" s="617">
        <f ca="1">SUM('3'!R22:T24)</f>
        <v>3.4864680855921426E-2</v>
      </c>
      <c r="P72" s="900">
        <f ca="1">($R$174+$M$174*Config!$H$22+$H$174*Config!$H$22^2+$C$174*Config!$H$22^3+1)^Config!$G$22-($M$174+$H$174*Config!$H$22+$C$174*Config!$H$22^2+OFFSET(History!$P$29,$Q$253,0)*Config!$H$22^3+1)^Config!$G$22</f>
        <v>-1.7060402300721478E-3</v>
      </c>
      <c r="Q72" s="901">
        <f ca="1">($R$174+$M$174*Config!$H$22+$H$174*Config!$H$22^2+$C$174*Config!$H$22^3+1)^Config!$G$22-($M$174+$H$174*Config!$H$22+$C$174*Config!$H$22^2+OFFSET(History!$P$29,$Q$253,0)*Config!$H$22^3+1)^Config!$G$22</f>
        <v>-1.7060402300721478E-3</v>
      </c>
      <c r="R72" s="902">
        <f ca="1">($R$174+$M$174*Config!$H$22+$H$174*Config!$H$22^2+$C$174*Config!$H$22^3+1)^Config!$G$22-($M$174+$H$174*Config!$H$22+$C$174*Config!$H$22^2+OFFSET(History!$P$29,$Q$253,0)*Config!$H$22^3+1)^Config!$G$22</f>
        <v>-1.7060402300721478E-3</v>
      </c>
      <c r="S72" s="617">
        <f ca="1">SUM(P72:R74)</f>
        <v>-1.535436207064933E-2</v>
      </c>
      <c r="T72" s="617">
        <f ca="1">SUM('4'!R22:T24)</f>
        <v>2.2116464882989906E-2</v>
      </c>
      <c r="U72" s="900">
        <f>($W$174+$R$174*Config!$H$22+$M$174*Config!$H$22^2+$H$174*Config!$H$22^3+1)^Config!$G$22-($R$174+$M$174*Config!$H$22+$H$174*Config!$H$22^2+$C$174*Config!$H$22^3+1)^Config!$G$22</f>
        <v>-1.7427813426111882E-3</v>
      </c>
      <c r="V72" s="901">
        <f>($W$174+$R$174*Config!$H$22+$M$174*Config!$H$22^2+$H$174*Config!$H$22^3+1)^Config!$G$22-($R$174+$M$174*Config!$H$22+$H$174*Config!$H$22^2+$C$174*Config!$H$22^3+1)^Config!$G$22</f>
        <v>-1.7427813426111882E-3</v>
      </c>
      <c r="W72" s="902">
        <f>($W$174+$R$174*Config!$H$22+$M$174*Config!$H$22^2+$H$174*Config!$H$22^3+1)^Config!$G$22-($R$174+$M$174*Config!$H$22+$H$174*Config!$H$22^2+$C$174*Config!$H$22^3+1)^Config!$G$22</f>
        <v>-1.7427813426111882E-3</v>
      </c>
      <c r="X72" s="617">
        <f>SUM(U72:W74)</f>
        <v>-1.5685032083500694E-2</v>
      </c>
      <c r="Y72" s="617">
        <f ca="1">SUM('5'!R22:T24)</f>
        <v>6.590812810918778E-2</v>
      </c>
      <c r="Z72" s="644">
        <v>0</v>
      </c>
      <c r="AA72" s="82">
        <v>0</v>
      </c>
      <c r="AB72" s="645">
        <v>0</v>
      </c>
      <c r="AC72" s="82">
        <v>0</v>
      </c>
      <c r="AD72" s="645">
        <v>0</v>
      </c>
      <c r="AE72" s="85">
        <v>0</v>
      </c>
    </row>
    <row r="73" spans="1:35" ht="12.9" customHeight="1" x14ac:dyDescent="0.25">
      <c r="A73" s="900">
        <f ca="1">($C$174+OFFSET(History!$P$32,$B$253,0)*Config!$H$22+OFFSET(History!$P$31,$B$253,0)*Config!$H$22^2+OFFSET(History!$P$30,$B$253,0)*Config!$H$22^3+1)^Config!$G$22-(OFFSET(History!$P$32,$B$253,0)+OFFSET(History!$P$31,$B$253,0)*Config!$H$22+OFFSET(History!$P$30,$B$253,0)*Config!$H$22^2+OFFSET(History!$P$29,$B$253,0)*Config!$H$22^3+1)^Config!$G$22</f>
        <v>8.9736764656340728E-3</v>
      </c>
      <c r="B73" s="901">
        <f ca="1">($C$174+OFFSET(History!$P$32,$B$253,0)*Config!$H$22+OFFSET(History!$P$31,$B$253,0)*Config!$H$22^2+OFFSET(History!$P$30,$B$253,0)*Config!$H$22^3+1)^Config!$G$22-(OFFSET(History!$P$32,$B$253,0)+OFFSET(History!$P$31,$B$253,0)*Config!$H$22+OFFSET(History!$P$30,$B$253,0)*Config!$H$22^2+OFFSET(History!$P$29,$B$253,0)*Config!$H$22^3+1)^Config!$G$22</f>
        <v>8.9736764656340728E-3</v>
      </c>
      <c r="C73" s="902">
        <f ca="1">($C$174+OFFSET(History!$P$32,$B$253,0)*Config!$H$22+OFFSET(History!$P$31,$B$253,0)*Config!$H$22^2+OFFSET(History!$P$30,$B$253,0)*Config!$H$22^3+1)^Config!$G$22-(OFFSET(History!$P$32,$B$253,0)+OFFSET(History!$P$31,$B$253,0)*Config!$H$22+OFFSET(History!$P$30,$B$253,0)*Config!$H$22^2+OFFSET(History!$P$29,$B$253,0)*Config!$H$22^3+1)^Config!$G$22</f>
        <v>8.9736764656340728E-3</v>
      </c>
      <c r="D73" s="617"/>
      <c r="E73" s="617"/>
      <c r="F73" s="900">
        <f ca="1">($H$174+$C$174*Config!$H$22+OFFSET(History!$P$31,$G$253,0)*Config!$H$22^2+OFFSET(History!$P$30,$G$253,0)*Config!$H$22^3+1)^Config!$G$22-($C$174+OFFSET(History!$P$31,$G$253,0)*Config!$H$22+OFFSET(History!$P$30,$G$253,0)*Config!$H$22^2+OFFSET(History!$P$29,$G$253,0)*Config!$H$22^3+1)^Config!$G$22</f>
        <v>-4.3519264549500836E-3</v>
      </c>
      <c r="G73" s="901">
        <f ca="1">($H$174+$C$174*Config!$H$22+OFFSET(History!$P$31,$G$253,0)*Config!$H$22^2+OFFSET(History!$P$30,$G$253,0)*Config!$H$22^3+1)^Config!$G$22-($C$174+OFFSET(History!$P$31,$G$253,0)*Config!$H$22+OFFSET(History!$P$30,$G$253,0)*Config!$H$22^2+OFFSET(History!$P$29,$G$253,0)*Config!$H$22^3+1)^Config!$G$22</f>
        <v>-4.3519264549500836E-3</v>
      </c>
      <c r="H73" s="902">
        <f ca="1">($H$174+$C$174*Config!$H$22+OFFSET(History!$P$31,$G$253,0)*Config!$H$22^2+OFFSET(History!$P$30,$G$253,0)*Config!$H$22^3+1)^Config!$G$22-($C$174+OFFSET(History!$P$31,$G$253,0)*Config!$H$22+OFFSET(History!$P$30,$G$253,0)*Config!$H$22^2+OFFSET(History!$P$29,$G$253,0)*Config!$H$22^3+1)^Config!$G$22</f>
        <v>-4.3519264549500836E-3</v>
      </c>
      <c r="I73" s="617"/>
      <c r="J73" s="617"/>
      <c r="K73" s="900">
        <f ca="1">($M$174+$H$174*Config!$H$22+$C$174*Config!$H$22^2+OFFSET(History!$P$30,$L$253,0)*Config!$H$22^3+1)^Config!$G$22-($H$174+$C$174*Config!$H$22+OFFSET(History!$P$30,$L$253,0)*Config!$H$22^2+OFFSET(History!$P$29,$L$253,0)*Config!$H$22^3+1)^Config!$G$22</f>
        <v>-2.9157097806118415E-3</v>
      </c>
      <c r="L73" s="901">
        <f ca="1">($M$174+$H$174*Config!$H$22+$C$174*Config!$H$22^2+OFFSET(History!$P$30,$L$253,0)*Config!$H$22^3+1)^Config!$G$22-($H$174+$C$174*Config!$H$22+OFFSET(History!$P$30,$L$253,0)*Config!$H$22^2+OFFSET(History!$P$29,$L$253,0)*Config!$H$22^3+1)^Config!$G$22</f>
        <v>-2.9157097806118415E-3</v>
      </c>
      <c r="M73" s="902">
        <f ca="1">($M$174+$H$174*Config!$H$22+$C$174*Config!$H$22^2+OFFSET(History!$P$30,$L$253,0)*Config!$H$22^3+1)^Config!$G$22-($H$174+$C$174*Config!$H$22+OFFSET(History!$P$30,$L$253,0)*Config!$H$22^2+OFFSET(History!$P$29,$L$253,0)*Config!$H$22^3+1)^Config!$G$22</f>
        <v>-2.9157097806118415E-3</v>
      </c>
      <c r="N73" s="617"/>
      <c r="O73" s="617"/>
      <c r="P73" s="900">
        <f ca="1">($R$174+$M$174*Config!$H$22+$H$174*Config!$H$22^2+$C$174*Config!$H$22^3+1)^Config!$G$22-($M$174+$H$174*Config!$H$22+$C$174*Config!$H$22^2+OFFSET(History!$P$29,$Q$253,0)*Config!$H$22^3+1)^Config!$G$22</f>
        <v>-1.7060402300721478E-3</v>
      </c>
      <c r="Q73" s="901">
        <f ca="1">($R$174+$M$174*Config!$H$22+$H$174*Config!$H$22^2+$C$174*Config!$H$22^3+1)^Config!$G$22-($M$174+$H$174*Config!$H$22+$C$174*Config!$H$22^2+OFFSET(History!$P$29,$Q$253,0)*Config!$H$22^3+1)^Config!$G$22</f>
        <v>-1.7060402300721478E-3</v>
      </c>
      <c r="R73" s="902">
        <f ca="1">($R$174+$M$174*Config!$H$22+$H$174*Config!$H$22^2+$C$174*Config!$H$22^3+1)^Config!$G$22-($M$174+$H$174*Config!$H$22+$C$174*Config!$H$22^2+OFFSET(History!$P$29,$Q$253,0)*Config!$H$22^3+1)^Config!$G$22</f>
        <v>-1.7060402300721478E-3</v>
      </c>
      <c r="S73" s="617"/>
      <c r="T73" s="617"/>
      <c r="U73" s="900">
        <f>($W$174+$R$174*Config!$H$22+$M$174*Config!$H$22^2+$H$174*Config!$H$22^3+1)^Config!$G$22-($R$174+$M$174*Config!$H$22+$H$174*Config!$H$22^2+$C$174*Config!$H$22^3+1)^Config!$G$22</f>
        <v>-1.7427813426111882E-3</v>
      </c>
      <c r="V73" s="901">
        <f>($W$174+$R$174*Config!$H$22+$M$174*Config!$H$22^2+$H$174*Config!$H$22^3+1)^Config!$G$22-($R$174+$M$174*Config!$H$22+$H$174*Config!$H$22^2+$C$174*Config!$H$22^3+1)^Config!$G$22</f>
        <v>-1.7427813426111882E-3</v>
      </c>
      <c r="W73" s="902">
        <f>($W$174+$R$174*Config!$H$22+$M$174*Config!$H$22^2+$H$174*Config!$H$22^3+1)^Config!$G$22-($R$174+$M$174*Config!$H$22+$H$174*Config!$H$22^2+$C$174*Config!$H$22^3+1)^Config!$G$22</f>
        <v>-1.7427813426111882E-3</v>
      </c>
      <c r="X73" s="703"/>
      <c r="Y73" s="617"/>
      <c r="Z73" s="644">
        <v>0</v>
      </c>
      <c r="AA73" s="82">
        <v>0</v>
      </c>
      <c r="AB73" s="645">
        <v>0</v>
      </c>
      <c r="AC73" s="82">
        <v>0</v>
      </c>
      <c r="AD73" s="645">
        <v>0</v>
      </c>
      <c r="AE73" s="85">
        <v>0</v>
      </c>
    </row>
    <row r="74" spans="1:35" ht="12.9" customHeight="1" thickBot="1" x14ac:dyDescent="0.3">
      <c r="A74" s="903">
        <f ca="1">($C$174+OFFSET(History!$P$32,$B$253,0)*Config!$H$22+OFFSET(History!$P$31,$B$253,0)*Config!$H$22^2+OFFSET(History!$P$30,$B$253,0)*Config!$H$22^3+1)^Config!$G$22-(OFFSET(History!$P$32,$B$253,0)+OFFSET(History!$P$31,$B$253,0)*Config!$H$22+OFFSET(History!$P$30,$B$253,0)*Config!$H$22^2+OFFSET(History!$P$29,$B$253,0)*Config!$H$22^3+1)^Config!$G$22</f>
        <v>8.9736764656340728E-3</v>
      </c>
      <c r="B74" s="904">
        <f ca="1">($C$174+OFFSET(History!$P$32,$B$253,0)*Config!$H$22+OFFSET(History!$P$31,$B$253,0)*Config!$H$22^2+OFFSET(History!$P$30,$B$253,0)*Config!$H$22^3+1)^Config!$G$22-(OFFSET(History!$P$32,$B$253,0)+OFFSET(History!$P$31,$B$253,0)*Config!$H$22+OFFSET(History!$P$30,$B$253,0)*Config!$H$22^2+OFFSET(History!$P$29,$B$253,0)*Config!$H$22^3+1)^Config!$G$22</f>
        <v>8.9736764656340728E-3</v>
      </c>
      <c r="C74" s="905">
        <f ca="1">($C$174+OFFSET(History!$P$32,$B$253,0)*Config!$H$22+OFFSET(History!$P$31,$B$253,0)*Config!$H$22^2+OFFSET(History!$P$30,$B$253,0)*Config!$H$22^3+1)^Config!$G$22-(OFFSET(History!$P$32,$B$253,0)+OFFSET(History!$P$31,$B$253,0)*Config!$H$22+OFFSET(History!$P$30,$B$253,0)*Config!$H$22^2+OFFSET(History!$P$29,$B$253,0)*Config!$H$22^3+1)^Config!$G$22</f>
        <v>8.9736764656340728E-3</v>
      </c>
      <c r="D74" s="617"/>
      <c r="E74" s="617"/>
      <c r="F74" s="903">
        <f ca="1">($H$174+$C$174*Config!$H$22+OFFSET(History!$P$31,$G$253,0)*Config!$H$22^2+OFFSET(History!$P$30,$G$253,0)*Config!$H$22^3+1)^Config!$G$22-($C$174+OFFSET(History!$P$31,$G$253,0)*Config!$H$22+OFFSET(History!$P$30,$G$253,0)*Config!$H$22^2+OFFSET(History!$P$29,$G$253,0)*Config!$H$22^3+1)^Config!$G$22</f>
        <v>-4.3519264549500836E-3</v>
      </c>
      <c r="G74" s="904">
        <f ca="1">($H$174+$C$174*Config!$H$22+OFFSET(History!$P$31,$G$253,0)*Config!$H$22^2+OFFSET(History!$P$30,$G$253,0)*Config!$H$22^3+1)^Config!$G$22-($C$174+OFFSET(History!$P$31,$G$253,0)*Config!$H$22+OFFSET(History!$P$30,$G$253,0)*Config!$H$22^2+OFFSET(History!$P$29,$G$253,0)*Config!$H$22^3+1)^Config!$G$22</f>
        <v>-4.3519264549500836E-3</v>
      </c>
      <c r="H74" s="905">
        <f ca="1">($H$174+$C$174*Config!$H$22+OFFSET(History!$P$31,$G$253,0)*Config!$H$22^2+OFFSET(History!$P$30,$G$253,0)*Config!$H$22^3+1)^Config!$G$22-($C$174+OFFSET(History!$P$31,$G$253,0)*Config!$H$22+OFFSET(History!$P$30,$G$253,0)*Config!$H$22^2+OFFSET(History!$P$29,$G$253,0)*Config!$H$22^3+1)^Config!$G$22</f>
        <v>-4.3519264549500836E-3</v>
      </c>
      <c r="I74" s="617"/>
      <c r="J74" s="617"/>
      <c r="K74" s="903">
        <f ca="1">($M$174+$H$174*Config!$H$22+$C$174*Config!$H$22^2+OFFSET(History!$P$30,$L$253,0)*Config!$H$22^3+1)^Config!$G$22-($H$174+$C$174*Config!$H$22+OFFSET(History!$P$30,$L$253,0)*Config!$H$22^2+OFFSET(History!$P$29,$L$253,0)*Config!$H$22^3+1)^Config!$G$22</f>
        <v>-2.9157097806118415E-3</v>
      </c>
      <c r="L74" s="904">
        <f ca="1">($M$174+$H$174*Config!$H$22+$C$174*Config!$H$22^2+OFFSET(History!$P$30,$L$253,0)*Config!$H$22^3+1)^Config!$G$22-($H$174+$C$174*Config!$H$22+OFFSET(History!$P$30,$L$253,0)*Config!$H$22^2+OFFSET(History!$P$29,$L$253,0)*Config!$H$22^3+1)^Config!$G$22</f>
        <v>-2.9157097806118415E-3</v>
      </c>
      <c r="M74" s="905">
        <f ca="1">($M$174+$H$174*Config!$H$22+$C$174*Config!$H$22^2+OFFSET(History!$P$30,$L$253,0)*Config!$H$22^3+1)^Config!$G$22-($H$174+$C$174*Config!$H$22+OFFSET(History!$P$30,$L$253,0)*Config!$H$22^2+OFFSET(History!$P$29,$L$253,0)*Config!$H$22^3+1)^Config!$G$22</f>
        <v>-2.9157097806118415E-3</v>
      </c>
      <c r="N74" s="617"/>
      <c r="O74" s="617"/>
      <c r="P74" s="903">
        <f ca="1">($R$174+$M$174*Config!$H$22+$H$174*Config!$H$22^2+$C$174*Config!$H$22^3+1)^Config!$G$22-($M$174+$H$174*Config!$H$22+$C$174*Config!$H$22^2+OFFSET(History!$P$29,$Q$253,0)*Config!$H$22^3+1)^Config!$G$22</f>
        <v>-1.7060402300721478E-3</v>
      </c>
      <c r="Q74" s="904">
        <f ca="1">($R$174+$M$174*Config!$H$22+$H$174*Config!$H$22^2+$C$174*Config!$H$22^3+1)^Config!$G$22-($M$174+$H$174*Config!$H$22+$C$174*Config!$H$22^2+OFFSET(History!$P$29,$Q$253,0)*Config!$H$22^3+1)^Config!$G$22</f>
        <v>-1.7060402300721478E-3</v>
      </c>
      <c r="R74" s="905">
        <f ca="1">($R$174+$M$174*Config!$H$22+$H$174*Config!$H$22^2+$C$174*Config!$H$22^3+1)^Config!$G$22-($M$174+$H$174*Config!$H$22+$C$174*Config!$H$22^2+OFFSET(History!$P$29,$Q$253,0)*Config!$H$22^3+1)^Config!$G$22</f>
        <v>-1.7060402300721478E-3</v>
      </c>
      <c r="S74" s="617"/>
      <c r="T74" s="617"/>
      <c r="U74" s="903">
        <f>($W$174+$R$174*Config!$H$22+$M$174*Config!$H$22^2+$H$174*Config!$H$22^3+1)^Config!$G$22-($R$174+$M$174*Config!$H$22+$H$174*Config!$H$22^2+$C$174*Config!$H$22^3+1)^Config!$G$22</f>
        <v>-1.7427813426111882E-3</v>
      </c>
      <c r="V74" s="904">
        <f>($W$174+$R$174*Config!$H$22+$M$174*Config!$H$22^2+$H$174*Config!$H$22^3+1)^Config!$G$22-($R$174+$M$174*Config!$H$22+$H$174*Config!$H$22^2+$C$174*Config!$H$22^3+1)^Config!$G$22</f>
        <v>-1.7427813426111882E-3</v>
      </c>
      <c r="W74" s="905">
        <f>($W$174+$R$174*Config!$H$22+$M$174*Config!$H$22^2+$H$174*Config!$H$22^3+1)^Config!$G$22-($R$174+$M$174*Config!$H$22+$H$174*Config!$H$22^2+$C$174*Config!$H$22^3+1)^Config!$G$22</f>
        <v>-1.7427813426111882E-3</v>
      </c>
      <c r="X74" s="703"/>
      <c r="Y74" s="617"/>
      <c r="Z74" s="644">
        <v>0</v>
      </c>
      <c r="AA74" s="82">
        <v>0</v>
      </c>
      <c r="AB74" s="645">
        <v>0</v>
      </c>
      <c r="AC74" s="82">
        <v>0</v>
      </c>
      <c r="AD74" s="645">
        <v>0</v>
      </c>
      <c r="AE74" s="85">
        <v>0</v>
      </c>
    </row>
    <row r="75" spans="1:35" ht="12.9" customHeight="1" thickBot="1" x14ac:dyDescent="0.3">
      <c r="A75" s="941"/>
      <c r="B75" s="941"/>
      <c r="C75" s="941"/>
      <c r="D75" s="703"/>
      <c r="E75" s="617"/>
      <c r="F75" s="941"/>
      <c r="G75" s="941"/>
      <c r="H75" s="941"/>
      <c r="I75" s="703"/>
      <c r="J75" s="617"/>
      <c r="K75" s="941"/>
      <c r="L75" s="941"/>
      <c r="M75" s="941"/>
      <c r="N75" s="703"/>
      <c r="O75" s="617"/>
      <c r="P75" s="941"/>
      <c r="Q75" s="941"/>
      <c r="R75" s="941"/>
      <c r="S75" s="703"/>
      <c r="T75" s="617"/>
      <c r="U75" s="941"/>
      <c r="V75" s="941"/>
      <c r="W75" s="941"/>
      <c r="X75" s="703"/>
      <c r="Y75" s="617"/>
      <c r="Z75" s="646">
        <v>1322653.7151295864</v>
      </c>
      <c r="AA75" s="83">
        <v>0</v>
      </c>
      <c r="AB75" s="647">
        <v>1322653.7151295864</v>
      </c>
      <c r="AC75" s="83">
        <v>0</v>
      </c>
      <c r="AD75" s="647">
        <v>1322653.7151295864</v>
      </c>
      <c r="AE75" s="84">
        <v>0</v>
      </c>
    </row>
    <row r="76" spans="1:35" ht="12.9" customHeight="1" x14ac:dyDescent="0.25">
      <c r="A76" s="1116" t="str">
        <f>Lang!$A$115</f>
        <v>Management budget</v>
      </c>
      <c r="B76" s="1117"/>
      <c r="C76" s="1118"/>
      <c r="D76" s="703"/>
      <c r="E76" s="617"/>
      <c r="F76" s="1187" t="str">
        <f>A76</f>
        <v>Management budget</v>
      </c>
      <c r="G76" s="1188"/>
      <c r="H76" s="1189"/>
      <c r="I76" s="617"/>
      <c r="J76" s="617"/>
      <c r="K76" s="1190" t="str">
        <f>A76</f>
        <v>Management budget</v>
      </c>
      <c r="L76" s="1191"/>
      <c r="M76" s="1192"/>
      <c r="N76" s="617"/>
      <c r="O76" s="617"/>
      <c r="P76" s="1187" t="str">
        <f>A76</f>
        <v>Management budget</v>
      </c>
      <c r="Q76" s="1188"/>
      <c r="R76" s="1189"/>
      <c r="S76" s="617"/>
      <c r="T76" s="617"/>
      <c r="U76" s="1190" t="str">
        <f>A76</f>
        <v>Management budget</v>
      </c>
      <c r="V76" s="1191"/>
      <c r="W76" s="1192"/>
      <c r="X76" s="703"/>
      <c r="Y76" s="617"/>
      <c r="Z76" s="644">
        <v>1318342.0667152903</v>
      </c>
      <c r="AA76" s="82">
        <v>5</v>
      </c>
      <c r="AB76" s="645">
        <v>1310530.2886664676</v>
      </c>
      <c r="AC76" s="82">
        <v>5</v>
      </c>
      <c r="AD76" s="645">
        <v>1314730.2312082835</v>
      </c>
      <c r="AE76" s="85">
        <v>5</v>
      </c>
    </row>
    <row r="77" spans="1:35" ht="12.9" customHeight="1" x14ac:dyDescent="0.25">
      <c r="A77" s="900">
        <f ca="1">($C$198+OFFSET(History!$Q$19,$B$253,0)*Config!$H$25+OFFSET(History!$Q$18,$B$253,0)*Config!$H$25^2+OFFSET(History!$Q$17,$B$253,0)*Config!$H$25^3+1)^Config!$G$25-(OFFSET(History!$Q$19,$B$253,0)+OFFSET(History!$Q$18,$B$253,0)*Config!$H$25+OFFSET(History!$Q$17,$B$253,0)*Config!$H$25^2+OFFSET(History!$Q$16,$B$253,0)*Config!$H$25^3+1)^Config!$G$25</f>
        <v>5.5676238733788352E-3</v>
      </c>
      <c r="B77" s="901">
        <f ca="1">($C$198+OFFSET(History!$Q$19,$B$253,0)*Config!$H$25+OFFSET(History!$Q$18,$B$253,0)*Config!$H$25^2+OFFSET(History!$Q$17,$B$253,0)*Config!$H$25^3+1)^Config!$G$25-(OFFSET(History!$Q$19,$B$253,0)+OFFSET(History!$Q$18,$B$253,0)*Config!$H$25+OFFSET(History!$Q$17,$B$253,0)*Config!$H$25^2+OFFSET(History!$Q$16,$B$253,0)*Config!$H$25^3+1)^Config!$G$25</f>
        <v>5.5676238733788352E-3</v>
      </c>
      <c r="C77" s="902">
        <f ca="1">($C$198+OFFSET(History!$Q$19,$B$253,0)*Config!$H$25+OFFSET(History!$Q$18,$B$253,0)*Config!$H$25^2+OFFSET(History!$Q$17,$B$253,0)*Config!$H$25^3+1)^Config!$G$25-(OFFSET(History!$Q$19,$B$253,0)+OFFSET(History!$Q$18,$B$253,0)*Config!$H$25+OFFSET(History!$Q$17,$B$253,0)*Config!$H$25^2+OFFSET(History!$Q$16,$B$253,0)*Config!$H$25^3+1)^Config!$G$25</f>
        <v>5.5676238733788352E-3</v>
      </c>
      <c r="D77" s="617">
        <f ca="1">SUM(A77:C79)</f>
        <v>5.0108614860409517E-2</v>
      </c>
      <c r="E77" s="617">
        <f ca="1">SUM('1'!R27:T29)</f>
        <v>0.1593604757561613</v>
      </c>
      <c r="F77" s="900">
        <f ca="1">($H$198+$C$198*Config!$H$25+OFFSET(History!$Q$18,$G$253,0)*Config!$H$25^2+OFFSET(History!$Q$17,$G$253,0)*Config!$H$25^3+1)^Config!$G$25-($C$198+OFFSET(History!$Q$18,$G$253,0)*Config!$H$25+OFFSET(History!$Q$17,$G$253,0)*Config!$H$25^2+OFFSET(History!$Q$16,$G$253,0)*Config!$H$25^3+1)^Config!$G$25</f>
        <v>1.9464703911731274E-3</v>
      </c>
      <c r="G77" s="901">
        <f ca="1">($H$198+$C$198*Config!$H$25+OFFSET(History!$Q$18,$G$253,0)*Config!$H$25^2+OFFSET(History!$Q$17,$G$253,0)*Config!$H$25^3+1)^Config!$G$25-($C$198+OFFSET(History!$Q$18,$G$253,0)*Config!$H$25+OFFSET(History!$Q$17,$G$253,0)*Config!$H$25^2+OFFSET(History!$Q$16,$G$253,0)*Config!$H$25^3+1)^Config!$G$25</f>
        <v>1.9464703911731274E-3</v>
      </c>
      <c r="H77" s="902">
        <f ca="1">($H$198+$C$198*Config!$H$25+OFFSET(History!$Q$18,$G$253,0)*Config!$H$25^2+OFFSET(History!$Q$17,$G$253,0)*Config!$H$25^3+1)^Config!$G$25-($C$198+OFFSET(History!$Q$18,$G$253,0)*Config!$H$25+OFFSET(History!$Q$17,$G$253,0)*Config!$H$25^2+OFFSET(History!$Q$16,$G$253,0)*Config!$H$25^3+1)^Config!$G$25</f>
        <v>1.9464703911731274E-3</v>
      </c>
      <c r="I77" s="617">
        <f ca="1">SUM(F77:H79)</f>
        <v>1.7518233520558146E-2</v>
      </c>
      <c r="J77" s="617">
        <f ca="1">SUM('2'!R27:T29)</f>
        <v>0.16189492433428176</v>
      </c>
      <c r="K77" s="900">
        <f ca="1">($M$198+$H$198*Config!$H$25+$C$198*Config!$H$25^2+OFFSET(History!$Q$17,$L$253,0)*Config!$H$25^3+1)^Config!$G$25-($H$198+$C$198*Config!$H$25+OFFSET(History!$Q$17,$L$253,0)*Config!$H$25^2+OFFSET(History!$Q$16,$L$253,0)*Config!$H$25^3+1)^Config!$G$25</f>
        <v>6.1007442095051267E-4</v>
      </c>
      <c r="L77" s="901">
        <f ca="1">($M$198+$H$198*Config!$H$25+$C$198*Config!$H$25^2+OFFSET(History!$Q$17,$L$253,0)*Config!$H$25^3+1)^Config!$G$25-($H$198+$C$198*Config!$H$25+OFFSET(History!$Q$17,$L$253,0)*Config!$H$25^2+OFFSET(History!$Q$16,$L$253,0)*Config!$H$25^3+1)^Config!$G$25</f>
        <v>6.1007442095051267E-4</v>
      </c>
      <c r="M77" s="902">
        <f ca="1">($M$198+$H$198*Config!$H$25+$C$198*Config!$H$25^2+OFFSET(History!$Q$17,$L$253,0)*Config!$H$25^3+1)^Config!$G$25-($H$198+$C$198*Config!$H$25+OFFSET(History!$Q$17,$L$253,0)*Config!$H$25^2+OFFSET(History!$Q$16,$L$253,0)*Config!$H$25^3+1)^Config!$G$25</f>
        <v>6.1007442095051267E-4</v>
      </c>
      <c r="N77" s="617">
        <f ca="1">SUM(K77:M79)</f>
        <v>5.4906697885546141E-3</v>
      </c>
      <c r="O77" s="617">
        <f ca="1">SUM('3'!R27:T29)</f>
        <v>6.7361954886164588E-2</v>
      </c>
      <c r="P77" s="900">
        <f ca="1">($R$198+$M$198*Config!$H$25+$H$198*Config!$H$25^2+$C$198*Config!$H$25^3+1)^Config!$G$25-($M$198+$H$198*Config!$H$25+$C$198*Config!$H$25^2+OFFSET(History!$Q$16,$Q$253,0)*Config!$H$25^3+1)^Config!$G$25</f>
        <v>0</v>
      </c>
      <c r="Q77" s="901">
        <f ca="1">($R$198+$M$198*Config!$H$25+$H$198*Config!$H$25^2+$C$198*Config!$H$25^3+1)^Config!$G$25-($M$198+$H$198*Config!$H$25+$C$198*Config!$H$25^2+OFFSET(History!$Q$16,$Q$253,0)*Config!$H$25^3+1)^Config!$G$25</f>
        <v>0</v>
      </c>
      <c r="R77" s="902">
        <f ca="1">($R$198+$M$198*Config!$H$25+$H$198*Config!$H$25^2+$C$198*Config!$H$25^3+1)^Config!$G$25-($M$198+$H$198*Config!$H$25+$C$198*Config!$H$25^2+OFFSET(History!$Q$16,$Q$253,0)*Config!$H$25^3+1)^Config!$G$25</f>
        <v>0</v>
      </c>
      <c r="S77" s="617">
        <f ca="1">SUM(P77:R79)</f>
        <v>0</v>
      </c>
      <c r="T77" s="617">
        <f ca="1">SUM('4'!R27:T29)</f>
        <v>0.11520079031386365</v>
      </c>
      <c r="U77" s="900">
        <f>($W$198+$R$198*Config!$H$25+$M$198*Config!$H$25^2+$H$198*Config!$H$25^3+1)^Config!$G$25-($R$198+$M$198*Config!$H$25+$H$198*Config!$H$25^2+$C$198*Config!$H$25^3+1)^Config!$G$25</f>
        <v>0</v>
      </c>
      <c r="V77" s="901">
        <f>($W$198+$R$198*Config!$H$25+$M$198*Config!$H$25^2+$H$198*Config!$H$25^3+1)^Config!$G$25-($R$198+$M$198*Config!$H$25+$H$198*Config!$H$25^2+$C$198*Config!$H$25^3+1)^Config!$G$25</f>
        <v>0</v>
      </c>
      <c r="W77" s="902">
        <f>($W$198+$R$198*Config!$H$25+$M$198*Config!$H$25^2+$H$198*Config!$H$25^3+1)^Config!$G$25-($R$198+$M$198*Config!$H$25+$H$198*Config!$H$25^2+$C$198*Config!$H$25^3+1)^Config!$G$25</f>
        <v>0</v>
      </c>
      <c r="X77" s="617">
        <f>SUM(U77:W79)</f>
        <v>0</v>
      </c>
      <c r="Y77" s="617">
        <f ca="1">SUM('5'!R27:T29)</f>
        <v>0.47327955544828759</v>
      </c>
      <c r="Z77" s="644">
        <v>1317196.5047133258</v>
      </c>
      <c r="AA77" s="82">
        <v>10</v>
      </c>
      <c r="AB77" s="645">
        <v>1304093.580344697</v>
      </c>
      <c r="AC77" s="82">
        <v>10</v>
      </c>
      <c r="AD77" s="645">
        <v>1311491.7545902058</v>
      </c>
      <c r="AE77" s="85">
        <v>10</v>
      </c>
    </row>
    <row r="78" spans="1:35" ht="12.9" customHeight="1" x14ac:dyDescent="0.25">
      <c r="A78" s="900">
        <f ca="1">($C$198+OFFSET(History!$Q$19,$B$253,0)*Config!$H$25+OFFSET(History!$Q$18,$B$253,0)*Config!$H$25^2+OFFSET(History!$Q$17,$B$253,0)*Config!$H$25^3+1)^Config!$G$25-(OFFSET(History!$Q$19,$B$253,0)+OFFSET(History!$Q$18,$B$253,0)*Config!$H$25+OFFSET(History!$Q$17,$B$253,0)*Config!$H$25^2+OFFSET(History!$Q$16,$B$253,0)*Config!$H$25^3+1)^Config!$G$25</f>
        <v>5.5676238733788352E-3</v>
      </c>
      <c r="B78" s="901">
        <f ca="1">($C$198+OFFSET(History!$Q$19,$B$253,0)*Config!$H$25+OFFSET(History!$Q$18,$B$253,0)*Config!$H$25^2+OFFSET(History!$Q$17,$B$253,0)*Config!$H$25^3+1)^Config!$G$25-(OFFSET(History!$Q$19,$B$253,0)+OFFSET(History!$Q$18,$B$253,0)*Config!$H$25+OFFSET(History!$Q$17,$B$253,0)*Config!$H$25^2+OFFSET(History!$Q$16,$B$253,0)*Config!$H$25^3+1)^Config!$G$25</f>
        <v>5.5676238733788352E-3</v>
      </c>
      <c r="C78" s="902">
        <f ca="1">($C$198+OFFSET(History!$Q$19,$B$253,0)*Config!$H$25+OFFSET(History!$Q$18,$B$253,0)*Config!$H$25^2+OFFSET(History!$Q$17,$B$253,0)*Config!$H$25^3+1)^Config!$G$25-(OFFSET(History!$Q$19,$B$253,0)+OFFSET(History!$Q$18,$B$253,0)*Config!$H$25+OFFSET(History!$Q$17,$B$253,0)*Config!$H$25^2+OFFSET(History!$Q$16,$B$253,0)*Config!$H$25^3+1)^Config!$G$25</f>
        <v>5.5676238733788352E-3</v>
      </c>
      <c r="D78" s="617"/>
      <c r="E78" s="617"/>
      <c r="F78" s="900">
        <f ca="1">($H$198+$C$198*Config!$H$25+OFFSET(History!$Q$18,$G$253,0)*Config!$H$25^2+OFFSET(History!$Q$17,$G$253,0)*Config!$H$25^3+1)^Config!$G$25-($C$198+OFFSET(History!$Q$18,$G$253,0)*Config!$H$25+OFFSET(History!$Q$17,$G$253,0)*Config!$H$25^2+OFFSET(History!$Q$16,$G$253,0)*Config!$H$25^3+1)^Config!$G$25</f>
        <v>1.9464703911731274E-3</v>
      </c>
      <c r="G78" s="901">
        <f ca="1">($H$198+$C$198*Config!$H$25+OFFSET(History!$Q$18,$G$253,0)*Config!$H$25^2+OFFSET(History!$Q$17,$G$253,0)*Config!$H$25^3+1)^Config!$G$25-($C$198+OFFSET(History!$Q$18,$G$253,0)*Config!$H$25+OFFSET(History!$Q$17,$G$253,0)*Config!$H$25^2+OFFSET(History!$Q$16,$G$253,0)*Config!$H$25^3+1)^Config!$G$25</f>
        <v>1.9464703911731274E-3</v>
      </c>
      <c r="H78" s="902">
        <f ca="1">($H$198+$C$198*Config!$H$25+OFFSET(History!$Q$18,$G$253,0)*Config!$H$25^2+OFFSET(History!$Q$17,$G$253,0)*Config!$H$25^3+1)^Config!$G$25-($C$198+OFFSET(History!$Q$18,$G$253,0)*Config!$H$25+OFFSET(History!$Q$17,$G$253,0)*Config!$H$25^2+OFFSET(History!$Q$16,$G$253,0)*Config!$H$25^3+1)^Config!$G$25</f>
        <v>1.9464703911731274E-3</v>
      </c>
      <c r="I78" s="617"/>
      <c r="J78" s="617"/>
      <c r="K78" s="900">
        <f ca="1">($M$198+$H$198*Config!$H$25+$C$198*Config!$H$25^2+OFFSET(History!$Q$17,$L$253,0)*Config!$H$25^3+1)^Config!$G$25-($H$198+$C$198*Config!$H$25+OFFSET(History!$Q$17,$L$253,0)*Config!$H$25^2+OFFSET(History!$Q$16,$L$253,0)*Config!$H$25^3+1)^Config!$G$25</f>
        <v>6.1007442095051267E-4</v>
      </c>
      <c r="L78" s="901">
        <f ca="1">($M$198+$H$198*Config!$H$25+$C$198*Config!$H$25^2+OFFSET(History!$Q$17,$L$253,0)*Config!$H$25^3+1)^Config!$G$25-($H$198+$C$198*Config!$H$25+OFFSET(History!$Q$17,$L$253,0)*Config!$H$25^2+OFFSET(History!$Q$16,$L$253,0)*Config!$H$25^3+1)^Config!$G$25</f>
        <v>6.1007442095051267E-4</v>
      </c>
      <c r="M78" s="902">
        <f ca="1">($M$198+$H$198*Config!$H$25+$C$198*Config!$H$25^2+OFFSET(History!$Q$17,$L$253,0)*Config!$H$25^3+1)^Config!$G$25-($H$198+$C$198*Config!$H$25+OFFSET(History!$Q$17,$L$253,0)*Config!$H$25^2+OFFSET(History!$Q$16,$L$253,0)*Config!$H$25^3+1)^Config!$G$25</f>
        <v>6.1007442095051267E-4</v>
      </c>
      <c r="N78" s="617"/>
      <c r="O78" s="617"/>
      <c r="P78" s="900">
        <f ca="1">($R$198+$M$198*Config!$H$25+$H$198*Config!$H$25^2+$C$198*Config!$H$25^3+1)^Config!$G$25-($M$198+$H$198*Config!$H$25+$C$198*Config!$H$25^2+OFFSET(History!$Q$16,$Q$253,0)*Config!$H$25^3+1)^Config!$G$25</f>
        <v>0</v>
      </c>
      <c r="Q78" s="901">
        <f ca="1">($R$198+$M$198*Config!$H$25+$H$198*Config!$H$25^2+$C$198*Config!$H$25^3+1)^Config!$G$25-($M$198+$H$198*Config!$H$25+$C$198*Config!$H$25^2+OFFSET(History!$Q$16,$Q$253,0)*Config!$H$25^3+1)^Config!$G$25</f>
        <v>0</v>
      </c>
      <c r="R78" s="902">
        <f ca="1">($R$198+$M$198*Config!$H$25+$H$198*Config!$H$25^2+$C$198*Config!$H$25^3+1)^Config!$G$25-($M$198+$H$198*Config!$H$25+$C$198*Config!$H$25^2+OFFSET(History!$Q$16,$Q$253,0)*Config!$H$25^3+1)^Config!$G$25</f>
        <v>0</v>
      </c>
      <c r="S78" s="617"/>
      <c r="T78" s="617"/>
      <c r="U78" s="900">
        <f>($W$198+$R$198*Config!$H$25+$M$198*Config!$H$25^2+$H$198*Config!$H$25^3+1)^Config!$G$25-($R$198+$M$198*Config!$H$25+$H$198*Config!$H$25^2+$C$198*Config!$H$25^3+1)^Config!$G$25</f>
        <v>0</v>
      </c>
      <c r="V78" s="901">
        <f>($W$198+$R$198*Config!$H$25+$M$198*Config!$H$25^2+$H$198*Config!$H$25^3+1)^Config!$G$25-($R$198+$M$198*Config!$H$25+$H$198*Config!$H$25^2+$C$198*Config!$H$25^3+1)^Config!$G$25</f>
        <v>0</v>
      </c>
      <c r="W78" s="902">
        <f>($W$198+$R$198*Config!$H$25+$M$198*Config!$H$25^2+$H$198*Config!$H$25^3+1)^Config!$G$25-($R$198+$M$198*Config!$H$25+$H$198*Config!$H$25^2+$C$198*Config!$H$25^3+1)^Config!$G$25</f>
        <v>0</v>
      </c>
      <c r="X78" s="703"/>
      <c r="Y78" s="617"/>
      <c r="Z78" s="644">
        <v>1315699.0109662446</v>
      </c>
      <c r="AA78" s="82">
        <v>15</v>
      </c>
      <c r="AB78" s="645">
        <v>1295784.2089857506</v>
      </c>
      <c r="AC78" s="82">
        <v>15</v>
      </c>
      <c r="AD78" s="645">
        <v>1306772.8932879665</v>
      </c>
      <c r="AE78" s="85">
        <v>15</v>
      </c>
    </row>
    <row r="79" spans="1:35" ht="12.9" customHeight="1" thickBot="1" x14ac:dyDescent="0.3">
      <c r="A79" s="903">
        <f ca="1">($C$198+OFFSET(History!$Q$19,$B$253,0)*Config!$H$25+OFFSET(History!$Q$18,$B$253,0)*Config!$H$25^2+OFFSET(History!$Q$17,$B$253,0)*Config!$H$25^3+1)^Config!$G$25-(OFFSET(History!$Q$19,$B$253,0)+OFFSET(History!$Q$18,$B$253,0)*Config!$H$25+OFFSET(History!$Q$17,$B$253,0)*Config!$H$25^2+OFFSET(History!$Q$16,$B$253,0)*Config!$H$25^3+1)^Config!$G$25</f>
        <v>5.5676238733788352E-3</v>
      </c>
      <c r="B79" s="904">
        <f ca="1">($C$198+OFFSET(History!$Q$19,$B$253,0)*Config!$H$25+OFFSET(History!$Q$18,$B$253,0)*Config!$H$25^2+OFFSET(History!$Q$17,$B$253,0)*Config!$H$25^3+1)^Config!$G$25-(OFFSET(History!$Q$19,$B$253,0)+OFFSET(History!$Q$18,$B$253,0)*Config!$H$25+OFFSET(History!$Q$17,$B$253,0)*Config!$H$25^2+OFFSET(History!$Q$16,$B$253,0)*Config!$H$25^3+1)^Config!$G$25</f>
        <v>5.5676238733788352E-3</v>
      </c>
      <c r="C79" s="905">
        <f ca="1">($C$198+OFFSET(History!$Q$19,$B$253,0)*Config!$H$25+OFFSET(History!$Q$18,$B$253,0)*Config!$H$25^2+OFFSET(History!$Q$17,$B$253,0)*Config!$H$25^3+1)^Config!$G$25-(OFFSET(History!$Q$19,$B$253,0)+OFFSET(History!$Q$18,$B$253,0)*Config!$H$25+OFFSET(History!$Q$17,$B$253,0)*Config!$H$25^2+OFFSET(History!$Q$16,$B$253,0)*Config!$H$25^3+1)^Config!$G$25</f>
        <v>5.5676238733788352E-3</v>
      </c>
      <c r="D79" s="617"/>
      <c r="E79" s="617"/>
      <c r="F79" s="903">
        <f ca="1">($H$198+$C$198*Config!$H$25+OFFSET(History!$Q$18,$G$253,0)*Config!$H$25^2+OFFSET(History!$Q$17,$G$253,0)*Config!$H$25^3+1)^Config!$G$25-($C$198+OFFSET(History!$Q$18,$G$253,0)*Config!$H$25+OFFSET(History!$Q$17,$G$253,0)*Config!$H$25^2+OFFSET(History!$Q$16,$G$253,0)*Config!$H$25^3+1)^Config!$G$25</f>
        <v>1.9464703911731274E-3</v>
      </c>
      <c r="G79" s="904">
        <f ca="1">($H$198+$C$198*Config!$H$25+OFFSET(History!$Q$18,$G$253,0)*Config!$H$25^2+OFFSET(History!$Q$17,$G$253,0)*Config!$H$25^3+1)^Config!$G$25-($C$198+OFFSET(History!$Q$18,$G$253,0)*Config!$H$25+OFFSET(History!$Q$17,$G$253,0)*Config!$H$25^2+OFFSET(History!$Q$16,$G$253,0)*Config!$H$25^3+1)^Config!$G$25</f>
        <v>1.9464703911731274E-3</v>
      </c>
      <c r="H79" s="905">
        <f ca="1">($H$198+$C$198*Config!$H$25+OFFSET(History!$Q$18,$G$253,0)*Config!$H$25^2+OFFSET(History!$Q$17,$G$253,0)*Config!$H$25^3+1)^Config!$G$25-($C$198+OFFSET(History!$Q$18,$G$253,0)*Config!$H$25+OFFSET(History!$Q$17,$G$253,0)*Config!$H$25^2+OFFSET(History!$Q$16,$G$253,0)*Config!$H$25^3+1)^Config!$G$25</f>
        <v>1.9464703911731274E-3</v>
      </c>
      <c r="I79" s="617"/>
      <c r="J79" s="617"/>
      <c r="K79" s="903">
        <f ca="1">($M$198+$H$198*Config!$H$25+$C$198*Config!$H$25^2+OFFSET(History!$Q$17,$L$253,0)*Config!$H$25^3+1)^Config!$G$25-($H$198+$C$198*Config!$H$25+OFFSET(History!$Q$17,$L$253,0)*Config!$H$25^2+OFFSET(History!$Q$16,$L$253,0)*Config!$H$25^3+1)^Config!$G$25</f>
        <v>6.1007442095051267E-4</v>
      </c>
      <c r="L79" s="904">
        <f ca="1">($M$198+$H$198*Config!$H$25+$C$198*Config!$H$25^2+OFFSET(History!$Q$17,$L$253,0)*Config!$H$25^3+1)^Config!$G$25-($H$198+$C$198*Config!$H$25+OFFSET(History!$Q$17,$L$253,0)*Config!$H$25^2+OFFSET(History!$Q$16,$L$253,0)*Config!$H$25^3+1)^Config!$G$25</f>
        <v>6.1007442095051267E-4</v>
      </c>
      <c r="M79" s="905">
        <f ca="1">($M$198+$H$198*Config!$H$25+$C$198*Config!$H$25^2+OFFSET(History!$Q$17,$L$253,0)*Config!$H$25^3+1)^Config!$G$25-($H$198+$C$198*Config!$H$25+OFFSET(History!$Q$17,$L$253,0)*Config!$H$25^2+OFFSET(History!$Q$16,$L$253,0)*Config!$H$25^3+1)^Config!$G$25</f>
        <v>6.1007442095051267E-4</v>
      </c>
      <c r="N79" s="617"/>
      <c r="O79" s="617"/>
      <c r="P79" s="903">
        <f ca="1">($R$198+$M$198*Config!$H$25+$H$198*Config!$H$25^2+$C$198*Config!$H$25^3+1)^Config!$G$25-($M$198+$H$198*Config!$H$25+$C$198*Config!$H$25^2+OFFSET(History!$Q$16,$Q$253,0)*Config!$H$25^3+1)^Config!$G$25</f>
        <v>0</v>
      </c>
      <c r="Q79" s="904">
        <f ca="1">($R$198+$M$198*Config!$H$25+$H$198*Config!$H$25^2+$C$198*Config!$H$25^3+1)^Config!$G$25-($M$198+$H$198*Config!$H$25+$C$198*Config!$H$25^2+OFFSET(History!$Q$16,$Q$253,0)*Config!$H$25^3+1)^Config!$G$25</f>
        <v>0</v>
      </c>
      <c r="R79" s="905">
        <f ca="1">($R$198+$M$198*Config!$H$25+$H$198*Config!$H$25^2+$C$198*Config!$H$25^3+1)^Config!$G$25-($M$198+$H$198*Config!$H$25+$C$198*Config!$H$25^2+OFFSET(History!$Q$16,$Q$253,0)*Config!$H$25^3+1)^Config!$G$25</f>
        <v>0</v>
      </c>
      <c r="S79" s="617"/>
      <c r="T79" s="617"/>
      <c r="U79" s="903">
        <f>($W$198+$R$198*Config!$H$25+$M$198*Config!$H$25^2+$H$198*Config!$H$25^3+1)^Config!$G$25-($R$198+$M$198*Config!$H$25+$H$198*Config!$H$25^2+$C$198*Config!$H$25^3+1)^Config!$G$25</f>
        <v>0</v>
      </c>
      <c r="V79" s="904">
        <f>($W$198+$R$198*Config!$H$25+$M$198*Config!$H$25^2+$H$198*Config!$H$25^3+1)^Config!$G$25-($R$198+$M$198*Config!$H$25+$H$198*Config!$H$25^2+$C$198*Config!$H$25^3+1)^Config!$G$25</f>
        <v>0</v>
      </c>
      <c r="W79" s="905">
        <f>($W$198+$R$198*Config!$H$25+$M$198*Config!$H$25^2+$H$198*Config!$H$25^3+1)^Config!$G$25-($R$198+$M$198*Config!$H$25+$H$198*Config!$H$25^2+$C$198*Config!$H$25^3+1)^Config!$G$25</f>
        <v>0</v>
      </c>
      <c r="X79" s="703"/>
      <c r="Y79" s="617"/>
      <c r="Z79" s="644">
        <v>1311460.860284585</v>
      </c>
      <c r="AA79" s="82">
        <v>20</v>
      </c>
      <c r="AB79" s="645">
        <v>1283683.0028212653</v>
      </c>
      <c r="AC79" s="82">
        <v>20</v>
      </c>
      <c r="AD79" s="645">
        <v>1300192.8682347508</v>
      </c>
      <c r="AE79" s="85">
        <v>20</v>
      </c>
    </row>
    <row r="80" spans="1:35" ht="12.9" customHeight="1" thickBot="1" x14ac:dyDescent="0.3">
      <c r="A80" s="617"/>
      <c r="B80" s="617"/>
      <c r="C80" s="617"/>
      <c r="D80" s="703"/>
      <c r="E80" s="617"/>
      <c r="F80" s="617"/>
      <c r="G80" s="617"/>
      <c r="H80" s="617"/>
      <c r="I80" s="703"/>
      <c r="J80" s="617"/>
      <c r="K80" s="617"/>
      <c r="L80" s="617"/>
      <c r="M80" s="617"/>
      <c r="N80" s="703"/>
      <c r="O80" s="617"/>
      <c r="P80" s="617"/>
      <c r="Q80" s="617"/>
      <c r="R80" s="617"/>
      <c r="S80" s="703"/>
      <c r="T80" s="617"/>
      <c r="U80" s="617"/>
      <c r="V80" s="617"/>
      <c r="W80" s="617"/>
      <c r="X80" s="703"/>
      <c r="Y80" s="617"/>
      <c r="Z80" s="644">
        <v>1310266.8682871656</v>
      </c>
      <c r="AA80" s="82">
        <v>25</v>
      </c>
      <c r="AB80" s="645">
        <v>1277223.1526414766</v>
      </c>
      <c r="AC80" s="82">
        <v>25</v>
      </c>
      <c r="AD80" s="645">
        <v>1296350.9055955019</v>
      </c>
      <c r="AE80" s="85">
        <v>25</v>
      </c>
    </row>
    <row r="81" spans="1:38" ht="12.9" customHeight="1" thickBot="1" x14ac:dyDescent="0.3">
      <c r="A81" s="1187" t="str">
        <f>Lang!$A$68</f>
        <v>Ports</v>
      </c>
      <c r="B81" s="1188"/>
      <c r="C81" s="1189"/>
      <c r="D81" s="703"/>
      <c r="E81" s="617"/>
      <c r="F81" s="1190" t="str">
        <f>A81</f>
        <v>Ports</v>
      </c>
      <c r="G81" s="1191"/>
      <c r="H81" s="1192"/>
      <c r="I81" s="617"/>
      <c r="J81" s="617"/>
      <c r="K81" s="1190" t="str">
        <f>A81</f>
        <v>Ports</v>
      </c>
      <c r="L81" s="1191"/>
      <c r="M81" s="1192"/>
      <c r="N81" s="617"/>
      <c r="O81" s="617"/>
      <c r="P81" s="1187" t="str">
        <f>A81</f>
        <v>Ports</v>
      </c>
      <c r="Q81" s="1188"/>
      <c r="R81" s="1189"/>
      <c r="S81" s="617"/>
      <c r="T81" s="617"/>
      <c r="U81" s="1190" t="str">
        <f>A81</f>
        <v>Ports</v>
      </c>
      <c r="V81" s="1191"/>
      <c r="W81" s="1192"/>
      <c r="X81" s="703"/>
      <c r="Y81" s="617"/>
      <c r="Z81" s="648">
        <v>1306006.7993247132</v>
      </c>
      <c r="AA81" s="152">
        <v>30</v>
      </c>
      <c r="AB81" s="649">
        <v>1265125.6399511087</v>
      </c>
      <c r="AC81" s="152">
        <v>30</v>
      </c>
      <c r="AD81" s="649">
        <v>1289109.2566172695</v>
      </c>
      <c r="AE81" s="153">
        <v>30</v>
      </c>
    </row>
    <row r="82" spans="1:38" ht="12.9" customHeight="1" thickBot="1" x14ac:dyDescent="0.3">
      <c r="A82" s="900">
        <f ca="1">(OFFSET(History!$M$58,$B$253,0)-0.01)/100</f>
        <v>8.9999999999994316E-4</v>
      </c>
      <c r="B82" s="901">
        <f ca="1">(OFFSET(History!$M$58,$B$253,0)-0.01)/100</f>
        <v>8.9999999999994316E-4</v>
      </c>
      <c r="C82" s="902">
        <f ca="1">(OFFSET(History!$M$58,$B$253,0)-0.01)/100</f>
        <v>8.9999999999994316E-4</v>
      </c>
      <c r="D82" s="617">
        <f ca="1">SUM(A82:C84)</f>
        <v>2.6999999999998293E-3</v>
      </c>
      <c r="E82" s="617">
        <f ca="1">SUM('1'!R32:T34)</f>
        <v>2.6999999999998293E-3</v>
      </c>
      <c r="F82" s="900"/>
      <c r="G82" s="901"/>
      <c r="H82" s="902"/>
      <c r="I82" s="617">
        <f>SUM(F82:H84)</f>
        <v>0</v>
      </c>
      <c r="J82" s="617">
        <f>SUM('2'!R32:T34)</f>
        <v>0</v>
      </c>
      <c r="K82" s="900"/>
      <c r="L82" s="901"/>
      <c r="M82" s="902"/>
      <c r="N82" s="617">
        <f>SUM(K82:M84)</f>
        <v>0</v>
      </c>
      <c r="O82" s="617">
        <f>SUM('3'!R32:T34)</f>
        <v>0</v>
      </c>
      <c r="P82" s="900"/>
      <c r="Q82" s="901"/>
      <c r="R82" s="902"/>
      <c r="S82" s="617">
        <f>SUM(P82:R84)</f>
        <v>0</v>
      </c>
      <c r="T82" s="617">
        <f>SUM('4'!R32:T34)</f>
        <v>0</v>
      </c>
      <c r="U82" s="900"/>
      <c r="V82" s="901"/>
      <c r="W82" s="902"/>
      <c r="X82" s="617">
        <f>SUM(U82:W84)</f>
        <v>0</v>
      </c>
      <c r="Y82" s="617">
        <f>SUM('5'!R32:T34)</f>
        <v>0</v>
      </c>
      <c r="AA82" s="771">
        <f t="array" ref="AA82">MAX(IF(Z85:Z97&lt;&gt;0,Z85:Z97,""))</f>
        <v>1856841.9250804633</v>
      </c>
      <c r="AC82" s="771">
        <f t="array" ref="AC82">MAX(IF(AB85:AB97&lt;&gt;0,AB85:AB97,""))</f>
        <v>1856841.9250804633</v>
      </c>
      <c r="AE82" s="771">
        <f t="array" ref="AE82">MAX(IF(AD85:AD97&lt;&gt;0,AD85:AD97,""))</f>
        <v>1857834.2973529545</v>
      </c>
      <c r="AJ82" s="771">
        <f t="array" ref="AJ82">MAX(IF(AI85:AI97&lt;&gt;0,AI85:AI97,""))</f>
        <v>1770637.0401717341</v>
      </c>
    </row>
    <row r="83" spans="1:38" ht="12.9" customHeight="1" x14ac:dyDescent="0.25">
      <c r="A83" s="900"/>
      <c r="B83" s="901"/>
      <c r="C83" s="902"/>
      <c r="D83" s="703"/>
      <c r="E83" s="617"/>
      <c r="F83" s="900"/>
      <c r="G83" s="901"/>
      <c r="H83" s="902"/>
      <c r="I83" s="703"/>
      <c r="J83" s="617"/>
      <c r="K83" s="900"/>
      <c r="L83" s="901"/>
      <c r="M83" s="902"/>
      <c r="N83" s="703"/>
      <c r="O83" s="617"/>
      <c r="P83" s="900"/>
      <c r="Q83" s="901"/>
      <c r="R83" s="902"/>
      <c r="S83" s="703"/>
      <c r="T83" s="617"/>
      <c r="U83" s="900"/>
      <c r="V83" s="901"/>
      <c r="W83" s="902"/>
      <c r="X83" s="703"/>
      <c r="Y83" s="617"/>
      <c r="Z83" s="1080" t="str">
        <f>Lang!$A$44</f>
        <v>Assembly time</v>
      </c>
      <c r="AA83" s="1081"/>
      <c r="AB83" s="1081"/>
      <c r="AC83" s="1081"/>
      <c r="AD83" s="1081"/>
      <c r="AE83" s="1103"/>
      <c r="AI83" s="1080" t="str">
        <f>Lang!$A$115</f>
        <v>Management budget</v>
      </c>
      <c r="AJ83" s="1103"/>
    </row>
    <row r="84" spans="1:38" ht="12.9" customHeight="1" thickBot="1" x14ac:dyDescent="0.3">
      <c r="A84" s="903"/>
      <c r="B84" s="904"/>
      <c r="C84" s="905"/>
      <c r="D84" s="703"/>
      <c r="E84" s="617"/>
      <c r="F84" s="903"/>
      <c r="G84" s="904"/>
      <c r="H84" s="905"/>
      <c r="I84" s="703"/>
      <c r="J84" s="617"/>
      <c r="K84" s="903"/>
      <c r="L84" s="904"/>
      <c r="M84" s="905"/>
      <c r="N84" s="703"/>
      <c r="O84" s="617"/>
      <c r="P84" s="903"/>
      <c r="Q84" s="904"/>
      <c r="R84" s="905"/>
      <c r="S84" s="703"/>
      <c r="T84" s="617"/>
      <c r="U84" s="903"/>
      <c r="V84" s="904"/>
      <c r="W84" s="905"/>
      <c r="X84" s="703"/>
      <c r="Y84" s="617"/>
      <c r="Z84" s="621">
        <f>AA84/100</f>
        <v>1.02</v>
      </c>
      <c r="AA84" s="605">
        <f>IF(INDEX(AA85:AA97,MATCH(AA82,Z85:Z97,0))&gt;=100,INDEX(AA85:AA97,MATCH(AA82,Z85:Z97,0)),100)</f>
        <v>102</v>
      </c>
      <c r="AB84" s="620">
        <f>AC84/150</f>
        <v>1.0266666666666666</v>
      </c>
      <c r="AC84" s="605">
        <f>IF(INDEX(AC85:AC97,MATCH(AC82,AB85:AB97,0))&gt;150,INDEX(AC85:AC97,MATCH(AC82,AB85:AB97,0)),150)</f>
        <v>154</v>
      </c>
      <c r="AD84" s="620">
        <f>AE84/300</f>
        <v>1.0266666666666666</v>
      </c>
      <c r="AE84" s="606">
        <f>IF(INDEX(AE85:AE97,MATCH(AE82,AD85:AD97,0))&gt;300,INDEX(AE85:AE97,MATCH(AE82,AD85:AD97,0)),300)</f>
        <v>308</v>
      </c>
      <c r="AI84" s="807" t="str">
        <f>Lang!$A$145</f>
        <v>Profit</v>
      </c>
      <c r="AJ84" s="899">
        <f>IF(INDEX(AJ85:AJ97,MATCH(AJ82,AI85:AI97,0))&gt;=History!Q20,IF(INDEX(AJ85:AJ97,MATCH(AJ82,AI85:AI97,0))&lt;=AVERAGE(D198,I198,N198,S198,X198),INDEX(AJ85:AJ97,MATCH(AJ82,AI85:AI97,0)),AVERAGE(D198,I198,N198,S198,X198)),History!Q20)</f>
        <v>70</v>
      </c>
    </row>
    <row r="85" spans="1:38" ht="12.9" customHeight="1" thickBot="1" x14ac:dyDescent="0.3">
      <c r="A85" s="703"/>
      <c r="B85" s="703"/>
      <c r="C85" s="703"/>
      <c r="D85" s="703"/>
      <c r="E85" s="617"/>
      <c r="F85" s="703"/>
      <c r="G85" s="703"/>
      <c r="H85" s="703"/>
      <c r="I85" s="703"/>
      <c r="J85" s="617"/>
      <c r="K85" s="703"/>
      <c r="L85" s="703"/>
      <c r="M85" s="703"/>
      <c r="N85" s="703"/>
      <c r="O85" s="617"/>
      <c r="P85" s="703"/>
      <c r="Q85" s="703"/>
      <c r="R85" s="703"/>
      <c r="S85" s="703"/>
      <c r="T85" s="617"/>
      <c r="U85" s="703"/>
      <c r="V85" s="703"/>
      <c r="W85" s="703"/>
      <c r="X85" s="703"/>
      <c r="Y85" s="617"/>
      <c r="Z85" s="644">
        <v>0</v>
      </c>
      <c r="AA85" s="82">
        <v>0</v>
      </c>
      <c r="AB85" s="645">
        <v>0</v>
      </c>
      <c r="AC85" s="82">
        <v>148</v>
      </c>
      <c r="AD85" s="645">
        <v>1857700.6586939776</v>
      </c>
      <c r="AE85" s="85">
        <v>306</v>
      </c>
      <c r="AI85" s="644">
        <v>0</v>
      </c>
      <c r="AJ85" s="85">
        <v>0</v>
      </c>
    </row>
    <row r="86" spans="1:38" ht="12.9" customHeight="1" x14ac:dyDescent="0.25">
      <c r="A86" s="1187" t="str">
        <f>Lang!$A$75</f>
        <v>Web-site development</v>
      </c>
      <c r="B86" s="1188"/>
      <c r="C86" s="1189"/>
      <c r="D86" s="703"/>
      <c r="E86" s="617"/>
      <c r="F86" s="1190" t="str">
        <f>A86</f>
        <v>Web-site development</v>
      </c>
      <c r="G86" s="1191"/>
      <c r="H86" s="1192"/>
      <c r="I86" s="617"/>
      <c r="J86" s="617"/>
      <c r="K86" s="1190" t="str">
        <f>A86</f>
        <v>Web-site development</v>
      </c>
      <c r="L86" s="1191"/>
      <c r="M86" s="1192"/>
      <c r="N86" s="617"/>
      <c r="O86" s="617"/>
      <c r="P86" s="1187" t="str">
        <f>A86</f>
        <v>Web-site development</v>
      </c>
      <c r="Q86" s="1188"/>
      <c r="R86" s="1189"/>
      <c r="S86" s="617"/>
      <c r="T86" s="617"/>
      <c r="U86" s="1190" t="str">
        <f>A86</f>
        <v>Web-site development</v>
      </c>
      <c r="V86" s="1191"/>
      <c r="W86" s="1192"/>
      <c r="X86" s="703"/>
      <c r="Y86" s="617"/>
      <c r="Z86" s="644">
        <v>0</v>
      </c>
      <c r="AA86" s="82">
        <v>0</v>
      </c>
      <c r="AB86" s="645">
        <v>1834237.425717874</v>
      </c>
      <c r="AC86" s="82">
        <v>149</v>
      </c>
      <c r="AD86" s="645">
        <v>1857822.6254303902</v>
      </c>
      <c r="AE86" s="85">
        <v>307</v>
      </c>
      <c r="AI86" s="644">
        <v>1621806.994494291</v>
      </c>
      <c r="AJ86" s="85">
        <v>31</v>
      </c>
    </row>
    <row r="87" spans="1:38" ht="12.9" customHeight="1" x14ac:dyDescent="0.25">
      <c r="A87" s="900"/>
      <c r="B87" s="901"/>
      <c r="C87" s="902"/>
      <c r="D87" s="617">
        <f ca="1">SUM(A87:C89)</f>
        <v>1.1125589930903734E-2</v>
      </c>
      <c r="E87" s="617">
        <f ca="1">SUM('1'!R37:T39)</f>
        <v>2.1626624760010982E-2</v>
      </c>
      <c r="F87" s="900"/>
      <c r="G87" s="901"/>
      <c r="H87" s="902"/>
      <c r="I87" s="617">
        <f ca="1">SUM(F87:H89)</f>
        <v>1.4258962636493067E-4</v>
      </c>
      <c r="J87" s="617">
        <f ca="1">SUM('2'!R37:T39)</f>
        <v>-2.1295530273534702E-2</v>
      </c>
      <c r="K87" s="900"/>
      <c r="L87" s="901"/>
      <c r="M87" s="902"/>
      <c r="N87" s="617">
        <f ca="1">SUM(K87:M89)</f>
        <v>1.8750030834624454E-6</v>
      </c>
      <c r="O87" s="617">
        <f ca="1">SUM('3'!R37:T39)</f>
        <v>3.1267571842901631E-2</v>
      </c>
      <c r="P87" s="900"/>
      <c r="Q87" s="901"/>
      <c r="R87" s="902"/>
      <c r="S87" s="617">
        <f ca="1">SUM(P87:R89)</f>
        <v>2.4728950220875845E-8</v>
      </c>
      <c r="T87" s="617">
        <f ca="1">SUM('4'!R37:T39)</f>
        <v>7.274421759697125E-2</v>
      </c>
      <c r="U87" s="900"/>
      <c r="V87" s="901"/>
      <c r="W87" s="902"/>
      <c r="X87" s="617">
        <f>SUM(U87:W89)</f>
        <v>0</v>
      </c>
      <c r="Y87" s="617">
        <f ca="1">SUM('5'!R37:T39)</f>
        <v>0.56641122713653935</v>
      </c>
      <c r="Z87" s="644">
        <v>0</v>
      </c>
      <c r="AA87" s="82">
        <v>0</v>
      </c>
      <c r="AB87" s="645">
        <v>1847818.0570909162</v>
      </c>
      <c r="AC87" s="82">
        <v>150</v>
      </c>
      <c r="AD87" s="645">
        <v>1857834.2973529545</v>
      </c>
      <c r="AE87" s="85">
        <v>308</v>
      </c>
      <c r="AI87" s="644">
        <v>1703168.8220013049</v>
      </c>
      <c r="AJ87" s="85">
        <v>41</v>
      </c>
    </row>
    <row r="88" spans="1:38" ht="12.9" customHeight="1" x14ac:dyDescent="0.25">
      <c r="A88" s="900"/>
      <c r="B88" s="901"/>
      <c r="C88" s="902"/>
      <c r="D88" s="703"/>
      <c r="E88" s="617"/>
      <c r="F88" s="900"/>
      <c r="G88" s="901"/>
      <c r="H88" s="902"/>
      <c r="I88" s="703"/>
      <c r="J88" s="617"/>
      <c r="K88" s="900"/>
      <c r="L88" s="901"/>
      <c r="M88" s="902"/>
      <c r="N88" s="703"/>
      <c r="O88" s="617"/>
      <c r="P88" s="900"/>
      <c r="Q88" s="901"/>
      <c r="R88" s="902"/>
      <c r="S88" s="703"/>
      <c r="T88" s="617"/>
      <c r="U88" s="900"/>
      <c r="V88" s="901"/>
      <c r="W88" s="902"/>
      <c r="X88" s="703"/>
      <c r="Y88" s="617"/>
      <c r="Z88" s="644">
        <v>0</v>
      </c>
      <c r="AA88" s="82">
        <v>0</v>
      </c>
      <c r="AB88" s="645">
        <v>1852880.0301625414</v>
      </c>
      <c r="AC88" s="82">
        <v>151</v>
      </c>
      <c r="AD88" s="645">
        <v>1857754.6774244006</v>
      </c>
      <c r="AE88" s="85">
        <v>309</v>
      </c>
      <c r="AI88" s="644">
        <v>1760516.3655346404</v>
      </c>
      <c r="AJ88" s="85">
        <v>51</v>
      </c>
    </row>
    <row r="89" spans="1:38" ht="12.9" customHeight="1" thickBot="1" x14ac:dyDescent="0.3">
      <c r="A89" s="903">
        <f ca="1">($C$197+OFFSET(History!$N$58,$B$253,0)*Config!$H$14+OFFSET(History!$N$57,$B$253,0)*Config!$H$14^2+OFFSET(History!$N$56,$B$253,0)*Config!$H$14^3+1)^Config!$G$14-(OFFSET(History!$N$58,$B$253,0)+OFFSET(History!$N$57,$B$253,0)*Config!$H$14+OFFSET(History!$N$56,$B$253,0)*Config!$H$14^2+OFFSET(History!$N$55,$B$253,0)*Config!$H$14^3+1)^Config!$G$14</f>
        <v>3.7085299769679114E-3</v>
      </c>
      <c r="B89" s="904">
        <f ca="1">($C$197+OFFSET(History!$N$58,$B$253,0)*Config!$H$14+OFFSET(History!$N$57,$B$253,0)*Config!$H$14^2+OFFSET(History!$N$56,$B$253,0)*Config!$H$14^3+1)^Config!$G$14-(OFFSET(History!$N$58,$B$253,0)+OFFSET(History!$N$57,$B$253,0)*Config!$H$14+OFFSET(History!$N$56,$B$253,0)*Config!$H$14^2+OFFSET(History!$N$55,$B$253,0)*Config!$H$14^3+1)^Config!$G$14</f>
        <v>3.7085299769679114E-3</v>
      </c>
      <c r="C89" s="905">
        <f ca="1">($C$197+OFFSET(History!$N$58,$B$253,0)*Config!$H$14+OFFSET(History!$N$57,$B$253,0)*Config!$H$14^2+OFFSET(History!$N$56,$B$253,0)*Config!$H$14^3+1)^Config!$G$14-(OFFSET(History!$N$58,$B$253,0)+OFFSET(History!$N$57,$B$253,0)*Config!$H$14+OFFSET(History!$N$56,$B$253,0)*Config!$H$14^2+OFFSET(History!$N$55,$B$253,0)*Config!$H$14^3+1)^Config!$G$14</f>
        <v>3.7085299769679114E-3</v>
      </c>
      <c r="D89" s="703"/>
      <c r="E89" s="617"/>
      <c r="F89" s="903">
        <f ca="1">($H$197+$C$197*Config!$H$14+OFFSET(History!$N$57,$G$253,0)*Config!$H$14^2+OFFSET(History!$N$56,$G$253,0)*Config!$H$14^3+1)^Config!$G$14-($C$197+OFFSET(History!$N$57,$G$253,0)*Config!$H$14+OFFSET(History!$N$56,$G$253,0)*Config!$H$14^2+OFFSET(History!$N$55,$G$253,0)*Config!$H$14^3+1)^Config!$G$14</f>
        <v>4.7529875454976889E-5</v>
      </c>
      <c r="G89" s="904">
        <f ca="1">($H$197+$C$197*Config!$H$14+OFFSET(History!$N$57,$G$253,0)*Config!$H$14^2+OFFSET(History!$N$56,$G$253,0)*Config!$H$14^3+1)^Config!$G$14-($C$197+OFFSET(History!$N$57,$G$253,0)*Config!$H$14+OFFSET(History!$N$56,$G$253,0)*Config!$H$14^2+OFFSET(History!$N$55,$G$253,0)*Config!$H$14^3+1)^Config!$G$14</f>
        <v>4.7529875454976889E-5</v>
      </c>
      <c r="H89" s="905">
        <f ca="1">($H$197+$C$197*Config!$H$14+OFFSET(History!$N$57,$G$253,0)*Config!$H$14^2+OFFSET(History!$N$56,$G$253,0)*Config!$H$14^3+1)^Config!$G$14-($C$197+OFFSET(History!$N$57,$G$253,0)*Config!$H$14+OFFSET(History!$N$56,$G$253,0)*Config!$H$14^2+OFFSET(History!$N$55,$G$253,0)*Config!$H$14^3+1)^Config!$G$14</f>
        <v>4.7529875454976889E-5</v>
      </c>
      <c r="I89" s="703"/>
      <c r="J89" s="617"/>
      <c r="K89" s="903">
        <f ca="1">($M$197+$H$197*Config!$H$14+$C$197*Config!$H$14^2+OFFSET(History!$N$56,$L$253,0)*Config!$H$14^3+1)^Config!$G$14-($H$197+$C$197*Config!$H$14+OFFSET(History!$N$56,$L$253,0)*Config!$H$14^2+OFFSET(History!$N$55,$L$253,0)*Config!$H$14^3+1)^Config!$G$14</f>
        <v>6.2500102782081512E-7</v>
      </c>
      <c r="L89" s="904">
        <f ca="1">($M$197+$H$197*Config!$H$14+$C$197*Config!$H$14^2+OFFSET(History!$N$56,$L$253,0)*Config!$H$14^3+1)^Config!$G$14-($H$197+$C$197*Config!$H$14+OFFSET(History!$N$56,$L$253,0)*Config!$H$14^2+OFFSET(History!$N$55,$L$253,0)*Config!$H$14^3+1)^Config!$G$14</f>
        <v>6.2500102782081512E-7</v>
      </c>
      <c r="M89" s="905">
        <f ca="1">($M$197+$H$197*Config!$H$14+$C$197*Config!$H$14^2+OFFSET(History!$N$56,$L$253,0)*Config!$H$14^3+1)^Config!$G$14-($H$197+$C$197*Config!$H$14+OFFSET(History!$N$56,$L$253,0)*Config!$H$14^2+OFFSET(History!$N$55,$L$253,0)*Config!$H$14^3+1)^Config!$G$14</f>
        <v>6.2500102782081512E-7</v>
      </c>
      <c r="N89" s="703"/>
      <c r="O89" s="617"/>
      <c r="P89" s="903">
        <f ca="1">($R$197+$M$197*Config!$H$14+$H$197*Config!$H$14^2+$C$197*Config!$H$14^3+1)^Config!$G$14-($M$197+$H$197*Config!$H$14+$C$197*Config!$H$14^2+OFFSET(History!$N$55,$Q$253,0)*Config!$H$14^3+1)^Config!$G$14</f>
        <v>8.242983406958615E-9</v>
      </c>
      <c r="Q89" s="904">
        <f ca="1">($R$197+$M$197*Config!$H$14+$H$197*Config!$H$14^2+$C$197*Config!$H$14^3+1)^Config!$G$14-($M$197+$H$197*Config!$H$14+$C$197*Config!$H$14^2+OFFSET(History!$N$55,$Q$253,0)*Config!$H$14^3+1)^Config!$G$14</f>
        <v>8.242983406958615E-9</v>
      </c>
      <c r="R89" s="905">
        <f ca="1">($R$197+$M$197*Config!$H$14+$H$197*Config!$H$14^2+$C$197*Config!$H$14^3+1)^Config!$G$14-($M$197+$H$197*Config!$H$14+$C$197*Config!$H$14^2+OFFSET(History!$N$55,$Q$253,0)*Config!$H$14^3+1)^Config!$G$14</f>
        <v>8.242983406958615E-9</v>
      </c>
      <c r="S89" s="703"/>
      <c r="T89" s="617"/>
      <c r="U89" s="903">
        <f>($W$197+$R$197*Config!$H$14+$M$197*Config!$H$14^2+$H$197*Config!$H$14^3+1)^Config!$G$14-($R$197+$M$197*Config!$H$14+$H$197*Config!$H$14^2+$C$197*Config!$H$14^3+1)^Config!$G$14</f>
        <v>0</v>
      </c>
      <c r="V89" s="904">
        <f>($W$197+$R$197*Config!$H$14+$M$197*Config!$H$14^2+$H$197*Config!$H$14^3+1)^Config!$G$14-($R$197+$M$197*Config!$H$14+$H$197*Config!$H$14^2+$C$197*Config!$H$14^3+1)^Config!$G$14</f>
        <v>0</v>
      </c>
      <c r="W89" s="905">
        <f>($W$197+$R$197*Config!$H$14+$M$197*Config!$H$14^2+$H$197*Config!$H$14^3+1)^Config!$G$14-($R$197+$M$197*Config!$H$14+$H$197*Config!$H$14^2+$C$197*Config!$H$14^3+1)^Config!$G$14</f>
        <v>0</v>
      </c>
      <c r="X89" s="703"/>
      <c r="Y89" s="617"/>
      <c r="Z89" s="644">
        <v>1848488.9849145198</v>
      </c>
      <c r="AA89" s="82">
        <v>100</v>
      </c>
      <c r="AB89" s="645">
        <v>1855379.9193322323</v>
      </c>
      <c r="AC89" s="82">
        <v>152</v>
      </c>
      <c r="AD89" s="645">
        <v>1857598.2252960617</v>
      </c>
      <c r="AE89" s="85">
        <v>310</v>
      </c>
      <c r="AI89" s="644">
        <v>1770637.0401717341</v>
      </c>
      <c r="AJ89" s="85">
        <v>61</v>
      </c>
    </row>
    <row r="90" spans="1:38" ht="12.9" customHeight="1" thickBot="1" x14ac:dyDescent="0.3">
      <c r="A90" s="907"/>
      <c r="B90" s="617"/>
      <c r="C90" s="617"/>
      <c r="D90" s="703"/>
      <c r="E90" s="617"/>
      <c r="F90" s="907"/>
      <c r="G90" s="617"/>
      <c r="H90" s="617"/>
      <c r="I90" s="703"/>
      <c r="J90" s="617"/>
      <c r="K90" s="907"/>
      <c r="L90" s="617"/>
      <c r="M90" s="617"/>
      <c r="N90" s="703"/>
      <c r="O90" s="617"/>
      <c r="P90" s="907"/>
      <c r="Q90" s="617"/>
      <c r="R90" s="617"/>
      <c r="S90" s="703"/>
      <c r="T90" s="617"/>
      <c r="U90" s="907"/>
      <c r="V90" s="617"/>
      <c r="W90" s="617"/>
      <c r="X90" s="703"/>
      <c r="Y90" s="617"/>
      <c r="Z90" s="644">
        <v>1855055.0600664807</v>
      </c>
      <c r="AA90" s="82">
        <v>101</v>
      </c>
      <c r="AB90" s="645">
        <v>1856619.0141285444</v>
      </c>
      <c r="AC90" s="82">
        <v>153</v>
      </c>
      <c r="AD90" s="645">
        <v>1857250.5488787866</v>
      </c>
      <c r="AE90" s="85">
        <v>311</v>
      </c>
      <c r="AI90" s="644">
        <v>1739935.2754636924</v>
      </c>
      <c r="AJ90" s="85">
        <v>71</v>
      </c>
      <c r="AL90" s="23"/>
    </row>
    <row r="91" spans="1:38" ht="12.9" customHeight="1" x14ac:dyDescent="0.25">
      <c r="A91" s="1116" t="str">
        <f>Lang!$A$83</f>
        <v>Manual correction</v>
      </c>
      <c r="B91" s="1117"/>
      <c r="C91" s="1118"/>
      <c r="D91" s="703"/>
      <c r="E91" s="617"/>
      <c r="F91" s="1116" t="str">
        <f>Lang!$A$83</f>
        <v>Manual correction</v>
      </c>
      <c r="G91" s="1117"/>
      <c r="H91" s="1118"/>
      <c r="I91" s="617"/>
      <c r="J91" s="617"/>
      <c r="K91" s="1116" t="str">
        <f>Lang!$A$83</f>
        <v>Manual correction</v>
      </c>
      <c r="L91" s="1117"/>
      <c r="M91" s="1118"/>
      <c r="N91" s="617"/>
      <c r="O91" s="617"/>
      <c r="P91" s="1116" t="str">
        <f>Lang!$A$83</f>
        <v>Manual correction</v>
      </c>
      <c r="Q91" s="1117"/>
      <c r="R91" s="1118"/>
      <c r="S91" s="617"/>
      <c r="T91" s="617"/>
      <c r="U91" s="1116" t="str">
        <f>Lang!$A$83</f>
        <v>Manual correction</v>
      </c>
      <c r="V91" s="1117"/>
      <c r="W91" s="1118"/>
      <c r="X91" s="703"/>
      <c r="Y91" s="617"/>
      <c r="Z91" s="646">
        <v>1856841.9250804633</v>
      </c>
      <c r="AA91" s="83">
        <v>102</v>
      </c>
      <c r="AB91" s="647">
        <v>1856841.9250804633</v>
      </c>
      <c r="AC91" s="83">
        <v>154</v>
      </c>
      <c r="AD91" s="647">
        <v>1856841.9250804633</v>
      </c>
      <c r="AE91" s="84">
        <v>312</v>
      </c>
      <c r="AI91" s="646">
        <v>1685122.5126709482</v>
      </c>
      <c r="AJ91" s="84">
        <v>81</v>
      </c>
    </row>
    <row r="92" spans="1:38" ht="12.9" customHeight="1" x14ac:dyDescent="0.25">
      <c r="A92" s="962">
        <v>-4.9327628971236527E-2</v>
      </c>
      <c r="B92" s="600">
        <v>-8.6064524232283376E-2</v>
      </c>
      <c r="C92" s="601">
        <v>-0.38367098267375283</v>
      </c>
      <c r="D92" s="617">
        <f>SUM(A92:C94)</f>
        <v>3.3517895999981886</v>
      </c>
      <c r="E92" s="617">
        <f>SUM('1'!R42:T44)</f>
        <v>1.7700000000000002</v>
      </c>
      <c r="F92" s="948">
        <v>-7.7238271256911961E-2</v>
      </c>
      <c r="G92" s="490">
        <v>-3.1294358912706849E-2</v>
      </c>
      <c r="H92" s="475">
        <v>-5.2960877180164595E-2</v>
      </c>
      <c r="I92" s="617">
        <f>SUM(F92:H94)</f>
        <v>3.000528338600696</v>
      </c>
      <c r="J92" s="617">
        <f>SUM('2'!R42:T44)</f>
        <v>1.7700000000000002</v>
      </c>
      <c r="K92" s="962">
        <v>0.15424607995173822</v>
      </c>
      <c r="L92" s="600">
        <v>9.0388662424076061E-2</v>
      </c>
      <c r="M92" s="601">
        <v>0.16758975078816585</v>
      </c>
      <c r="N92" s="617">
        <f>SUM(K92:M94)</f>
        <v>1.1333438642098592</v>
      </c>
      <c r="O92" s="617">
        <f>SUM('3'!R42:T44)</f>
        <v>0</v>
      </c>
      <c r="P92" s="962">
        <v>9.4147103304496493E-2</v>
      </c>
      <c r="Q92" s="600">
        <v>0.14186567507276593</v>
      </c>
      <c r="R92" s="601">
        <v>3.372323446103842E-2</v>
      </c>
      <c r="S92" s="617">
        <f>SUM(P92:R94)</f>
        <v>0.77428619874388338</v>
      </c>
      <c r="T92" s="617">
        <f>SUM('4'!R42:T44)</f>
        <v>0</v>
      </c>
      <c r="U92" s="948">
        <v>3.3195655537443247E-2</v>
      </c>
      <c r="V92" s="490">
        <v>-4.0598516898635917E-2</v>
      </c>
      <c r="W92" s="475">
        <v>-0.15809005674965829</v>
      </c>
      <c r="X92" s="617">
        <f>SUM(U92:W94)</f>
        <v>-0.28557084350710571</v>
      </c>
      <c r="Y92" s="617">
        <f>SUM('5'!R42:T44)</f>
        <v>-2.0842506328654609</v>
      </c>
      <c r="Z92" s="644">
        <v>1856454.0186631782</v>
      </c>
      <c r="AA92" s="82">
        <v>103</v>
      </c>
      <c r="AB92" s="645">
        <v>1856472.5445906413</v>
      </c>
      <c r="AC92" s="82">
        <v>155</v>
      </c>
      <c r="AD92" s="645">
        <v>1856384.8777188812</v>
      </c>
      <c r="AE92" s="85">
        <v>313</v>
      </c>
      <c r="AI92" s="644">
        <v>1635842.5132251435</v>
      </c>
      <c r="AJ92" s="85">
        <v>91</v>
      </c>
    </row>
    <row r="93" spans="1:38" ht="12.9" customHeight="1" x14ac:dyDescent="0.25">
      <c r="A93" s="962">
        <v>1.1568159898215602</v>
      </c>
      <c r="B93" s="600">
        <v>0.65046959223414846</v>
      </c>
      <c r="C93" s="601">
        <v>0.13317388829919752</v>
      </c>
      <c r="D93" s="703"/>
      <c r="E93" s="617"/>
      <c r="F93" s="948">
        <v>1.2555860304757342</v>
      </c>
      <c r="G93" s="490">
        <v>1.0219320395817986</v>
      </c>
      <c r="H93" s="475">
        <v>1.2186706988058273</v>
      </c>
      <c r="I93" s="703"/>
      <c r="J93" s="617"/>
      <c r="K93" s="962">
        <v>0.2279640366744754</v>
      </c>
      <c r="L93" s="600">
        <v>0.13481509258875307</v>
      </c>
      <c r="M93" s="601">
        <v>0.30337125273424326</v>
      </c>
      <c r="N93" s="703"/>
      <c r="O93" s="617"/>
      <c r="P93" s="962">
        <v>8.811816173827397E-2</v>
      </c>
      <c r="Q93" s="600">
        <v>0.13038521119045213</v>
      </c>
      <c r="R93" s="601">
        <v>2.0957482589532991E-2</v>
      </c>
      <c r="S93" s="703"/>
      <c r="T93" s="617"/>
      <c r="U93" s="948">
        <v>3.4264472079357122E-2</v>
      </c>
      <c r="V93" s="490">
        <v>-3.3992986001382244E-2</v>
      </c>
      <c r="W93" s="475">
        <v>-0.18630371482143632</v>
      </c>
      <c r="X93" s="703"/>
      <c r="Y93" s="617"/>
      <c r="Z93" s="644">
        <v>1855050.4315576442</v>
      </c>
      <c r="AA93" s="82">
        <v>104</v>
      </c>
      <c r="AB93" s="645">
        <v>1855749.9298240773</v>
      </c>
      <c r="AC93" s="82">
        <v>156</v>
      </c>
      <c r="AD93" s="645">
        <v>1855885.1996748538</v>
      </c>
      <c r="AE93" s="85">
        <v>314</v>
      </c>
      <c r="AI93" s="644">
        <v>1583247.676397525</v>
      </c>
      <c r="AJ93" s="85">
        <v>101</v>
      </c>
    </row>
    <row r="94" spans="1:38" ht="12.9" customHeight="1" thickBot="1" x14ac:dyDescent="0.3">
      <c r="A94" s="963">
        <v>0.98662900297487754</v>
      </c>
      <c r="B94" s="964">
        <v>0.664433094100357</v>
      </c>
      <c r="C94" s="965">
        <v>0.27933116844532041</v>
      </c>
      <c r="D94" s="703"/>
      <c r="E94" s="617"/>
      <c r="F94" s="949">
        <v>-0.14441024679469855</v>
      </c>
      <c r="G94" s="950">
        <v>-0.12074903502362033</v>
      </c>
      <c r="H94" s="951">
        <v>-6.9007641094561256E-2</v>
      </c>
      <c r="I94" s="703"/>
      <c r="J94" s="617"/>
      <c r="K94" s="963">
        <v>3.2871142643587481E-2</v>
      </c>
      <c r="L94" s="964">
        <v>-3.8681486674040144E-2</v>
      </c>
      <c r="M94" s="965">
        <v>6.0779333078859854E-2</v>
      </c>
      <c r="N94" s="703"/>
      <c r="O94" s="617"/>
      <c r="P94" s="963">
        <v>0.1106699078299147</v>
      </c>
      <c r="Q94" s="964">
        <v>0.11294461893918883</v>
      </c>
      <c r="R94" s="965">
        <v>4.147480361821991E-2</v>
      </c>
      <c r="S94" s="703"/>
      <c r="T94" s="617"/>
      <c r="U94" s="949">
        <v>6.2627907015587875E-2</v>
      </c>
      <c r="V94" s="950">
        <v>6.2919017483166084E-2</v>
      </c>
      <c r="W94" s="951">
        <v>-5.9592621151547301E-2</v>
      </c>
      <c r="X94" s="703"/>
      <c r="Y94" s="617"/>
      <c r="Z94" s="644">
        <v>1852998.2974987552</v>
      </c>
      <c r="AA94" s="82">
        <v>105</v>
      </c>
      <c r="AB94" s="645">
        <v>1854758.7497940185</v>
      </c>
      <c r="AC94" s="82">
        <v>157</v>
      </c>
      <c r="AD94" s="645">
        <v>1855347.6968018091</v>
      </c>
      <c r="AE94" s="85">
        <v>315</v>
      </c>
      <c r="AI94" s="644">
        <v>1535613.2219745815</v>
      </c>
      <c r="AJ94" s="85">
        <v>111</v>
      </c>
    </row>
    <row r="95" spans="1:38" ht="12.9" customHeight="1" thickBot="1" x14ac:dyDescent="0.3">
      <c r="A95" s="617"/>
      <c r="B95" s="617"/>
      <c r="C95" s="617"/>
      <c r="D95" s="703"/>
      <c r="E95" s="617"/>
      <c r="F95" s="617"/>
      <c r="G95" s="617"/>
      <c r="H95" s="617"/>
      <c r="I95" s="703"/>
      <c r="J95" s="617"/>
      <c r="K95" s="617"/>
      <c r="L95" s="617"/>
      <c r="M95" s="617"/>
      <c r="N95" s="703"/>
      <c r="O95" s="617"/>
      <c r="P95" s="617"/>
      <c r="Q95" s="617"/>
      <c r="R95" s="617"/>
      <c r="S95" s="703"/>
      <c r="T95" s="617"/>
      <c r="U95" s="617"/>
      <c r="V95" s="617"/>
      <c r="W95" s="617"/>
      <c r="X95" s="703"/>
      <c r="Y95" s="617"/>
      <c r="Z95" s="644">
        <v>1850506.6348638865</v>
      </c>
      <c r="AA95" s="82">
        <v>106</v>
      </c>
      <c r="AB95" s="645">
        <v>1853565.4893428967</v>
      </c>
      <c r="AC95" s="82">
        <v>158</v>
      </c>
      <c r="AD95" s="645">
        <v>1854776.4005902731</v>
      </c>
      <c r="AE95" s="85">
        <v>316</v>
      </c>
      <c r="AI95" s="644">
        <v>1459831.7202037871</v>
      </c>
      <c r="AJ95" s="85">
        <v>121</v>
      </c>
    </row>
    <row r="96" spans="1:38" ht="12.9" customHeight="1" x14ac:dyDescent="0.25">
      <c r="A96" s="1198" t="str">
        <f>Lang!$A$90</f>
        <v>Deviation</v>
      </c>
      <c r="B96" s="1199"/>
      <c r="C96" s="69">
        <v>0</v>
      </c>
      <c r="D96" s="703"/>
      <c r="E96" s="617"/>
      <c r="F96" s="1198" t="str">
        <f>A96</f>
        <v>Deviation</v>
      </c>
      <c r="G96" s="1199"/>
      <c r="H96" s="69">
        <v>0</v>
      </c>
      <c r="I96" s="703"/>
      <c r="J96" s="617"/>
      <c r="K96" s="1198" t="str">
        <f>A96</f>
        <v>Deviation</v>
      </c>
      <c r="L96" s="1199"/>
      <c r="M96" s="69">
        <v>0</v>
      </c>
      <c r="N96" s="703"/>
      <c r="O96" s="617"/>
      <c r="P96" s="1198" t="str">
        <f>A96</f>
        <v>Deviation</v>
      </c>
      <c r="Q96" s="1200"/>
      <c r="R96" s="69">
        <v>0</v>
      </c>
      <c r="S96" s="703"/>
      <c r="T96" s="617"/>
      <c r="U96" s="1198" t="str">
        <f>A96</f>
        <v>Deviation</v>
      </c>
      <c r="V96" s="1199"/>
      <c r="W96" s="69">
        <v>0</v>
      </c>
      <c r="X96" s="703"/>
      <c r="Y96" s="617"/>
      <c r="Z96" s="644">
        <v>1847680.8159421352</v>
      </c>
      <c r="AA96" s="82">
        <v>107</v>
      </c>
      <c r="AB96" s="645">
        <v>1852203.8981495681</v>
      </c>
      <c r="AC96" s="82">
        <v>159</v>
      </c>
      <c r="AD96" s="645">
        <v>1854174.7264179587</v>
      </c>
      <c r="AE96" s="85">
        <v>317</v>
      </c>
      <c r="AI96" s="644">
        <v>1381506.1679541518</v>
      </c>
      <c r="AJ96" s="85">
        <v>131</v>
      </c>
    </row>
    <row r="97" spans="1:36" ht="12.9" customHeight="1" thickBot="1" x14ac:dyDescent="0.3">
      <c r="A97" s="908">
        <f ca="1">IF('52'!U17&gt;0,'62'!U17/'52'!U17-1-A2,0)</f>
        <v>-4.4161493605004189E-2</v>
      </c>
      <c r="B97" s="909">
        <f ca="1">IF('52'!W17&gt;0,'62'!W17/'52'!W17-1-B2,0)</f>
        <v>2.0619478325167147E-2</v>
      </c>
      <c r="C97" s="910">
        <f ca="1">IF('52'!Y17&gt;0,'62'!Y17/'52'!Y17-1-C2,0)</f>
        <v>0.30363185171590779</v>
      </c>
      <c r="D97" s="617">
        <f ca="1">SUM(A97:C99)</f>
        <v>-0.71014277577200369</v>
      </c>
      <c r="E97" s="617">
        <f ca="1">SUM('1'!R47:T49)</f>
        <v>8.7474026381269582E-2</v>
      </c>
      <c r="F97" s="908">
        <f ca="1">IF('62'!U17&gt;0,'72'!U17/'62'!U17-1-F2,0)</f>
        <v>8.400894125226599E-3</v>
      </c>
      <c r="G97" s="909">
        <f ca="1">IF('62'!W17&gt;0,'72'!W17/'62'!W17-1-G2,0)</f>
        <v>-2.8889835298578498E-3</v>
      </c>
      <c r="H97" s="910">
        <f ca="1">IF('62'!Y17&gt;0,'72'!Y17/'62'!Y17-1-H2,0)</f>
        <v>-2.7626356642563799E-2</v>
      </c>
      <c r="I97" s="617">
        <f ca="1">SUM(F97:H99)</f>
        <v>-3.5506452080631066</v>
      </c>
      <c r="J97" s="617">
        <f ca="1">SUM('2'!R47:T49)</f>
        <v>-2.4833775763504273</v>
      </c>
      <c r="K97" s="908">
        <f ca="1">IF('72'!U17&gt;0,'82'!U17/'72'!U17-1-K2,0)</f>
        <v>-0.32001503739289144</v>
      </c>
      <c r="L97" s="909">
        <f ca="1">IF('72'!W17&gt;0,'82'!W17/'72'!W17-1-L2,0)</f>
        <v>-8.6589900464276073E-2</v>
      </c>
      <c r="M97" s="910">
        <f ca="1">IF('72'!Y17&gt;0,'82'!Y17/'72'!Y17-1-M2,0)</f>
        <v>-0.20613450854612358</v>
      </c>
      <c r="N97" s="617">
        <f ca="1">SUM(K97:M99)</f>
        <v>8.0060220789737429</v>
      </c>
      <c r="O97" s="617">
        <f ca="1">SUM('3'!R47:T49)</f>
        <v>6.3391810102229273</v>
      </c>
      <c r="P97" s="908">
        <f ca="1">IF('82'!U17&gt;0,'92'!U17/'82'!U17-1-P2,0)</f>
        <v>-1.094227296387805</v>
      </c>
      <c r="Q97" s="909">
        <f ca="1">IF('82'!W17&gt;0,'92'!W17/'82'!W17-1-Q2,0)</f>
        <v>-1.2705825918596045</v>
      </c>
      <c r="R97" s="910">
        <f ca="1">IF('82'!Y17&gt;0,'92'!Y17/'82'!Y17-1-R2,0)</f>
        <v>-1.1394064852386043</v>
      </c>
      <c r="S97" s="617">
        <f ca="1">SUM(P97:R99)</f>
        <v>-10.326082743518624</v>
      </c>
      <c r="T97" s="617">
        <f ca="1">SUM('4'!R47:T49)</f>
        <v>-11.764467606175049</v>
      </c>
      <c r="U97" s="908">
        <f>IF('92'!U17&gt;0,'102'!U17/'92'!U17-1-U2,0)</f>
        <v>0</v>
      </c>
      <c r="V97" s="909">
        <f>IF('92'!W17&gt;0,'102'!W17/'92'!W17-1-V2,0)</f>
        <v>0</v>
      </c>
      <c r="W97" s="910">
        <f>IF('92'!Y17&gt;0,'102'!Y17/'92'!Y17-1-W2,0)</f>
        <v>0</v>
      </c>
      <c r="X97" s="617">
        <f>SUM(U97:W99)</f>
        <v>0</v>
      </c>
      <c r="Y97" s="617">
        <f>SUM('5'!R47:T49)</f>
        <v>0</v>
      </c>
      <c r="Z97" s="648">
        <v>1844610.5746757765</v>
      </c>
      <c r="AA97" s="152">
        <v>108</v>
      </c>
      <c r="AB97" s="649">
        <v>1850697.9717264695</v>
      </c>
      <c r="AC97" s="152">
        <v>160</v>
      </c>
      <c r="AD97" s="649">
        <v>1856148.303524079</v>
      </c>
      <c r="AE97" s="153">
        <v>318</v>
      </c>
      <c r="AI97" s="648">
        <v>1304757.4991399476</v>
      </c>
      <c r="AJ97" s="153">
        <v>141</v>
      </c>
    </row>
    <row r="98" spans="1:36" ht="12.9" customHeight="1" thickBot="1" x14ac:dyDescent="0.3">
      <c r="A98" s="908">
        <f ca="1">IF('52'!U18&gt;0,'62'!U18/'52'!U18-1-A3,0)</f>
        <v>-1.0162479879147561</v>
      </c>
      <c r="B98" s="909">
        <f ca="1">IF('52'!W18&gt;0,'62'!W18/'52'!W18-1-B3,0)</f>
        <v>-0.43556342433176976</v>
      </c>
      <c r="C98" s="910">
        <f ca="1">IF('52'!Y18&gt;0,'62'!Y18/'52'!Y18-1-C3,0)</f>
        <v>-3.5394163992826355E-2</v>
      </c>
      <c r="D98" s="703"/>
      <c r="E98" s="617"/>
      <c r="F98" s="908">
        <f ca="1">IF('62'!U18&gt;0,'72'!U18/'62'!U18-1-F3,0)</f>
        <v>-1.8353090399349075</v>
      </c>
      <c r="G98" s="909">
        <f ca="1">IF('62'!W18&gt;0,'72'!W18/'62'!W18-1-G3,0)</f>
        <v>-1.3412811242495484</v>
      </c>
      <c r="H98" s="910">
        <f ca="1">IF('62'!Y18&gt;0,'72'!Y18/'62'!Y18-1-H3,0)</f>
        <v>-1.5285076180973651</v>
      </c>
      <c r="I98" s="703"/>
      <c r="J98" s="617"/>
      <c r="K98" s="908">
        <f ca="1">IF('72'!U18&gt;0,'82'!U18/'72'!U18-1-K3,0)</f>
        <v>3.999406975402688</v>
      </c>
      <c r="L98" s="909">
        <f ca="1">IF('72'!W18&gt;0,'82'!W18/'72'!W18-1-L3,0)</f>
        <v>1.8384058254462015</v>
      </c>
      <c r="M98" s="910">
        <f ca="1">IF('72'!Y18&gt;0,'82'!Y18/'72'!Y18-1-M3,0)</f>
        <v>1.804752325563888</v>
      </c>
      <c r="N98" s="703"/>
      <c r="O98" s="617"/>
      <c r="P98" s="908">
        <f ca="1">IF('82'!U18&gt;0,'92'!U18/'82'!U18-1-P3,0)</f>
        <v>-0.92411266329024921</v>
      </c>
      <c r="Q98" s="909">
        <f ca="1">IF('82'!W18&gt;0,'92'!W18/'82'!W18-1-Q3,0)</f>
        <v>-1.2413202296489168</v>
      </c>
      <c r="R98" s="910">
        <f ca="1">IF('82'!Y18&gt;0,'92'!Y18/'82'!Y18-1-R3,0)</f>
        <v>-1.1395603784334634</v>
      </c>
      <c r="S98" s="703"/>
      <c r="T98" s="617"/>
      <c r="U98" s="908">
        <f>IF('92'!U18&gt;0,'102'!U18/'92'!U18-1-U3,0)</f>
        <v>0</v>
      </c>
      <c r="V98" s="909">
        <f>IF('92'!W18&gt;0,'102'!W18/'92'!W18-1-V3,0)</f>
        <v>0</v>
      </c>
      <c r="W98" s="910">
        <f>IF('92'!Y18&gt;0,'102'!Y18/'92'!Y18-1-W3,0)</f>
        <v>0</v>
      </c>
      <c r="X98" s="703"/>
      <c r="Y98" s="617"/>
      <c r="AA98" s="771">
        <f t="array" ref="AA98">MAX(IF(Z101:Z113&lt;&gt;0,Z101:Z113,""))</f>
        <v>1005531.5686492192</v>
      </c>
      <c r="AC98" s="771">
        <f t="array" ref="AC98">MAX(IF(AB101:AB113&lt;&gt;0,AB101:AB113,""))</f>
        <v>1005531.5686492192</v>
      </c>
      <c r="AE98" s="771">
        <f t="array" ref="AE98">MAX(IF(AD101:AD113&lt;&gt;0,AD101:AD113,""))</f>
        <v>1005531.5686492192</v>
      </c>
      <c r="AJ98" s="771">
        <f t="array" ref="AJ98">MAX(IF(AI101:AI113&lt;&gt;0,AI101:AI113,""))</f>
        <v>1287410.4670395488</v>
      </c>
    </row>
    <row r="99" spans="1:36" ht="12.9" customHeight="1" thickBot="1" x14ac:dyDescent="0.3">
      <c r="A99" s="911">
        <f ca="1">IF('52'!U19&gt;0,'62'!U19/'52'!U19-1-A4,0)</f>
        <v>-0.19797118380275158</v>
      </c>
      <c r="B99" s="912">
        <f ca="1">IF('52'!W19&gt;0,'62'!W19/'52'!W19-1-B4,0)</f>
        <v>0.21604832661414197</v>
      </c>
      <c r="C99" s="913">
        <f ca="1">IF('52'!Y19&gt;0,'62'!Y19/'52'!Y19-1-C4,0)</f>
        <v>0.47889582121988739</v>
      </c>
      <c r="D99" s="617"/>
      <c r="E99" s="617"/>
      <c r="F99" s="911">
        <f ca="1">IF('62'!U19&gt;0,'72'!U19/'62'!U19-1-F4,0)</f>
        <v>0.32142412383632391</v>
      </c>
      <c r="G99" s="912">
        <f ca="1">IF('62'!W19&gt;0,'72'!W19/'62'!W19-1-G4,0)</f>
        <v>0.42879864874764861</v>
      </c>
      <c r="H99" s="913">
        <f ca="1">IF('62'!Y19&gt;0,'72'!Y19/'62'!Y19-1-H4,0)</f>
        <v>0.42634424768193724</v>
      </c>
      <c r="I99" s="617"/>
      <c r="J99" s="617"/>
      <c r="K99" s="911">
        <f ca="1">IF('72'!U19&gt;0,'82'!U19/'72'!U19-1-K4,0)</f>
        <v>0.4669314306901603</v>
      </c>
      <c r="L99" s="912">
        <f ca="1">IF('72'!W19&gt;0,'82'!W19/'72'!W19-1-L4,0)</f>
        <v>0.35631234757712943</v>
      </c>
      <c r="M99" s="913">
        <f ca="1">IF('72'!Y19&gt;0,'82'!Y19/'72'!Y19-1-M4,0)</f>
        <v>0.1529526206969668</v>
      </c>
      <c r="N99" s="617"/>
      <c r="O99" s="617"/>
      <c r="P99" s="911">
        <f ca="1">IF('82'!U19&gt;0,'92'!U19/'82'!U19-1-P4,0)</f>
        <v>-1.1410984727765923</v>
      </c>
      <c r="Q99" s="912">
        <f ca="1">IF('82'!W19&gt;0,'92'!W19/'82'!W19-1-Q4,0)</f>
        <v>-1.2295063593575069</v>
      </c>
      <c r="R99" s="913">
        <f ca="1">IF('82'!Y19&gt;0,'92'!Y19/'82'!Y19-1-R4,0)</f>
        <v>-1.146268266525881</v>
      </c>
      <c r="S99" s="617"/>
      <c r="T99" s="617"/>
      <c r="U99" s="911">
        <f>IF('92'!U19&gt;0,'102'!U19/'92'!U19-1-U4,0)</f>
        <v>0</v>
      </c>
      <c r="V99" s="912">
        <f>IF('92'!W19&gt;0,'102'!W19/'92'!W19-1-V4,0)</f>
        <v>0</v>
      </c>
      <c r="W99" s="913">
        <f>IF('92'!Y19&gt;0,'102'!Y19/'92'!Y19-1-W4,0)</f>
        <v>0</v>
      </c>
      <c r="X99" s="617"/>
      <c r="Y99" s="617"/>
      <c r="Z99" s="1080" t="str">
        <f>Lang!$A$188</f>
        <v>Commission</v>
      </c>
      <c r="AA99" s="1081"/>
      <c r="AB99" s="1081"/>
      <c r="AC99" s="1081"/>
      <c r="AD99" s="1081"/>
      <c r="AE99" s="1103"/>
      <c r="AI99" s="1080" t="str">
        <f>Lang!$A$53</f>
        <v>Training</v>
      </c>
      <c r="AJ99" s="1103"/>
    </row>
    <row r="100" spans="1:36" ht="12.9" customHeight="1" thickBot="1" x14ac:dyDescent="0.3">
      <c r="A100" s="2"/>
      <c r="B100" s="8"/>
      <c r="D100" s="2"/>
      <c r="F100" s="2"/>
      <c r="G100" s="8"/>
      <c r="I100" s="2"/>
      <c r="K100" s="1201">
        <f ca="1">IF(ISNUMBER($Z$307),$Z$307,0)</f>
        <v>0</v>
      </c>
      <c r="L100" s="1201"/>
      <c r="M100" s="1201"/>
      <c r="N100" s="2"/>
      <c r="P100" s="2"/>
      <c r="Q100" s="8"/>
      <c r="S100" s="2"/>
      <c r="U100" s="2"/>
      <c r="V100" s="8"/>
      <c r="X100" s="2"/>
      <c r="Z100" s="623" t="str">
        <f>Lang!$A$7</f>
        <v>Europe</v>
      </c>
      <c r="AA100" s="626">
        <f>INDEX(AA101:AA113,MATCH(AA98,Z101:Z113,0))</f>
        <v>0.05</v>
      </c>
      <c r="AB100" s="622" t="str">
        <f>Lang!$A$9</f>
        <v>Nafta</v>
      </c>
      <c r="AC100" s="626">
        <f>INDEX(AC101:AC113,MATCH(AC98,AB101:AB113,0))</f>
        <v>0.01</v>
      </c>
      <c r="AD100" s="622" t="str">
        <f>Lang!$A$11</f>
        <v>Internet</v>
      </c>
      <c r="AE100" s="627">
        <f>INDEX(AE101:AE113,MATCH(AE98,AD101:AD113,0))</f>
        <v>0.01</v>
      </c>
      <c r="AI100" s="807" t="str">
        <f>Lang!$A$145</f>
        <v>Profit</v>
      </c>
      <c r="AJ100" s="606">
        <f>INDEX(AJ101:AJ113,MATCH(AJ98,AI101:AI113,0))</f>
        <v>8</v>
      </c>
    </row>
    <row r="101" spans="1:36" ht="12.9" customHeight="1" x14ac:dyDescent="0.25">
      <c r="A101" s="1100" t="str">
        <f>Lang!$A$1</f>
        <v>Production plan</v>
      </c>
      <c r="B101" s="1101"/>
      <c r="C101" s="1101"/>
      <c r="D101" s="69">
        <v>0</v>
      </c>
      <c r="E101" s="2"/>
      <c r="F101" s="1100" t="str">
        <f>A101</f>
        <v>Production plan</v>
      </c>
      <c r="G101" s="1101"/>
      <c r="H101" s="1101"/>
      <c r="I101" s="69">
        <v>0</v>
      </c>
      <c r="J101" s="2"/>
      <c r="K101" s="1100" t="str">
        <f>A101</f>
        <v>Production plan</v>
      </c>
      <c r="L101" s="1101"/>
      <c r="M101" s="1101"/>
      <c r="N101" s="69">
        <v>0</v>
      </c>
      <c r="O101" s="2"/>
      <c r="P101" s="1100" t="str">
        <f>A101</f>
        <v>Production plan</v>
      </c>
      <c r="Q101" s="1101"/>
      <c r="R101" s="1101"/>
      <c r="S101" s="69">
        <v>0</v>
      </c>
      <c r="T101" s="2"/>
      <c r="U101" s="1100" t="str">
        <f>A101</f>
        <v>Production plan</v>
      </c>
      <c r="V101" s="1101"/>
      <c r="W101" s="1101"/>
      <c r="X101" s="69">
        <v>0</v>
      </c>
      <c r="Y101" s="2"/>
      <c r="Z101" s="644">
        <v>-3863042.1328444863</v>
      </c>
      <c r="AA101" s="104">
        <v>0.01</v>
      </c>
      <c r="AB101" s="645">
        <v>1005531.5686492192</v>
      </c>
      <c r="AC101" s="104">
        <v>0.01</v>
      </c>
      <c r="AD101" s="645">
        <v>1005531.5686492192</v>
      </c>
      <c r="AE101" s="103">
        <v>0.01</v>
      </c>
      <c r="AI101" s="644">
        <v>1279661.0790242157</v>
      </c>
      <c r="AJ101" s="85">
        <v>0</v>
      </c>
    </row>
    <row r="102" spans="1:36" ht="12.9" customHeight="1" x14ac:dyDescent="0.25">
      <c r="A102" s="897" t="str">
        <f>Lang!$A$7</f>
        <v>Europe</v>
      </c>
      <c r="B102" s="391">
        <f ca="1">MAX(IF($D$101=2,'62'!U12,IF($D$101=1,A224,IF($D224&gt;0,FLOOR(A224/$D224*CEILING($A224/500+$B224/250+$C224/125,1),1),0))),0)</f>
        <v>928</v>
      </c>
      <c r="C102" s="391">
        <f ca="1">MAX(IF($D$101=2,'62'!W12,IF($D$101=1,B224,IF($D224&gt;0,FLOOR(B224/$D224*CEILING($A224/500+$B224/250+$C224/125,1),1),0))),0)</f>
        <v>695</v>
      </c>
      <c r="D102" s="392">
        <f ca="1">MAX(IF($D$101=2,'62'!Y12,IF($D$101=1,C224,IF($D224&gt;0,FLOOR(C224/$D224*CEILING($A224/500+$B224/250+$C224/125,1),1),0))),0)</f>
        <v>295</v>
      </c>
      <c r="E102" s="447">
        <f ca="1">B102/500+C102/250+D102/125</f>
        <v>6.9960000000000004</v>
      </c>
      <c r="F102" s="897" t="str">
        <f>Lang!$A$7</f>
        <v>Europe</v>
      </c>
      <c r="G102" s="391">
        <f ca="1">MAX(IF($I$101=2,'72'!U12,IF($I$101=1,F224,IF($I224&gt;0,FLOOR(F224/$I224*CEILING($F224/500+$G224/250+$H224/125,1),1),0))),0)</f>
        <v>1334</v>
      </c>
      <c r="H102" s="391">
        <f ca="1">MAX(IF($I$101=2,'72'!W12,IF($I$101=1,G224,IF($I224&gt;0,FLOOR(G224/$I224*CEILING($F224/500+$G224/250+$H224/125,1),1),0))),0)</f>
        <v>741</v>
      </c>
      <c r="I102" s="392">
        <f ca="1">MAX(IF($I$101=2,'72'!Y12,IF($I$101=1,H224,IF($I224&gt;0,FLOOR(H224/$I224*CEILING($F224/500+$G224/250+$H224/125,1),1),0))),0)</f>
        <v>295</v>
      </c>
      <c r="J102" s="447">
        <f ca="1">G102/500+H102/250+I102/125</f>
        <v>7.9919999999999991</v>
      </c>
      <c r="K102" s="897" t="str">
        <f>Lang!$A$7</f>
        <v>Europe</v>
      </c>
      <c r="L102" s="391">
        <f ca="1">MAX(IF($N$101=2,'82'!U12,IF($N$101=1,K224,IF($N224&gt;0,FLOOR(K224/$N224*CEILING($K224/500+$L224/250+$M224/125,1),1),0))),0)</f>
        <v>1682</v>
      </c>
      <c r="M102" s="391">
        <f ca="1">MAX(IF($N$101=2,'82'!W12,IF($N$101=1,L224,IF($N224&gt;0,FLOOR(L224/$N224*CEILING($K224/500+$L224/250+$M224/125,1),1),0))),0)</f>
        <v>758</v>
      </c>
      <c r="N102" s="392">
        <f ca="1">MAX(IF($N$101=2,'82'!Y12,IF($N$101=1,M224,IF($N224&gt;0,FLOOR(M224/$N224*CEILING($K224/500+$L224/250+$M224/125,1),1),0))),0)</f>
        <v>325</v>
      </c>
      <c r="O102" s="447">
        <f ca="1">L102/500+M102/250+N102/125</f>
        <v>8.9960000000000004</v>
      </c>
      <c r="P102" s="897" t="str">
        <f>Lang!$A$7</f>
        <v>Europe</v>
      </c>
      <c r="Q102" s="391">
        <f ca="1">MAX(IF($S$101=2,'92'!U12,IF($S$101=1,P224,IF($S224&gt;0,FLOOR(P224/$S224*CEILING($P224/500+$Q224/250+$R224/125,1),1),0))),0)</f>
        <v>1614</v>
      </c>
      <c r="R102" s="391">
        <f ca="1">MAX(IF($S$101=2,'92'!W12,IF($S$101=1,Q224,IF($S224&gt;0,FLOOR(Q224/$S224*CEILING($P224/500+$Q224/250+$R224/125,1),1),0))),0)</f>
        <v>960</v>
      </c>
      <c r="S102" s="392">
        <f ca="1">MAX(IF($S$101=2,'92'!Y12,IF($S$101=1,R224,IF($S224&gt;0,FLOOR(R224/$S224*CEILING($P224/500+$Q224/250+$R224/125,1),1),0))),0)</f>
        <v>366</v>
      </c>
      <c r="T102" s="447">
        <f ca="1">Q102/500+R102/250+S102/125</f>
        <v>9.9959999999999987</v>
      </c>
      <c r="U102" s="897" t="str">
        <f>Lang!$A$7</f>
        <v>Europe</v>
      </c>
      <c r="V102" s="391">
        <f ca="1">MAX(IF($X$101=2,'102'!U12,IF($X$101=1,U224,IF($X224&gt;0,FLOOR(U224/$X224*CEILING($U224/500+$V224/250+$W224/125,1),1),0))),0)</f>
        <v>1582</v>
      </c>
      <c r="W102" s="391">
        <f ca="1">MAX(IF($X$101=2,'102'!W12,IF($X$101=1,V224,IF($X224&gt;0,FLOOR(V224/$X224*CEILING($U224/500+$V224/250+$W224/125,1),1),0))),0)</f>
        <v>865</v>
      </c>
      <c r="X102" s="392">
        <f ca="1">MAX(IF($X$101=2,'102'!Y12,IF($X$101=1,W224,IF($X224&gt;0,FLOOR(W224/$X224*CEILING($U224/500+$V224/250+$W224/125,1),1),0))),0)</f>
        <v>296</v>
      </c>
      <c r="Y102" s="447">
        <f ca="1">V102/500+W102/250+X102/125</f>
        <v>8.9920000000000009</v>
      </c>
      <c r="Z102" s="644">
        <v>-3863042.1328444863</v>
      </c>
      <c r="AA102" s="104">
        <v>0.01</v>
      </c>
      <c r="AB102" s="645">
        <v>1005531.5686492192</v>
      </c>
      <c r="AC102" s="104">
        <v>0.01</v>
      </c>
      <c r="AD102" s="645">
        <v>1005531.5686492192</v>
      </c>
      <c r="AE102" s="103">
        <v>0.01</v>
      </c>
      <c r="AI102" s="644">
        <v>1279661.0790242157</v>
      </c>
      <c r="AJ102" s="85">
        <v>0</v>
      </c>
    </row>
    <row r="103" spans="1:36" ht="12.9" customHeight="1" x14ac:dyDescent="0.25">
      <c r="A103" s="897" t="str">
        <f>Lang!$A$9</f>
        <v>Nafta</v>
      </c>
      <c r="B103" s="391">
        <f ca="1">MAX(IF($D$101=2,'62'!U13,IF($D$101=1,A225,IF($D225&gt;0,FLOOR(A225/$D225*CEILING($A225/500+$B225/250+$C225/125,1),1),0))),0)</f>
        <v>265</v>
      </c>
      <c r="C103" s="391">
        <f ca="1">MAX(IF($D$101=2,'62'!W13,IF($D$101=1,B225,IF($D225&gt;0,FLOOR(B225/$D225*CEILING($A225/500+$B225/250+$C225/125,1),1),0))),0)</f>
        <v>207</v>
      </c>
      <c r="D103" s="392">
        <f ca="1">MAX(IF($D$101=2,'62'!Y13,IF($D$101=1,C225,IF($D225&gt;0,FLOOR(C225/$D225*CEILING($A225/500+$B225/250+$C225/125,1),1),0))),0)</f>
        <v>79</v>
      </c>
      <c r="E103" s="447">
        <f ca="1">B103/500+C103/250+D103/125</f>
        <v>1.9900000000000002</v>
      </c>
      <c r="F103" s="897" t="str">
        <f>Lang!$A$9</f>
        <v>Nafta</v>
      </c>
      <c r="G103" s="391">
        <f ca="1">MAX(IF($I$101=2,'72'!U13,IF($I$101=1,F225,IF($I225&gt;0,FLOOR(F225/$I225*CEILING($F225/500+$G225/250+$H225/125,1),1),0))),0)</f>
        <v>800</v>
      </c>
      <c r="H103" s="391">
        <f ca="1">MAX(IF($I$101=2,'72'!W13,IF($I$101=1,G225,IF($I225&gt;0,FLOOR(G225/$I225*CEILING($F225/500+$G225/250+$H225/125,1),1),0))),0)</f>
        <v>459</v>
      </c>
      <c r="I103" s="392">
        <f ca="1">MAX(IF($I$101=2,'72'!Y13,IF($I$101=1,H225,IF($I225&gt;0,FLOOR(H225/$I225*CEILING($F225/500+$G225/250+$H225/125,1),1),0))),0)</f>
        <v>194</v>
      </c>
      <c r="J103" s="447">
        <f ca="1">G103/500+H103/250+I103/125</f>
        <v>4.9879999999999995</v>
      </c>
      <c r="K103" s="897" t="str">
        <f>Lang!$A$9</f>
        <v>Nafta</v>
      </c>
      <c r="L103" s="391">
        <f ca="1">MAX(IF($N$101=2,'82'!U13,IF($N$101=1,K225,IF($N225&gt;0,FLOOR(K225/$N225*CEILING($K225/500+$L225/250+$M225/125,1),1),0))),0)</f>
        <v>1066</v>
      </c>
      <c r="M103" s="391">
        <f ca="1">MAX(IF($N$101=2,'82'!W13,IF($N$101=1,L225,IF($N225&gt;0,FLOOR(L225/$N225*CEILING($K225/500+$L225/250+$M225/125,1),1),0))),0)</f>
        <v>483</v>
      </c>
      <c r="N103" s="392">
        <f ca="1">MAX(IF($N$101=2,'82'!Y13,IF($N$101=1,M225,IF($N225&gt;0,FLOOR(M225/$N225*CEILING($K225/500+$L225/250+$M225/125,1),1),0))),0)</f>
        <v>241</v>
      </c>
      <c r="O103" s="447">
        <f ca="1">L103/500+M103/250+N103/125</f>
        <v>5.992</v>
      </c>
      <c r="P103" s="897" t="str">
        <f>Lang!$A$9</f>
        <v>Nafta</v>
      </c>
      <c r="Q103" s="391">
        <f ca="1">MAX(IF($S$101=2,'92'!U13,IF($S$101=1,P225,IF($S225&gt;0,FLOOR(P225/$S225*CEILING($P225/500+$Q225/250+$R225/125,1),1),0))),0)</f>
        <v>740</v>
      </c>
      <c r="R103" s="391">
        <f ca="1">MAX(IF($S$101=2,'92'!W13,IF($S$101=1,Q225,IF($S225&gt;0,FLOOR(Q225/$S225*CEILING($P225/500+$Q225/250+$R225/125,1),1),0))),0)</f>
        <v>586</v>
      </c>
      <c r="S103" s="392">
        <f ca="1">MAX(IF($S$101=2,'92'!Y13,IF($S$101=1,R225,IF($S225&gt;0,FLOOR(R225/$S225*CEILING($P225/500+$Q225/250+$R225/125,1),1),0))),0)</f>
        <v>396</v>
      </c>
      <c r="T103" s="447">
        <f ca="1">Q103/500+R103/250+S103/125</f>
        <v>6.992</v>
      </c>
      <c r="U103" s="897" t="str">
        <f>Lang!$A$9</f>
        <v>Nafta</v>
      </c>
      <c r="V103" s="391">
        <f ca="1">MAX(IF($X$101=2,'102'!U13,IF($X$101=1,U225,IF($X225&gt;0,FLOOR(U225/$X225*CEILING($U225/500+$V225/250+$W225/125,1),1),0))),0)</f>
        <v>897</v>
      </c>
      <c r="W103" s="391">
        <f ca="1">MAX(IF($X$101=2,'102'!W13,IF($X$101=1,V225,IF($X225&gt;0,FLOOR(V225/$X225*CEILING($U225/500+$V225/250+$W225/125,1),1),0))),0)</f>
        <v>577</v>
      </c>
      <c r="X103" s="392">
        <f ca="1">MAX(IF($X$101=2,'102'!Y13,IF($X$101=1,W225,IF($X225&gt;0,FLOOR(W225/$X225*CEILING($U225/500+$V225/250+$W225/125,1),1),0))),0)</f>
        <v>236</v>
      </c>
      <c r="Y103" s="447">
        <f ca="1">V103/500+W103/250+X103/125</f>
        <v>5.99</v>
      </c>
      <c r="Z103" s="644">
        <v>-3863042.1328444863</v>
      </c>
      <c r="AA103" s="104">
        <v>0.01</v>
      </c>
      <c r="AB103" s="645">
        <v>1005531.5686492192</v>
      </c>
      <c r="AC103" s="104">
        <v>0.01</v>
      </c>
      <c r="AD103" s="645">
        <v>1005531.5686492192</v>
      </c>
      <c r="AE103" s="103">
        <v>0.01</v>
      </c>
      <c r="AI103" s="644">
        <v>1279661.0790242157</v>
      </c>
      <c r="AJ103" s="85">
        <v>0</v>
      </c>
    </row>
    <row r="104" spans="1:36" ht="12.9" customHeight="1" x14ac:dyDescent="0.25">
      <c r="A104" s="897" t="str">
        <f>Lang!$A$11</f>
        <v>Internet</v>
      </c>
      <c r="B104" s="391">
        <f ca="1">MAX(IF($D$101=2,'62'!U14,IF($D$101=1,A226,IF($D226&gt;0,FLOOR(A226/$D226*CEILING($A226/500+$B226/250+$C226/125,1),1),0))),0)</f>
        <v>639</v>
      </c>
      <c r="C104" s="391">
        <f ca="1">MAX(IF($D$101=2,'62'!W14,IF($D$101=1,B226,IF($D226&gt;0,FLOOR(B226/$D226*CEILING($A226/500+$B226/250+$C226/125,1),1),0))),0)</f>
        <v>357</v>
      </c>
      <c r="D104" s="392">
        <f ca="1">MAX(IF($D$101=2,'62'!Y14,IF($D$101=1,C226,IF($D226&gt;0,FLOOR(C226/$D226*CEILING($A226/500+$B226/250+$C226/125,1),1),0))),0)</f>
        <v>161</v>
      </c>
      <c r="E104" s="447">
        <f ca="1">B104/500+C104/250+D104/125</f>
        <v>3.9939999999999998</v>
      </c>
      <c r="F104" s="897" t="str">
        <f>Lang!$A$11</f>
        <v>Internet</v>
      </c>
      <c r="G104" s="391">
        <f ca="1">MAX(IF($I$101=2,'72'!U14,IF($I$101=1,F226,IF($I226&gt;0,FLOOR(F226/$I226*CEILING($F226/500+$G226/250+$H226/125,1),1),0))),0)</f>
        <v>639</v>
      </c>
      <c r="H104" s="391">
        <f ca="1">MAX(IF($I$101=2,'72'!W14,IF($I$101=1,G226,IF($I226&gt;0,FLOOR(G226/$I226*CEILING($F226/500+$G226/250+$H226/125,1),1),0))),0)</f>
        <v>205</v>
      </c>
      <c r="I104" s="392">
        <f ca="1">MAX(IF($I$101=2,'72'!Y14,IF($I$101=1,H226,IF($I226&gt;0,FLOOR(H226/$I226*CEILING($F226/500+$G226/250+$H226/125,1),1),0))),0)</f>
        <v>112</v>
      </c>
      <c r="J104" s="447">
        <f ca="1">G104/500+H104/250+I104/125</f>
        <v>2.9939999999999998</v>
      </c>
      <c r="K104" s="897" t="str">
        <f>Lang!$A$11</f>
        <v>Internet</v>
      </c>
      <c r="L104" s="391">
        <f ca="1">MAX(IF($N$101=2,'82'!U14,IF($N$101=1,K226,IF($N226&gt;0,FLOOR(K226/$N226*CEILING($K226/500+$L226/250+$M226/125,1),1),0))),0)</f>
        <v>697</v>
      </c>
      <c r="M104" s="391">
        <f ca="1">MAX(IF($N$101=2,'82'!W14,IF($N$101=1,L226,IF($N226&gt;0,FLOOR(L226/$N226*CEILING($K226/500+$L226/250+$M226/125,1),1),0))),0)</f>
        <v>188</v>
      </c>
      <c r="N104" s="392">
        <f ca="1">MAX(IF($N$101=2,'82'!Y14,IF($N$101=1,M226,IF($N226&gt;0,FLOOR(M226/$N226*CEILING($K226/500+$L226/250+$M226/125,1),1),0))),0)</f>
        <v>106</v>
      </c>
      <c r="O104" s="447">
        <f ca="1">L104/500+M104/250+N104/125</f>
        <v>2.9939999999999998</v>
      </c>
      <c r="P104" s="897" t="str">
        <f>Lang!$A$11</f>
        <v>Internet</v>
      </c>
      <c r="Q104" s="391">
        <f ca="1">MAX(IF($S$101=2,'92'!U14,IF($S$101=1,P226,IF($S226&gt;0,FLOOR(P226/$S226*CEILING($P226/500+$Q226/250+$R226/125,1),1),0))),0)</f>
        <v>495</v>
      </c>
      <c r="R104" s="391">
        <f ca="1">MAX(IF($S$101=2,'92'!W14,IF($S$101=1,Q226,IF($S226&gt;0,FLOOR(Q226/$S226*CEILING($P226/500+$Q226/250+$R226/125,1),1),0))),0)</f>
        <v>245</v>
      </c>
      <c r="S104" s="392">
        <f ca="1">MAX(IF($S$101=2,'92'!Y14,IF($S$101=1,R226,IF($S226&gt;0,FLOOR(R226/$S226*CEILING($P226/500+$Q226/250+$R226/125,1),1),0))),0)</f>
        <v>128</v>
      </c>
      <c r="T104" s="447">
        <f ca="1">Q104/500+R104/250+S104/125</f>
        <v>2.9939999999999998</v>
      </c>
      <c r="U104" s="897" t="str">
        <f>Lang!$A$11</f>
        <v>Internet</v>
      </c>
      <c r="V104" s="391">
        <f ca="1">MAX(IF($X$101=2,'102'!U14,IF($X$101=1,U226,IF($X226&gt;0,FLOOR(U226/$X226*CEILING($U226/500+$V226/250+$W226/125,1),1),0))),0)</f>
        <v>572</v>
      </c>
      <c r="W104" s="391">
        <f ca="1">MAX(IF($X$101=2,'102'!W14,IF($X$101=1,V226,IF($X226&gt;0,FLOOR(V226/$X226*CEILING($U226/500+$V226/250+$W226/125,1),1),0))),0)</f>
        <v>236</v>
      </c>
      <c r="X104" s="392">
        <f ca="1">MAX(IF($X$101=2,'102'!Y14,IF($X$101=1,W226,IF($X226&gt;0,FLOOR(W226/$X226*CEILING($U226/500+$V226/250+$W226/125,1),1),0))),0)</f>
        <v>113</v>
      </c>
      <c r="Y104" s="447">
        <f ca="1">V104/500+W104/250+X104/125</f>
        <v>2.992</v>
      </c>
      <c r="Z104" s="644">
        <v>-3195070.3274662215</v>
      </c>
      <c r="AA104" s="104">
        <v>0.02</v>
      </c>
      <c r="AB104" s="645">
        <v>1005531.5686492192</v>
      </c>
      <c r="AC104" s="104">
        <v>0.01</v>
      </c>
      <c r="AD104" s="645">
        <v>1005531.5686492192</v>
      </c>
      <c r="AE104" s="103">
        <v>0.01</v>
      </c>
      <c r="AI104" s="644">
        <v>1279661.0790242157</v>
      </c>
      <c r="AJ104" s="85">
        <v>0</v>
      </c>
    </row>
    <row r="105" spans="1:36" ht="12.9" customHeight="1" x14ac:dyDescent="0.25">
      <c r="A105" s="897" t="str">
        <f>Lang!$A$13</f>
        <v>Rejected</v>
      </c>
      <c r="B105" s="386">
        <f ca="1">IF(D$101=2,'62'!$U8+'62'!$U9,(B102+B103+B104)*AVERAGEIF(OFFSET(History!$J2:$J6,B253,),"&gt;0"))</f>
        <v>49.538001970443347</v>
      </c>
      <c r="C105" s="386">
        <f ca="1">IF(D$101=2,'62'!$W8+'62'!$W9,(C102+C103+C104)*AVERAGEIF(OFFSET(History!$K2:$K6,B253,),"&gt;0"))</f>
        <v>36.061738398061927</v>
      </c>
      <c r="D105" s="387">
        <f ca="1">IF(D$101=2,'62'!$Y8+'62'!$Y9,(D102+D103+D104)*AVERAGEIF(OFFSET(History!$L2:$L6,B253,),"&gt;0"))</f>
        <v>16.136860632183907</v>
      </c>
      <c r="E105" s="18"/>
      <c r="F105" s="897" t="str">
        <f>Lang!$A$13</f>
        <v>Rejected</v>
      </c>
      <c r="G105" s="386">
        <f ca="1">IF(I$101=2,'72'!$U8+'72'!$U9,(G102+G103+G104)*AVERAGEIF(OFFSET(History!$J2:$J6,G253,),"&gt;0"))</f>
        <v>75.832124532019705</v>
      </c>
      <c r="H105" s="386">
        <f ca="1">IF(I$101=2,'72'!$W8+'72'!$W9,(H102+H103+H104)*AVERAGEIF(OFFSET(History!$K2:$K6,G253,),"&gt;0"))</f>
        <v>40.700857748504809</v>
      </c>
      <c r="I105" s="387">
        <f ca="1">IF(I$101=2,'72'!$Y8+'72'!$Y9,(I102+I103+I104)*AVERAGEIF(OFFSET(History!$L2:$L6,G253,),"&gt;0"))</f>
        <v>18.108060919540229</v>
      </c>
      <c r="J105" s="18"/>
      <c r="K105" s="897" t="str">
        <f>Lang!$A$13</f>
        <v>Rejected</v>
      </c>
      <c r="L105" s="386">
        <f ca="1">IF(N$101=2,'82'!$U8+'82'!$U9,(L102+L103+L104)*AVERAGEIF(OFFSET(History!$J2:$J6,L253,),"&gt;0"))</f>
        <v>97.46651207134758</v>
      </c>
      <c r="M105" s="386">
        <f ca="1">IF(N$101=2,'82'!$W8+'82'!$W9,(M102+M103+M104)*AVERAGEIF(OFFSET(History!$K2:$K6,L253,),"&gt;0"))</f>
        <v>42.616886152292281</v>
      </c>
      <c r="N105" s="387">
        <f ca="1">IF(N$101=2,'82'!$Y8+'82'!$Y9,(N102+N103+N104)*AVERAGEIF(OFFSET(History!$L2:$L6,L253,),"&gt;0"))</f>
        <v>20.780039515377446</v>
      </c>
      <c r="O105" s="18"/>
      <c r="P105" s="897" t="str">
        <f>Lang!$A$13</f>
        <v>Rejected</v>
      </c>
      <c r="Q105" s="386">
        <f ca="1">IF(S$101=2,'92'!$U8+'92'!$U9,(Q102+Q103+Q104)*AVERAGEIF(OFFSET(History!$J2:$J6,Q253,),"&gt;0"))</f>
        <v>82.407687225725084</v>
      </c>
      <c r="R105" s="386">
        <f ca="1">IF(S$101=2,'92'!$W8+'92'!$W9,(R102+R103+R104)*AVERAGEIF(OFFSET(History!$K2:$K6,Q253,),"&gt;0"))</f>
        <v>54.816843412018024</v>
      </c>
      <c r="S105" s="387">
        <f ca="1">IF(S$101=2,'92'!$Y8+'92'!$Y9,(S102+S103+S104)*AVERAGEIF(OFFSET(History!$L2:$L6,Q253,),"&gt;0"))</f>
        <v>28.075162878571749</v>
      </c>
      <c r="T105" s="18"/>
      <c r="U105" s="897" t="str">
        <f>Lang!$A$13</f>
        <v>Rejected</v>
      </c>
      <c r="V105" s="386">
        <f ca="1">IF(X$101=2,'102'!$U8+'102'!$U9,(V102+V103+V104)*AVERAGEIF(OFFSET(History!$J2:$J6,V253,),"&gt;0"))</f>
        <v>88.548916137755739</v>
      </c>
      <c r="W105" s="386">
        <f ca="1">IF(X$101=2,'102'!$W8+'102'!$W9,(W102+W103+W104)*AVERAGEIF(OFFSET(History!$K2:$K6,V253,),"&gt;0"))</f>
        <v>51.912314852730653</v>
      </c>
      <c r="X105" s="387">
        <f ca="1">IF(X$101=2,'102'!$Y8+'102'!$Y9,(X102+X103+X104)*AVERAGEIF(OFFSET(History!$L2:$L6,V253,),"&gt;0"))</f>
        <v>19.847310535024821</v>
      </c>
      <c r="Y105" s="18"/>
      <c r="Z105" s="644">
        <v>-10422604.279080108</v>
      </c>
      <c r="AA105" s="104">
        <v>0.03</v>
      </c>
      <c r="AB105" s="645">
        <v>1005531.5686492192</v>
      </c>
      <c r="AC105" s="104">
        <v>0.01</v>
      </c>
      <c r="AD105" s="645">
        <v>1005531.5686492192</v>
      </c>
      <c r="AE105" s="103">
        <v>0.01</v>
      </c>
      <c r="AI105" s="644">
        <v>1279661.0790242157</v>
      </c>
      <c r="AJ105" s="85">
        <v>0</v>
      </c>
    </row>
    <row r="106" spans="1:36" ht="12.9" customHeight="1" x14ac:dyDescent="0.25">
      <c r="A106" s="897" t="str">
        <f>Lang!$A$16</f>
        <v>Guarantee</v>
      </c>
      <c r="B106" s="393">
        <f ca="1">IF(D$101=2,'62'!$U36,AVERAGE(OFFSET(History!$N2:$N6,B253,)))</f>
        <v>24</v>
      </c>
      <c r="C106" s="393">
        <f ca="1">IF(D$101=2,'62'!$W36,AVERAGE(OFFSET(History!$O2:$O6,B253,)))</f>
        <v>6</v>
      </c>
      <c r="D106" s="394">
        <f ca="1">IF(D$101=2,'62'!$Y36,AVERAGE(OFFSET(History!$P2:$P6,B253,)))</f>
        <v>3.6</v>
      </c>
      <c r="E106" s="2"/>
      <c r="F106" s="897" t="str">
        <f>Lang!$A$16</f>
        <v>Guarantee</v>
      </c>
      <c r="G106" s="393">
        <f ca="1">IF(I$101=2,'72'!$U36,AVERAGE(OFFSET(History!$N2:$N6,G253,)))</f>
        <v>32.200000000000003</v>
      </c>
      <c r="H106" s="393">
        <f ca="1">IF(I$101=2,'72'!$W36,AVERAGE(OFFSET(History!$O2:$O6,G253,)))</f>
        <v>11.2</v>
      </c>
      <c r="I106" s="394">
        <f ca="1">IF(I$101=2,'72'!$Y36,AVERAGE(OFFSET(History!$P2:$P6,G253,)))</f>
        <v>6.6</v>
      </c>
      <c r="J106" s="2"/>
      <c r="K106" s="897" t="str">
        <f>Lang!$A$16</f>
        <v>Guarantee</v>
      </c>
      <c r="L106" s="393">
        <f ca="1">IF(N$101=2,'82'!$U36,AVERAGE(OFFSET(History!$N2:$N6,L253,)))</f>
        <v>40.799999999999997</v>
      </c>
      <c r="M106" s="393">
        <f ca="1">IF(N$101=2,'82'!$W36,AVERAGE(OFFSET(History!$O2:$O6,L253,)))</f>
        <v>17</v>
      </c>
      <c r="N106" s="394">
        <f ca="1">IF(N$101=2,'82'!$Y36,AVERAGE(OFFSET(History!$P2:$P6,L253,)))</f>
        <v>9.8000000000000007</v>
      </c>
      <c r="O106" s="2"/>
      <c r="P106" s="897" t="str">
        <f>Lang!$A$16</f>
        <v>Guarantee</v>
      </c>
      <c r="Q106" s="393">
        <f ca="1">IF(S$101=2,'92'!$U36,AVERAGE(OFFSET(History!$N2:$N6,Q253,)))</f>
        <v>50.2</v>
      </c>
      <c r="R106" s="393">
        <f ca="1">IF(S$101=2,'92'!$W36,AVERAGE(OFFSET(History!$O2:$O6,Q253,)))</f>
        <v>23.4</v>
      </c>
      <c r="S106" s="394">
        <f ca="1">IF(S$101=2,'92'!$Y36,AVERAGE(OFFSET(History!$P2:$P6,Q253,)))</f>
        <v>13.2</v>
      </c>
      <c r="T106" s="2"/>
      <c r="U106" s="897" t="str">
        <f>Lang!$A$16</f>
        <v>Guarantee</v>
      </c>
      <c r="V106" s="393">
        <f ca="1">IF(X$101=2,'102'!$U36,AVERAGE(OFFSET(History!$N2:$N6,V253,)))</f>
        <v>46.4</v>
      </c>
      <c r="W106" s="393">
        <f ca="1">IF(X$101=2,'102'!$W36,AVERAGE(OFFSET(History!$O2:$O6,V253,)))</f>
        <v>21.2</v>
      </c>
      <c r="X106" s="394">
        <f ca="1">IF(X$101=2,'102'!$Y36,AVERAGE(OFFSET(History!$P2:$P6,V253,)))</f>
        <v>12</v>
      </c>
      <c r="Y106" s="2"/>
      <c r="Z106" s="644">
        <v>-10472701.274826761</v>
      </c>
      <c r="AA106" s="104">
        <v>0.04</v>
      </c>
      <c r="AB106" s="645">
        <v>1005531.5686492192</v>
      </c>
      <c r="AC106" s="104">
        <v>0.01</v>
      </c>
      <c r="AD106" s="645">
        <v>1005531.5686492192</v>
      </c>
      <c r="AE106" s="103">
        <v>0.01</v>
      </c>
      <c r="AI106" s="644">
        <v>1273266.916325917</v>
      </c>
      <c r="AJ106" s="85">
        <v>3</v>
      </c>
    </row>
    <row r="107" spans="1:36" ht="12.9" customHeight="1" x14ac:dyDescent="0.25">
      <c r="A107" s="897" t="str">
        <f>Lang!$A$20</f>
        <v>Components</v>
      </c>
      <c r="B107" s="393">
        <f>'52'!U45</f>
        <v>0</v>
      </c>
      <c r="C107" s="393">
        <f>'52'!W45</f>
        <v>0</v>
      </c>
      <c r="D107" s="394">
        <f>'52'!Y45</f>
        <v>0</v>
      </c>
      <c r="E107" s="473">
        <f ca="1">C113-(C113*0.25+(C158+C159)*25+(C171+C172)*10+FLOOR(IF(C182&gt;0,C182/1000*5,0),1)+(FLOOR(B107*0.25/6,1)+FLOOR(C107*0.5/6,1)+FLOOR(D107/6,1)))</f>
        <v>52</v>
      </c>
      <c r="F107" s="897" t="str">
        <f>Lang!$A$20</f>
        <v>Components</v>
      </c>
      <c r="G107" s="393">
        <f ca="1">B109</f>
        <v>0</v>
      </c>
      <c r="H107" s="393">
        <f ca="1">C109</f>
        <v>50</v>
      </c>
      <c r="I107" s="394">
        <f ca="1">D109</f>
        <v>50</v>
      </c>
      <c r="J107" s="473">
        <f ca="1">H113-(H113*0.25+(H158+H159)*25+(H171+H172)*10+FLOOR(IF(H182&gt;0,H182/1000*5,0),1)+(FLOOR(G107*0.25/6,1)+FLOOR(H107*0.5/6,1)+FLOOR(I107/6,1)))</f>
        <v>-10.75</v>
      </c>
      <c r="K107" s="897" t="str">
        <f>Lang!$A$20</f>
        <v>Components</v>
      </c>
      <c r="L107" s="393">
        <f ca="1">G109</f>
        <v>0</v>
      </c>
      <c r="M107" s="393">
        <f ca="1">H109</f>
        <v>0</v>
      </c>
      <c r="N107" s="394">
        <f ca="1">I109</f>
        <v>0</v>
      </c>
      <c r="O107" s="473">
        <f ca="1">M113-(M113*0.25+(M158+M159)*25+(M171+M172)*10+FLOOR(IF(M182&gt;0,M182/1000*5,0),1)+(FLOOR(L107*0.25/6,1)+FLOOR(M107*0.5/6,1)+FLOOR(N107/6,1)))</f>
        <v>0.75</v>
      </c>
      <c r="P107" s="897" t="str">
        <f>Lang!$A$20</f>
        <v>Components</v>
      </c>
      <c r="Q107" s="393">
        <f ca="1">L109</f>
        <v>0</v>
      </c>
      <c r="R107" s="393">
        <f ca="1">M109</f>
        <v>0</v>
      </c>
      <c r="S107" s="394">
        <f ca="1">N109</f>
        <v>0</v>
      </c>
      <c r="T107" s="473">
        <f ca="1">R113-(R113*0.25+(R158+R159)*25+(R171+R172)*10+FLOOR(IF(R182&gt;0,R182/1000*5,0),1)+(FLOOR(Q107*0.25/6,1)+FLOOR(R107*0.5/6,1)+FLOOR(S107/6,1)))</f>
        <v>20.75</v>
      </c>
      <c r="U107" s="897" t="str">
        <f>Lang!$A$20</f>
        <v>Components</v>
      </c>
      <c r="V107" s="393">
        <f ca="1">Q109</f>
        <v>300</v>
      </c>
      <c r="W107" s="393">
        <f ca="1">R109</f>
        <v>200</v>
      </c>
      <c r="X107" s="394">
        <f ca="1">S109</f>
        <v>100</v>
      </c>
      <c r="Y107" s="473">
        <f ca="1">W113-(W113*0.25+(W158+W159)*25+(W171+W172)*10+FLOOR(IF(W182&gt;0,W182/1000*5,0),1)+(FLOOR(V107*0.25/6,1)+FLOOR(W107*0.5/6,1)+FLOOR(X107/6,1)))</f>
        <v>-42.75</v>
      </c>
      <c r="Z107" s="646">
        <v>1005531.5686492192</v>
      </c>
      <c r="AA107" s="624">
        <v>0.05</v>
      </c>
      <c r="AB107" s="647">
        <v>1005531.5686492192</v>
      </c>
      <c r="AC107" s="624">
        <v>0.01</v>
      </c>
      <c r="AD107" s="647">
        <v>1005531.5686492192</v>
      </c>
      <c r="AE107" s="625">
        <v>0.01</v>
      </c>
      <c r="AI107" s="646">
        <v>1287410.4670395488</v>
      </c>
      <c r="AJ107" s="84">
        <v>8</v>
      </c>
    </row>
    <row r="108" spans="1:36" ht="12.9" customHeight="1" x14ac:dyDescent="0.25">
      <c r="A108" s="897" t="str">
        <f>Lang!$A$22</f>
        <v>Subcontracting</v>
      </c>
      <c r="B108" s="428">
        <v>0</v>
      </c>
      <c r="C108" s="428">
        <v>50</v>
      </c>
      <c r="D108" s="429">
        <v>50</v>
      </c>
      <c r="E108" s="628"/>
      <c r="F108" s="897" t="str">
        <f>Lang!$A$22</f>
        <v>Subcontracting</v>
      </c>
      <c r="G108" s="428">
        <v>0</v>
      </c>
      <c r="H108" s="428">
        <v>0</v>
      </c>
      <c r="I108" s="429">
        <v>0</v>
      </c>
      <c r="J108" s="2"/>
      <c r="K108" s="897" t="str">
        <f>Lang!$A$22</f>
        <v>Subcontracting</v>
      </c>
      <c r="L108" s="428">
        <v>0</v>
      </c>
      <c r="M108" s="428">
        <v>0</v>
      </c>
      <c r="N108" s="429">
        <v>0</v>
      </c>
      <c r="O108" s="2"/>
      <c r="P108" s="897" t="str">
        <f>Lang!$A$22</f>
        <v>Subcontracting</v>
      </c>
      <c r="Q108" s="428">
        <v>300</v>
      </c>
      <c r="R108" s="428">
        <v>200</v>
      </c>
      <c r="S108" s="429">
        <v>100</v>
      </c>
      <c r="T108" s="2"/>
      <c r="U108" s="897" t="str">
        <f>Lang!$A$22</f>
        <v>Subcontracting</v>
      </c>
      <c r="V108" s="428">
        <v>0</v>
      </c>
      <c r="W108" s="428">
        <v>0</v>
      </c>
      <c r="X108" s="429">
        <v>0</v>
      </c>
      <c r="Y108" s="2"/>
      <c r="Z108" s="644">
        <v>974732.45802835771</v>
      </c>
      <c r="AA108" s="104">
        <v>0.06</v>
      </c>
      <c r="AB108" s="645">
        <v>998795.95715147036</v>
      </c>
      <c r="AC108" s="104">
        <v>0.02</v>
      </c>
      <c r="AD108" s="645">
        <v>990711.15951818624</v>
      </c>
      <c r="AE108" s="103">
        <v>0.02</v>
      </c>
      <c r="AF108" s="23"/>
      <c r="AG108" s="23"/>
      <c r="AI108" s="644">
        <v>1281804.6950187711</v>
      </c>
      <c r="AJ108" s="85">
        <v>13</v>
      </c>
    </row>
    <row r="109" spans="1:36" x14ac:dyDescent="0.25">
      <c r="A109" s="897" t="str">
        <f>Lang!$A$23</f>
        <v>Components next quarter</v>
      </c>
      <c r="B109" s="393">
        <f ca="1">IF(SUM(B102:B105)&lt;B107,B107-SUM(B102:B105)+B108,B108)</f>
        <v>0</v>
      </c>
      <c r="C109" s="393">
        <f ca="1">IF(SUM(C102:C105)&lt;C107,C107-SUM(C102:C105)+C108,C108)</f>
        <v>50</v>
      </c>
      <c r="D109" s="394">
        <f ca="1">IF(SUM(D102:D105)&lt;D107,D107-SUM(D102:D105)+D108,D108)</f>
        <v>50</v>
      </c>
      <c r="E109" s="473">
        <f ca="1">C113-(C113*0.25+(C158+C159)*25+(C171+C172)*10+FLOOR(IF(C182&gt;0,C182/1000*5,0),1)+(FLOOR(B109*0.25/6,1)+FLOOR(C109*0.5/6,1)+FLOOR(D109/6,1)))</f>
        <v>40</v>
      </c>
      <c r="F109" s="897" t="str">
        <f>Lang!$A$23</f>
        <v>Components next quarter</v>
      </c>
      <c r="G109" s="393">
        <f ca="1">IF(SUM(G102:G105)&lt;G107,G107-SUM(G102:G105)+G108,G108)</f>
        <v>0</v>
      </c>
      <c r="H109" s="393">
        <f ca="1">IF(SUM(H102:H105)&lt;H107,H107-SUM(H102:H105)+H108,H108)</f>
        <v>0</v>
      </c>
      <c r="I109" s="394">
        <f ca="1">IF(SUM(I102:I105)&lt;I107,I107-SUM(I102:I105)+I108,I108)</f>
        <v>0</v>
      </c>
      <c r="J109" s="473">
        <f ca="1">H113-(H113*0.25+(H158+H159)*25+(H171+H172)*10+FLOOR(IF(H182&gt;0,H182/1000*5,0),1)+(FLOOR(G109*0.25/6,1)+FLOOR(H109*0.5/6,1)+FLOOR(I109/6,1)))</f>
        <v>1.25</v>
      </c>
      <c r="K109" s="897" t="str">
        <f>Lang!$A$23</f>
        <v>Components next quarter</v>
      </c>
      <c r="L109" s="393">
        <f ca="1">IF(SUM(L102:L105)&lt;L107,L107-SUM(L102:L105)+L108,L108)</f>
        <v>0</v>
      </c>
      <c r="M109" s="393">
        <f ca="1">IF(SUM(M102:M105)&lt;M107,M107-SUM(M102:M105)+M108,M108)</f>
        <v>0</v>
      </c>
      <c r="N109" s="394">
        <f ca="1">IF(SUM(N102:N105)&lt;N107,N107-SUM(N102:N105)+N108,N108)</f>
        <v>0</v>
      </c>
      <c r="O109" s="473">
        <f ca="1">M113-(M113*0.25+(M158+M159)*25+(M171+M172)*10+FLOOR(IF(M182&gt;0,M182/1000*5,0),1)+(FLOOR(L109*0.25/6,1)+FLOOR(M109*0.5/6,1)+FLOOR(N109/6,1)))</f>
        <v>0.75</v>
      </c>
      <c r="P109" s="897" t="str">
        <f>Lang!$A$23</f>
        <v>Components next quarter</v>
      </c>
      <c r="Q109" s="393">
        <f ca="1">IF(SUM(Q102:Q105)&lt;Q107,Q107-SUM(Q102:Q105)+Q108,Q108)</f>
        <v>300</v>
      </c>
      <c r="R109" s="393">
        <f ca="1">IF(SUM(R102:R105)&lt;R107,R107-SUM(R102:R105)+R108,R108)</f>
        <v>200</v>
      </c>
      <c r="S109" s="394">
        <f ca="1">IF(SUM(S102:S105)&lt;S107,S107-SUM(S102:S105)+S108,S108)</f>
        <v>100</v>
      </c>
      <c r="T109" s="473">
        <f ca="1">R113-(R113*0.25+(R158+R159)*25+(R171+R172)*10+FLOOR(IF(R182&gt;0,R182/1000*5,0),1)+(FLOOR(Q109*0.25/6,1)+FLOOR(R109*0.5/6,1)+FLOOR(S109/6,1)))</f>
        <v>-23.25</v>
      </c>
      <c r="U109" s="897" t="str">
        <f>Lang!$A$23</f>
        <v>Components next quarter</v>
      </c>
      <c r="V109" s="393">
        <f ca="1">IF(SUM(V102:V105)&lt;V107,V107-SUM(V102:V105)+V108,V108)</f>
        <v>0</v>
      </c>
      <c r="W109" s="393">
        <f ca="1">IF(SUM(W102:W105)&lt;W107,W107-SUM(W102:W105)+W108,W108)</f>
        <v>0</v>
      </c>
      <c r="X109" s="394">
        <f ca="1">IF(SUM(X102:X105)&lt;X107,X107-SUM(X102:X105)+X108,X108)</f>
        <v>0</v>
      </c>
      <c r="Y109" s="473">
        <f ca="1">W113-(W113*0.25+(W158+W159)*25+(W171+W172)*10+FLOOR(IF(W182&gt;0,W182/1000*5,0),1)+(FLOOR(V109*0.25/6,1)+FLOOR(W109*0.5/6,1)+FLOOR(X109/6,1)))</f>
        <v>1.25</v>
      </c>
      <c r="Z109" s="644">
        <v>969946.09134064591</v>
      </c>
      <c r="AA109" s="104">
        <v>7.0000000000000007E-2</v>
      </c>
      <c r="AB109" s="645">
        <v>986200.08406956575</v>
      </c>
      <c r="AC109" s="104">
        <v>0.03</v>
      </c>
      <c r="AD109" s="645">
        <v>967822.94353123242</v>
      </c>
      <c r="AE109" s="103">
        <v>0.03</v>
      </c>
      <c r="AI109" s="644">
        <v>1275158.2636269471</v>
      </c>
      <c r="AJ109" s="85">
        <v>18</v>
      </c>
    </row>
    <row r="110" spans="1:36" x14ac:dyDescent="0.25">
      <c r="A110" s="13" t="str">
        <f>Lang!$A$26</f>
        <v>Price components</v>
      </c>
      <c r="B110" s="398">
        <f ca="1">IF(C190&gt;0,INT(B184*C190/1000)+60,0)+(IF(C190&gt;0,INT(B184*1.5*C190/1000)+60,0)-IF(C190&gt;0,INT(B184*C190/1000)+60,0))*B122</f>
        <v>125.96</v>
      </c>
      <c r="C110" s="398">
        <f ca="1">IF(C190&gt;0,INT(2*C190*B184/1000)+75,0)+(IF(C190&gt;0,INT(2*C190*1.5*B184/1000)+75,0)-IF(C190&gt;0,INT(2*C190*B184/1000)+75,0))*C122</f>
        <v>205</v>
      </c>
      <c r="D110" s="399">
        <f ca="1">IF(C190&gt;0,INT(3*C190*B184/1000)+120,0)+(IF(C190&gt;0,INT(3*C190*1.5*B184/1000)+120,0)-IF(C190&gt;0,INT(3*C190*B184/1000)+120,0))*D122</f>
        <v>315</v>
      </c>
      <c r="E110" s="2"/>
      <c r="F110" s="13" t="str">
        <f>Lang!$A$26</f>
        <v>Price components</v>
      </c>
      <c r="G110" s="398">
        <f ca="1">IF(H190&gt;0,INT(G184*H190/1000)+60,0)+(IF(H190&gt;0,INT(G184*1.5*H190/1000)+60,0)-IF(H190&gt;0,INT(G184*H190/1000)+60,0))*G122</f>
        <v>127.65</v>
      </c>
      <c r="H110" s="398">
        <f ca="1">IF(H190&gt;0,INT(2*H190*G184/1000)+75,0)+(IF(H190&gt;0,INT(2*H190*1.5*G184/1000)+75,0)-IF(H190&gt;0,INT(2*H190*G184/1000)+75,0))*H122</f>
        <v>207</v>
      </c>
      <c r="I110" s="399">
        <f ca="1">IF(H190&gt;0,INT(3*H190*G184/1000)+120,0)+(IF(H190&gt;0,INT(3*H190*1.5*G184/1000)+120,0)-IF(H190&gt;0,INT(3*H190*G184/1000)+120,0))*I122</f>
        <v>318</v>
      </c>
      <c r="J110" s="2"/>
      <c r="K110" s="13" t="str">
        <f>Lang!$A$26</f>
        <v>Price components</v>
      </c>
      <c r="L110" s="398">
        <f ca="1">IF(M190&gt;0,INT(L184*M190/1000)+60,0)+(IF(M190&gt;0,INT(L184*1.5*M190/1000)+60,0)-IF(M190&gt;0,INT(L184*M190/1000)+60,0))*L122</f>
        <v>129.80000000000001</v>
      </c>
      <c r="M110" s="398">
        <f ca="1">IF(M190&gt;0,INT(2*M190*L184/1000)+75,0)+(IF(M190&gt;0,INT(2*M190*1.5*L184/1000)+75,0)-IF(M190&gt;0,INT(2*M190*L184/1000)+75,0))*M122</f>
        <v>210.2</v>
      </c>
      <c r="N110" s="399">
        <f ca="1">IF(M190&gt;0,INT(3*M190*L184/1000)+120,0)+(IF(M190&gt;0,INT(3*M190*1.5*L184/1000)+120,0)-IF(M190&gt;0,INT(3*M190*L184/1000)+120,0))*N122</f>
        <v>319.85000000000002</v>
      </c>
      <c r="O110" s="2"/>
      <c r="P110" s="13" t="str">
        <f>Lang!$A$26</f>
        <v>Price components</v>
      </c>
      <c r="Q110" s="398">
        <f ca="1">IF(R190&gt;0,INT(Q184*R190/1000)+60,0)+(IF(R190&gt;0,INT(Q184*1.5*R190/1000)+60,0)-IF(R190&gt;0,INT(Q184*R190/1000)+60,0))*Q122</f>
        <v>126.65</v>
      </c>
      <c r="R110" s="398">
        <f ca="1">IF(R190&gt;0,INT(2*R190*Q184/1000)+75,0)+(IF(R190&gt;0,INT(2*R190*1.5*Q184/1000)+75,0)-IF(R190&gt;0,INT(2*R190*Q184/1000)+75,0))*R122</f>
        <v>207.98</v>
      </c>
      <c r="S110" s="399">
        <f ca="1">IF(R190&gt;0,INT(3*R190*Q184/1000)+120,0)+(IF(R190&gt;0,INT(3*R190*1.5*Q184/1000)+120,0)-IF(R190&gt;0,INT(3*R190*Q184/1000)+120,0))*S122</f>
        <v>318.98</v>
      </c>
      <c r="T110" s="2"/>
      <c r="U110" s="13" t="str">
        <f>Lang!$A$26</f>
        <v>Price components</v>
      </c>
      <c r="V110" s="398">
        <f ca="1">IF(W190&gt;0,INT(V184*W190/1000)+60,0)+(IF(W190&gt;0,INT(V184*1.5*W190/1000)+60,0)-IF(W190&gt;0,INT(V184*W190/1000)+60,0))*V122</f>
        <v>132.26</v>
      </c>
      <c r="W110" s="398">
        <f ca="1">IF(W190&gt;0,INT(2*W190*V184/1000)+75,0)+(IF(W190&gt;0,INT(2*W190*1.5*V184/1000)+75,0)-IF(W190&gt;0,INT(2*W190*V184/1000)+75,0))*W122</f>
        <v>220.52</v>
      </c>
      <c r="X110" s="399">
        <f ca="1">IF(W190&gt;0,INT(3*W190*V184/1000)+120,0)+(IF(W190&gt;0,INT(3*W190*1.5*V184/1000)+120,0)-IF(W190&gt;0,INT(3*W190*V184/1000)+120,0))*X122</f>
        <v>326.89999999999998</v>
      </c>
      <c r="Y110" s="2"/>
      <c r="Z110" s="644">
        <v>929002.59118931345</v>
      </c>
      <c r="AA110" s="104">
        <v>0.08</v>
      </c>
      <c r="AB110" s="645">
        <v>969696.51963420934</v>
      </c>
      <c r="AC110" s="104">
        <v>0.04</v>
      </c>
      <c r="AD110" s="645">
        <v>939691.89731424639</v>
      </c>
      <c r="AE110" s="103">
        <v>0.04</v>
      </c>
      <c r="AI110" s="644">
        <v>1270496.660429833</v>
      </c>
      <c r="AJ110" s="85">
        <v>23</v>
      </c>
    </row>
    <row r="111" spans="1:36" x14ac:dyDescent="0.25">
      <c r="A111" s="13" t="str">
        <f>Lang!$A$28</f>
        <v>Price production</v>
      </c>
      <c r="B111" s="398">
        <f ca="1">((SUM(B568:B570)+SUM(B576:B578)+SUM(B580:B582))+($A434+$A474+$A478)/$A491*SUM(B492:B494))/SUM(B102:B105)</f>
        <v>147.95160302471336</v>
      </c>
      <c r="C111" s="398">
        <f ca="1">((SUM(C568:C570)+SUM(C576:C578)+SUM(C580:C582))+($A434+$A474+$A478)/$A491*SUM(C492:C494))/SUM(C102:C105)</f>
        <v>235.1231670451526</v>
      </c>
      <c r="D111" s="399">
        <f ca="1">((SUM(D568:D570)+SUM(D576:D578)+SUM(D580:D582))+($A434+$A474+$A478)/$A491*SUM(D492:D494))/SUM(D102:D105)</f>
        <v>362.46749648976618</v>
      </c>
      <c r="E111" s="2"/>
      <c r="F111" s="13" t="str">
        <f>Lang!$A$28</f>
        <v>Price production</v>
      </c>
      <c r="G111" s="422">
        <f ca="1">((SUM(G568:G570)+SUM(G576:G578)+SUM(G580:G582))+($F434+$F474+$F478)/$F491*SUM(G492:G494))/SUM(G102:G105)</f>
        <v>156.73592868903847</v>
      </c>
      <c r="H111" s="422">
        <f ca="1">((SUM(H568:H570)+SUM(H576:H578)+SUM(H580:H582))+($F434+$F474+$F478)/$F491*SUM(H492:H494))/SUM(H102:H105)</f>
        <v>243.17029594532696</v>
      </c>
      <c r="I111" s="423">
        <f ca="1">((SUM(I568:I570)+SUM(I576:I578)+SUM(I580:I582))+($F434+$F474+$F478)/$F491*SUM(I492:I494))/SUM(I102:I105)</f>
        <v>375.76607033748081</v>
      </c>
      <c r="J111" s="685"/>
      <c r="K111" s="13" t="str">
        <f>Lang!$A$28</f>
        <v>Price production</v>
      </c>
      <c r="L111" s="422">
        <f ca="1">((SUM(L568:L570)+SUM(L576:L578)+SUM(L580:L582))+($K434+$K474+$K478)/$K491*SUM(L492:L494))/SUM(L102:L105)</f>
        <v>156.99290695797478</v>
      </c>
      <c r="M111" s="422">
        <f ca="1">((SUM(M568:M570)+SUM(M576:M578)+SUM(M580:M582))+($K434+$K474+$K478)/$K491*SUM(M492:M494))/SUM(M102:M105)</f>
        <v>241.08524100573368</v>
      </c>
      <c r="N111" s="423">
        <f ca="1">((SUM(N568:N570)+SUM(N576:N578)+SUM(N580:N582))+($K434+$K474+$K478)/$K491*SUM(N492:N494))/SUM(N102:N105)</f>
        <v>369.22630040976793</v>
      </c>
      <c r="O111" s="2"/>
      <c r="P111" s="13" t="str">
        <f>Lang!$A$28</f>
        <v>Price production</v>
      </c>
      <c r="Q111" s="422">
        <f ca="1">((SUM(Q568:Q570)+SUM(Q576:Q578)+SUM(Q580:Q582))+($P434+$P474+$P478)/$P491*SUM(Q492:Q494))/SUM(Q102:Q105)</f>
        <v>157.84912259233451</v>
      </c>
      <c r="R111" s="422">
        <f ca="1">((SUM(R568:R570)+SUM(R576:R578)+SUM(R580:R582))+($P434+$P474+$P478)/$P491*SUM(R492:R494))/SUM(R102:R105)</f>
        <v>243.24325521427417</v>
      </c>
      <c r="S111" s="423">
        <f ca="1">((SUM(S568:S570)+SUM(S576:S578)+SUM(S580:S582))+($P434+$P474+$P478)/$P491*SUM(S492:S494))/SUM(S102:S105)</f>
        <v>375.34270569467219</v>
      </c>
      <c r="T111" s="2"/>
      <c r="U111" s="13" t="str">
        <f>Lang!$A$28</f>
        <v>Price production</v>
      </c>
      <c r="V111" s="422" t="e">
        <f ca="1">((SUM(V568:V570)+SUM(V576:V578)+SUM(V580:V582))+($U434+$U474+$U478)/$U491*SUM(V492:V494))/SUM(V102:V105)</f>
        <v>#DIV/0!</v>
      </c>
      <c r="W111" s="422" t="e">
        <f ca="1">((SUM(W568:W570)+SUM(W576:W578)+SUM(W580:W582))+($U434+$U474+$U478)/$U491*SUM(W492:W494))/SUM(W102:W105)</f>
        <v>#DIV/0!</v>
      </c>
      <c r="X111" s="423" t="e">
        <f ca="1">((SUM(X568:X570)+SUM(X576:X578)+SUM(X580:X582))+($U434+$U474+$U478)/$U491*SUM(X492:X494))/SUM(X102:X105)</f>
        <v>#DIV/0!</v>
      </c>
      <c r="Y111" s="2"/>
      <c r="Z111" s="644">
        <v>891145.49341249431</v>
      </c>
      <c r="AA111" s="104">
        <v>0.09</v>
      </c>
      <c r="AB111" s="645">
        <v>954186.50462134695</v>
      </c>
      <c r="AC111" s="104">
        <v>0.05</v>
      </c>
      <c r="AD111" s="645">
        <v>911323.93879119749</v>
      </c>
      <c r="AE111" s="103">
        <v>0.05</v>
      </c>
      <c r="AI111" s="644">
        <v>1265591.1604210823</v>
      </c>
      <c r="AJ111" s="85">
        <v>28</v>
      </c>
    </row>
    <row r="112" spans="1:36" x14ac:dyDescent="0.25">
      <c r="A112" s="894" t="str">
        <f>Lang!$A$33</f>
        <v>CO2</v>
      </c>
      <c r="B112" s="895" t="str">
        <f>Lang!$A$34</f>
        <v>Available space</v>
      </c>
      <c r="C112" s="895" t="str">
        <f>Lang!$A$35</f>
        <v>Factory</v>
      </c>
      <c r="D112" s="493" t="str">
        <f>Lang!$A$36</f>
        <v>Space</v>
      </c>
      <c r="F112" s="894" t="str">
        <f>Lang!$A$33</f>
        <v>CO2</v>
      </c>
      <c r="G112" s="895" t="str">
        <f>Lang!$A$34</f>
        <v>Available space</v>
      </c>
      <c r="H112" s="895" t="str">
        <f>Lang!$A$35</f>
        <v>Factory</v>
      </c>
      <c r="I112" s="493" t="str">
        <f>Lang!$A$36</f>
        <v>Space</v>
      </c>
      <c r="K112" s="894" t="str">
        <f>Lang!$A$33</f>
        <v>CO2</v>
      </c>
      <c r="L112" s="895" t="str">
        <f>Lang!$A$34</f>
        <v>Available space</v>
      </c>
      <c r="M112" s="895" t="str">
        <f>Lang!$A$35</f>
        <v>Factory</v>
      </c>
      <c r="N112" s="493" t="str">
        <f>Lang!$A$36</f>
        <v>Space</v>
      </c>
      <c r="P112" s="894" t="str">
        <f>Lang!$A$33</f>
        <v>CO2</v>
      </c>
      <c r="Q112" s="895" t="str">
        <f>Lang!$A$34</f>
        <v>Available space</v>
      </c>
      <c r="R112" s="895" t="str">
        <f>Lang!$A$35</f>
        <v>Factory</v>
      </c>
      <c r="S112" s="493" t="str">
        <f>Lang!$A$36</f>
        <v>Space</v>
      </c>
      <c r="U112" s="894" t="str">
        <f>Lang!$A$33</f>
        <v>CO2</v>
      </c>
      <c r="V112" s="895" t="str">
        <f>Lang!$A$34</f>
        <v>Available space</v>
      </c>
      <c r="W112" s="895" t="str">
        <f>Lang!$A$35</f>
        <v>Factory</v>
      </c>
      <c r="X112" s="493" t="str">
        <f>Lang!$A$36</f>
        <v>Space</v>
      </c>
      <c r="Z112" s="644">
        <v>882615.99564706523</v>
      </c>
      <c r="AA112" s="104">
        <v>0.1</v>
      </c>
      <c r="AB112" s="645">
        <v>937114.89854545565</v>
      </c>
      <c r="AC112" s="104">
        <v>0.06</v>
      </c>
      <c r="AD112" s="645">
        <v>880974.18660254218</v>
      </c>
      <c r="AE112" s="103">
        <v>0.06</v>
      </c>
      <c r="AI112" s="644">
        <v>1261298.7622305811</v>
      </c>
      <c r="AJ112" s="85">
        <v>33</v>
      </c>
    </row>
    <row r="113" spans="1:36" ht="12.75" customHeight="1" thickBot="1" x14ac:dyDescent="0.3">
      <c r="A113" s="525">
        <f ca="1">0.00019*50*C113+0.00052*(6*C153+C166)</f>
        <v>25.506536037648456</v>
      </c>
      <c r="B113" s="505">
        <f ca="1">'52'!G7-'52'!G8-'52'!G10-D113</f>
        <v>300</v>
      </c>
      <c r="C113" s="401">
        <f ca="1">'52'!G10+D113</f>
        <v>500</v>
      </c>
      <c r="D113" s="551">
        <f ca="1">IF(D101=2,'61'!$P$32,IF(E113&lt;0,CEILING(-E113,1),0))</f>
        <v>0</v>
      </c>
      <c r="E113" s="473">
        <f ca="1">('52'!G10-('52'!G10*0.25+(C158+C159)*25+(C171+C172+C173)*10+FLOOR(IF(C182&gt;0,C182/1000*5,0),1)))*1.4</f>
        <v>58.8</v>
      </c>
      <c r="F113" s="525">
        <f ca="1">0.00019*50*H113+0.00052*(6*H153+H166)</f>
        <v>31.509772577464048</v>
      </c>
      <c r="G113" s="505">
        <f ca="1">B113-I113</f>
        <v>269</v>
      </c>
      <c r="H113" s="401">
        <f ca="1">C113+I113</f>
        <v>531</v>
      </c>
      <c r="I113" s="551">
        <f ca="1">IF(I101=2,'71'!$P$32,IF(J113&lt;0,CEILING(-J113,1),0))</f>
        <v>31</v>
      </c>
      <c r="J113" s="473">
        <f ca="1">(C113-(C113*0.25+(H158+H159)*25+(H171+H172+H173)*10+FLOOR(IF(H182&gt;0,H182/1000*5,0),1)))*1.4</f>
        <v>-30.799999999999997</v>
      </c>
      <c r="K113" s="525">
        <f ca="1">0.00019*50*M113+0.00052*(6*M153+M166)</f>
        <v>37.102092937305883</v>
      </c>
      <c r="L113" s="505">
        <f ca="1">G113-N113</f>
        <v>255</v>
      </c>
      <c r="M113" s="401">
        <f ca="1">H113+N113</f>
        <v>545</v>
      </c>
      <c r="N113" s="551">
        <f ca="1">IF(N101=2,'81'!$P$32,IF(O113&lt;0,CEILING(-O113,1),0))</f>
        <v>14</v>
      </c>
      <c r="O113" s="473">
        <f ca="1">(H113-(H113*0.25+(M158+M159)*25+(M171+M172+M173)*10+FLOOR(IF(M182&gt;0,M182/1000*5,0),1)))*1.4</f>
        <v>-13.649999999999999</v>
      </c>
      <c r="P113" s="525">
        <f ca="1">0.00019*50*R113+0.00052*(6*R153+R166)</f>
        <v>39.471078390603154</v>
      </c>
      <c r="Q113" s="505">
        <f ca="1">L113-S113</f>
        <v>255</v>
      </c>
      <c r="R113" s="401">
        <f ca="1">M113+S113</f>
        <v>545</v>
      </c>
      <c r="S113" s="551">
        <f ca="1">IF(S101=2,'91'!$P$32,IF(T113&lt;0,CEILING(-T113,1),0))</f>
        <v>0</v>
      </c>
      <c r="T113" s="473">
        <f ca="1">(M113-(M113*0.25+(R158+R159)*25+(R171+R172+R173)*10+FLOOR(IF(R182&gt;0,R182/1000*5,0),1)))*1.4</f>
        <v>29.049999999999997</v>
      </c>
      <c r="U113" s="525" t="e">
        <f ca="1">0.00019*50*W113+0.00052*(6*W153+W166)</f>
        <v>#DIV/0!</v>
      </c>
      <c r="V113" s="505">
        <f ca="1">Q113-X113</f>
        <v>229</v>
      </c>
      <c r="W113" s="401">
        <f ca="1">R113+X113</f>
        <v>571</v>
      </c>
      <c r="X113" s="551">
        <f ca="1">IF(X101=2,'101'!$P$32,IF(Y113&lt;0,CEILING(-Y113,1),0))</f>
        <v>26</v>
      </c>
      <c r="Y113" s="473">
        <f ca="1">(R113-(R113*0.25+(W158+W159)*25+(W171+W172+W173)*10+FLOOR(IF(W182&gt;0,W182/1000*5,0),1)))*1.4</f>
        <v>-25.549999999999997</v>
      </c>
      <c r="Z113" s="648">
        <v>819800.0741632079</v>
      </c>
      <c r="AA113" s="105">
        <v>0.11</v>
      </c>
      <c r="AB113" s="649">
        <v>919346.46300184052</v>
      </c>
      <c r="AC113" s="105">
        <v>7.0000000000000007E-2</v>
      </c>
      <c r="AD113" s="649">
        <v>849413.48504552664</v>
      </c>
      <c r="AE113" s="106">
        <v>7.0000000000000007E-2</v>
      </c>
      <c r="AI113" s="648">
        <v>1253146.2299082172</v>
      </c>
      <c r="AJ113" s="153">
        <v>38</v>
      </c>
    </row>
    <row r="114" spans="1:36" ht="13.8" thickBot="1" x14ac:dyDescent="0.3">
      <c r="E114" s="2"/>
      <c r="J114" s="2"/>
      <c r="O114" s="2"/>
      <c r="T114" s="2"/>
      <c r="Y114" s="2"/>
      <c r="AA114" s="771">
        <f t="array" ref="AA114">MAX(IF(Z117:Z129&lt;&gt;0,Z117:Z129,""))</f>
        <v>210747.09627306947</v>
      </c>
      <c r="AC114" s="771">
        <f t="array" ref="AC114">MAX(IF(AB117:AB129&lt;&gt;0,AB117:AB129,""))</f>
        <v>210747.09627306947</v>
      </c>
      <c r="AE114" s="23"/>
      <c r="AJ114" s="771">
        <f t="array" ref="AJ114">MAX(IF(AI117:AI129&lt;&gt;0,AI117:AI129,""))</f>
        <v>1452315.971551093</v>
      </c>
    </row>
    <row r="115" spans="1:36" ht="12.75" customHeight="1" x14ac:dyDescent="0.25">
      <c r="A115" s="1100" t="str">
        <f>Lang!$A$40</f>
        <v>Quality</v>
      </c>
      <c r="B115" s="1101"/>
      <c r="C115" s="1101"/>
      <c r="D115" s="1102"/>
      <c r="E115" s="2"/>
      <c r="F115" s="1100" t="str">
        <f>A115</f>
        <v>Quality</v>
      </c>
      <c r="G115" s="1101"/>
      <c r="H115" s="1101"/>
      <c r="I115" s="1102"/>
      <c r="J115" s="2"/>
      <c r="K115" s="1100" t="str">
        <f>A115</f>
        <v>Quality</v>
      </c>
      <c r="L115" s="1101"/>
      <c r="M115" s="1101"/>
      <c r="N115" s="1102"/>
      <c r="O115" s="2"/>
      <c r="P115" s="1100" t="str">
        <f>A115</f>
        <v>Quality</v>
      </c>
      <c r="Q115" s="1101"/>
      <c r="R115" s="1101"/>
      <c r="S115" s="1102"/>
      <c r="T115" s="2"/>
      <c r="U115" s="1100" t="str">
        <f>A115</f>
        <v>Quality</v>
      </c>
      <c r="V115" s="1101"/>
      <c r="W115" s="1101"/>
      <c r="X115" s="1102"/>
      <c r="Y115" s="2"/>
      <c r="Z115" s="1080" t="str">
        <f>Lang!$A$58</f>
        <v>Agents and distributors</v>
      </c>
      <c r="AA115" s="1081"/>
      <c r="AB115" s="1081"/>
      <c r="AC115" s="1103"/>
      <c r="AI115" s="1080" t="str">
        <f>Lang!$A$192</f>
        <v>Web-site</v>
      </c>
      <c r="AJ115" s="1103"/>
    </row>
    <row r="116" spans="1:36" x14ac:dyDescent="0.25">
      <c r="A116" s="13" t="str">
        <f>Lang!$A$42</f>
        <v>Next quarter</v>
      </c>
      <c r="B116" s="494" t="str">
        <f ca="1">TRIM(OFFSET(History!AA7,$B$253-1,))</f>
        <v>Minor</v>
      </c>
      <c r="C116" s="494" t="str">
        <f ca="1">TRIM(OFFSET(History!AA17,$B$253-1,))</f>
        <v>Minor</v>
      </c>
      <c r="D116" s="495" t="str">
        <f ca="1">TRIM(OFFSET(History!AA27,$B$253-1,))</f>
        <v>Minor</v>
      </c>
      <c r="E116" s="483"/>
      <c r="F116" s="13" t="str">
        <f>Lang!$A$42</f>
        <v>Next quarter</v>
      </c>
      <c r="G116" s="494" t="str">
        <f ca="1">TRIM(OFFSET(History!AA7,$G$253-1,))</f>
        <v>Major</v>
      </c>
      <c r="H116" s="494" t="str">
        <f ca="1">TRIM(OFFSET(History!AA17,$G$253-1,))</f>
        <v>Major</v>
      </c>
      <c r="I116" s="495" t="str">
        <f ca="1">TRIM(OFFSET(History!AA27,$G$253-1,))</f>
        <v>Major</v>
      </c>
      <c r="J116" s="483"/>
      <c r="K116" s="13" t="str">
        <f>Lang!$A$42</f>
        <v>Next quarter</v>
      </c>
      <c r="L116" s="494" t="str">
        <f ca="1">TRIM(OFFSET(History!AA7,$L$253-1,))</f>
        <v>Major</v>
      </c>
      <c r="M116" s="494" t="str">
        <f ca="1">TRIM(OFFSET(History!AA17,$L$253-1,))</f>
        <v>Minor</v>
      </c>
      <c r="N116" s="495" t="str">
        <f ca="1">TRIM(OFFSET(History!AA27,$L$253-1,))</f>
        <v>Minor</v>
      </c>
      <c r="O116" s="483"/>
      <c r="P116" s="13" t="str">
        <f>Lang!$A$42</f>
        <v>Next quarter</v>
      </c>
      <c r="Q116" s="494" t="str">
        <f ca="1">TRIM(OFFSET(History!AA7,$Q$253-1,))</f>
        <v>Minor</v>
      </c>
      <c r="R116" s="494" t="str">
        <f ca="1">TRIM(OFFSET(History!AA17,$Q$253-1,))</f>
        <v>Major</v>
      </c>
      <c r="S116" s="495" t="str">
        <f ca="1">TRIM(OFFSET(History!AA27,$Q$253-1,))</f>
        <v>Major</v>
      </c>
      <c r="T116" s="483"/>
      <c r="U116" s="13" t="str">
        <f>Lang!$A$42</f>
        <v>Next quarter</v>
      </c>
      <c r="V116" s="494" t="str">
        <f ca="1">TRIM(OFFSET(History!AA7,$V$253-1,))</f>
        <v>Major</v>
      </c>
      <c r="W116" s="494" t="str">
        <f ca="1">TRIM(OFFSET(History!AA17,$V$253-1,))</f>
        <v>Major</v>
      </c>
      <c r="X116" s="495" t="str">
        <f ca="1">TRIM(OFFSET(History!AA27,$V$253-1,))</f>
        <v>Minor</v>
      </c>
      <c r="Y116" s="483"/>
      <c r="Z116" s="623" t="str">
        <f>Lang!$A$7</f>
        <v>Europe</v>
      </c>
      <c r="AA116" s="605">
        <f>IF(INDEX(AA117:AA129,MATCH(AA114,Z117:Z129,0))&gt;=0,INDEX(AA117:AA129,MATCH(AA114,Z117:Z129,0)),0)</f>
        <v>4</v>
      </c>
      <c r="AB116" s="622" t="str">
        <f>Lang!$A$9</f>
        <v>Nafta</v>
      </c>
      <c r="AC116" s="606">
        <f>IF(INDEX(AC117:AC129,MATCH(AC114,AB117:AB129,0))&gt;=0,INDEX(AC117:AC129,MATCH(AC114,AB117:AB129,0)),0)</f>
        <v>2</v>
      </c>
      <c r="AI116" s="813" t="str">
        <f>Lang!$A$145</f>
        <v>Profit</v>
      </c>
      <c r="AJ116" s="606">
        <f>INDEX(AJ117:AJ129,MATCH(AJ114,AI117:AI129,0))</f>
        <v>0</v>
      </c>
    </row>
    <row r="117" spans="1:36" ht="12.9" customHeight="1" x14ac:dyDescent="0.25">
      <c r="A117" s="13" t="str">
        <f>Lang!$A$46</f>
        <v>Previous quarter</v>
      </c>
      <c r="B117" s="494" t="str">
        <f>TRIM('52'!U39)</f>
        <v>Major</v>
      </c>
      <c r="C117" s="494" t="str">
        <f>TRIM('52'!W39)</f>
        <v>Minor</v>
      </c>
      <c r="D117" s="495" t="str">
        <f>TRIM('52'!Y39)</f>
        <v>Minor</v>
      </c>
      <c r="E117" s="457">
        <f ca="1">B118*B110*SUM(A204:A206)+C118*C110*SUM(B204:B206)+D118*D110*SUM(C204:C206)</f>
        <v>0</v>
      </c>
      <c r="F117" s="13" t="str">
        <f>Lang!$A$46</f>
        <v>Previous quarter</v>
      </c>
      <c r="G117" s="494" t="str">
        <f ca="1">B116</f>
        <v>Minor</v>
      </c>
      <c r="H117" s="494" t="str">
        <f ca="1">C116</f>
        <v>Minor</v>
      </c>
      <c r="I117" s="495" t="str">
        <f ca="1">D116</f>
        <v>Minor</v>
      </c>
      <c r="J117" s="457">
        <f ca="1">G118*G110*SUM(F204:F206)+H118*H110*SUM(G204:G206)+I118*I110*SUM(H204:H206)</f>
        <v>26556.646864771108</v>
      </c>
      <c r="K117" s="13" t="str">
        <f>Lang!$A$46</f>
        <v>Previous quarter</v>
      </c>
      <c r="L117" s="494" t="str">
        <f ca="1">G116</f>
        <v>Major</v>
      </c>
      <c r="M117" s="494" t="str">
        <f ca="1">H116</f>
        <v>Major</v>
      </c>
      <c r="N117" s="495" t="str">
        <f ca="1">I116</f>
        <v>Major</v>
      </c>
      <c r="O117" s="457">
        <f ca="1">L118*L110*SUM(K204:K206)+M118*M110*SUM(L204:L206)+N118*N110*SUM(M204:M206)</f>
        <v>45908.428461690113</v>
      </c>
      <c r="P117" s="13" t="str">
        <f>Lang!$A$46</f>
        <v>Previous quarter</v>
      </c>
      <c r="Q117" s="494" t="str">
        <f ca="1">L116</f>
        <v>Major</v>
      </c>
      <c r="R117" s="494" t="str">
        <f ca="1">M116</f>
        <v>Minor</v>
      </c>
      <c r="S117" s="495" t="str">
        <f ca="1">N116</f>
        <v>Minor</v>
      </c>
      <c r="T117" s="457">
        <f ca="1">Q118*Q110*SUM(P204:P206)+R118*R110*SUM(Q204:Q206)+S118*S110*SUM(R204:R206)</f>
        <v>67030.750201200513</v>
      </c>
      <c r="U117" s="13" t="str">
        <f>Lang!$A$46</f>
        <v>Previous quarter</v>
      </c>
      <c r="V117" s="494" t="str">
        <f ca="1">Q116</f>
        <v>Minor</v>
      </c>
      <c r="W117" s="494" t="str">
        <f ca="1">R116</f>
        <v>Major</v>
      </c>
      <c r="X117" s="495" t="str">
        <f ca="1">S116</f>
        <v>Major</v>
      </c>
      <c r="Y117" s="457">
        <f ca="1">V118*V110*SUM(U204:U206)+W118*W110*SUM(V204:V206)+X118*X110*SUM(W204:W206)</f>
        <v>47190.685669508654</v>
      </c>
      <c r="Z117" s="644">
        <v>29436.679453535937</v>
      </c>
      <c r="AA117" s="82">
        <v>0</v>
      </c>
      <c r="AB117" s="645">
        <v>167458.77845365772</v>
      </c>
      <c r="AC117" s="85">
        <v>0</v>
      </c>
      <c r="AI117" s="644">
        <v>1452315.971551093</v>
      </c>
      <c r="AJ117" s="85">
        <v>0</v>
      </c>
    </row>
    <row r="118" spans="1:36" ht="12.9" customHeight="1" x14ac:dyDescent="0.25">
      <c r="A118" s="1137" t="str">
        <f>Lang!$A$48</f>
        <v>R&amp;D</v>
      </c>
      <c r="B118" s="488">
        <v>0</v>
      </c>
      <c r="C118" s="488">
        <v>0</v>
      </c>
      <c r="D118" s="489">
        <v>0</v>
      </c>
      <c r="E118" s="457">
        <f>B118*(A204*A244+A205*A245+A206*A246)+C118*(B204*B244+B205*B245+B206*B246)+D118*(C204*C244+C205*C245+C206*C246)</f>
        <v>0</v>
      </c>
      <c r="F118" s="1137" t="str">
        <f>Lang!$A$48</f>
        <v>R&amp;D</v>
      </c>
      <c r="G118" s="488">
        <v>1</v>
      </c>
      <c r="H118" s="488">
        <v>0</v>
      </c>
      <c r="I118" s="489">
        <v>0</v>
      </c>
      <c r="J118" s="457">
        <f ca="1">G118*(F204*F244+F205*F245+F206*F246)+H118*(G204*G244+G205*G245+G206*G246)+I118*(H204*H244+H205*H245+H206*H246)</f>
        <v>74889.355034012333</v>
      </c>
      <c r="K118" s="1137" t="str">
        <f>Lang!$A$48</f>
        <v>R&amp;D</v>
      </c>
      <c r="L118" s="488">
        <v>1</v>
      </c>
      <c r="M118" s="488">
        <v>0</v>
      </c>
      <c r="N118" s="489">
        <v>0</v>
      </c>
      <c r="O118" s="457">
        <f ca="1">L118*(K204*K244+K205*K245+K206*K246)+M118*(L204*L244+L205*L245+L206*L246)+N118*(M204*M244+M205*M245+M206*M246)</f>
        <v>124878.8200808219</v>
      </c>
      <c r="P118" s="1137" t="str">
        <f>Lang!$A$48</f>
        <v>R&amp;D</v>
      </c>
      <c r="Q118" s="488">
        <v>0</v>
      </c>
      <c r="R118" s="488">
        <v>1</v>
      </c>
      <c r="S118" s="489">
        <v>1</v>
      </c>
      <c r="T118" s="457">
        <f ca="1">Q118*(P204*P244+P205*P245+P206*P246)+R118*(Q204*Q244+Q205*Q245+Q206*Q246)+S118*(R204*R244+R205*R245+R206*R246)</f>
        <v>162927.9719091086</v>
      </c>
      <c r="U118" s="1137" t="str">
        <f>Lang!$A$48</f>
        <v>R&amp;D</v>
      </c>
      <c r="V118" s="488">
        <v>0</v>
      </c>
      <c r="W118" s="488">
        <v>0</v>
      </c>
      <c r="X118" s="489">
        <v>1</v>
      </c>
      <c r="Y118" s="457">
        <f ca="1">V118*(U204*U244+U205*U245+U206*U246)+W118*(V204*V244+V205*V245+V206*V246)+X118*(W204*W244+W205*W245+W206*W246)</f>
        <v>102098.33131776727</v>
      </c>
      <c r="Z118" s="644">
        <v>29436.679453535937</v>
      </c>
      <c r="AA118" s="82">
        <v>0</v>
      </c>
      <c r="AB118" s="645">
        <v>167458.77845365772</v>
      </c>
      <c r="AC118" s="85">
        <v>0</v>
      </c>
      <c r="AF118" s="23"/>
      <c r="AG118" s="23"/>
      <c r="AI118" s="644">
        <v>1452315.971551093</v>
      </c>
      <c r="AJ118" s="85">
        <v>0</v>
      </c>
    </row>
    <row r="119" spans="1:36" ht="12.9" customHeight="1" x14ac:dyDescent="0.25">
      <c r="A119" s="1138"/>
      <c r="B119" s="700">
        <f ca="1">IF(D$101=2,OFFSET(History!$T$6,B$253,0),OFFSET(Config!$B$27,B$253,0))</f>
        <v>28</v>
      </c>
      <c r="C119" s="700">
        <f ca="1">IF(D$101=2,OFFSET(History!$T$16,B$253,0),OFFSET(Config!$B$32,B$253,0))</f>
        <v>18</v>
      </c>
      <c r="D119" s="477">
        <f ca="1">IF(D$101=2,OFFSET(History!$T$26,B$253,0),OFFSET(Config!$B$37,B$253,0))</f>
        <v>11</v>
      </c>
      <c r="E119" s="457">
        <f ca="1">E117-E118</f>
        <v>0</v>
      </c>
      <c r="F119" s="1138"/>
      <c r="G119" s="700">
        <f ca="1">IF(I$101=2,OFFSET(History!$T$6,G$253,0),OFFSET(Config!$B$27,G$253,0))</f>
        <v>40</v>
      </c>
      <c r="H119" s="700">
        <f ca="1">IF(I$101=2,OFFSET(History!$T$16,G$253,0),OFFSET(Config!$B$32,G$253,0))</f>
        <v>20</v>
      </c>
      <c r="I119" s="477">
        <f ca="1">IF(I$101=2,OFFSET(History!$T$26,G$253,0),OFFSET(Config!$B$37,G$253,0))</f>
        <v>18</v>
      </c>
      <c r="J119" s="457">
        <f ca="1">J117-J118</f>
        <v>-48332.708169241225</v>
      </c>
      <c r="K119" s="1138"/>
      <c r="L119" s="700">
        <f ca="1">IF(N$101=2,OFFSET(History!$T$6,L$253,0),OFFSET(Config!$B$27,L$253,0))</f>
        <v>45</v>
      </c>
      <c r="M119" s="700">
        <f ca="1">IF(N$101=2,OFFSET(History!$T$16,L$253,0),OFFSET(Config!$B$32,L$253,0))</f>
        <v>35</v>
      </c>
      <c r="N119" s="477">
        <f ca="1">IF(N$101=2,OFFSET(History!$T$26,L$253,0),OFFSET(Config!$B$37,L$253,0))</f>
        <v>30</v>
      </c>
      <c r="O119" s="457">
        <f ca="1">O117-O118</f>
        <v>-78970.391619131784</v>
      </c>
      <c r="P119" s="1138"/>
      <c r="Q119" s="700">
        <f ca="1">IF(S$101=2,OFFSET(History!$T$6,Q$253,0),OFFSET(Config!$B$27,Q$253,0))</f>
        <v>10</v>
      </c>
      <c r="R119" s="700">
        <f ca="1">IF(S$101=2,OFFSET(History!$T$16,Q$253,0),OFFSET(Config!$B$32,Q$253,0))</f>
        <v>35</v>
      </c>
      <c r="S119" s="477">
        <f ca="1">IF(S$101=2,OFFSET(History!$T$26,Q$253,0),OFFSET(Config!$B$37,Q$253,0))</f>
        <v>15</v>
      </c>
      <c r="T119" s="457">
        <f ca="1">T117-T118</f>
        <v>-95897.221707908087</v>
      </c>
      <c r="U119" s="1138"/>
      <c r="V119" s="700">
        <f ca="1">IF(X$101=2,OFFSET(History!$T$6,V$253,0),OFFSET(Config!$B$27,V$253,0))</f>
        <v>11</v>
      </c>
      <c r="W119" s="700">
        <f ca="1">IF(X$101=2,OFFSET(History!$T$16,V$253,0),OFFSET(Config!$B$32,V$253,0))</f>
        <v>25</v>
      </c>
      <c r="X119" s="477">
        <f ca="1">IF(X$101=2,OFFSET(History!$T$26,V$253,0),OFFSET(Config!$B$37,V$253,0))</f>
        <v>16</v>
      </c>
      <c r="Y119" s="457">
        <f ca="1">Y117-Y118</f>
        <v>-54907.645648258615</v>
      </c>
      <c r="Z119" s="644">
        <v>29436.679453535937</v>
      </c>
      <c r="AA119" s="82">
        <v>0</v>
      </c>
      <c r="AB119" s="645">
        <v>167458.77845365772</v>
      </c>
      <c r="AC119" s="85">
        <v>0</v>
      </c>
      <c r="AI119" s="644">
        <v>1452315.971551093</v>
      </c>
      <c r="AJ119" s="85">
        <v>0</v>
      </c>
    </row>
    <row r="120" spans="1:36" ht="12.9" customHeight="1" x14ac:dyDescent="0.25">
      <c r="A120" s="539" t="str">
        <f>Lang!$A$44</f>
        <v>Assembly time</v>
      </c>
      <c r="B120" s="463">
        <v>115</v>
      </c>
      <c r="C120" s="463">
        <v>165</v>
      </c>
      <c r="D120" s="458">
        <v>325</v>
      </c>
      <c r="E120" s="615">
        <f>Config!A43</f>
        <v>1</v>
      </c>
      <c r="F120" s="539" t="str">
        <f>Lang!$A$44</f>
        <v>Assembly time</v>
      </c>
      <c r="G120" s="629">
        <f>IF(I101=2,'71'!$F$31,B120)</f>
        <v>115</v>
      </c>
      <c r="H120" s="629">
        <f>IF(I101=2,'71'!$H$31,C120)</f>
        <v>165</v>
      </c>
      <c r="I120" s="961">
        <f>IF(I101=2,'71'!$J$31,D120)</f>
        <v>325</v>
      </c>
      <c r="J120" s="868">
        <f ca="1">IF(G117="Major",1,0)+E120*IF(B118=0,1,0)</f>
        <v>1</v>
      </c>
      <c r="K120" s="539" t="str">
        <f>Lang!$A$44</f>
        <v>Assembly time</v>
      </c>
      <c r="L120" s="629">
        <f>IF(N101=2,'81'!$F$31,G120)</f>
        <v>115</v>
      </c>
      <c r="M120" s="629">
        <f>IF(N101=2,'81'!$H$31,H120)</f>
        <v>165</v>
      </c>
      <c r="N120" s="961">
        <f>IF(N101=2,'81'!$J$31,I120)</f>
        <v>325</v>
      </c>
      <c r="O120" s="868">
        <f ca="1">IF(L117="Major",1,0)+J120*IF(G118=0,1,0)</f>
        <v>1</v>
      </c>
      <c r="P120" s="539" t="str">
        <f>Lang!$A$44</f>
        <v>Assembly time</v>
      </c>
      <c r="Q120" s="629">
        <f>IF(S101=2,'91'!$F$31,L120)</f>
        <v>115</v>
      </c>
      <c r="R120" s="629">
        <f>IF(S101=2,'91'!$H$31,M120)</f>
        <v>165</v>
      </c>
      <c r="S120" s="961">
        <f>IF(S101=2,'91'!$J$31,N120)</f>
        <v>325</v>
      </c>
      <c r="T120" s="868">
        <f ca="1">IF(Q117="Major",1,0)+O120*IF(L118=0,1,0)</f>
        <v>1</v>
      </c>
      <c r="U120" s="539" t="str">
        <f>Lang!$A$44</f>
        <v>Assembly time</v>
      </c>
      <c r="V120" s="629">
        <f>IF(X101=2,'101'!$F$31,Q120)</f>
        <v>115</v>
      </c>
      <c r="W120" s="629">
        <f>IF(X101=2,'101'!$H$31,R120)</f>
        <v>165</v>
      </c>
      <c r="X120" s="961">
        <f>IF(X101=2,'101'!$J$31,S120)</f>
        <v>325</v>
      </c>
      <c r="Y120" s="868">
        <f ca="1">IF(V117="Major",1,0)+T120*IF(Q118=0,1,0)</f>
        <v>1</v>
      </c>
      <c r="Z120" s="644">
        <v>-5352610.501679413</v>
      </c>
      <c r="AA120" s="82">
        <v>1</v>
      </c>
      <c r="AB120" s="645">
        <v>167458.77845365772</v>
      </c>
      <c r="AC120" s="85">
        <v>0</v>
      </c>
      <c r="AI120" s="644">
        <v>1452315.971551093</v>
      </c>
      <c r="AJ120" s="85">
        <v>0</v>
      </c>
    </row>
    <row r="121" spans="1:36" ht="12.9" customHeight="1" x14ac:dyDescent="0.25">
      <c r="A121" s="699">
        <v>1.05</v>
      </c>
      <c r="B121" s="697">
        <f>100*A121</f>
        <v>105</v>
      </c>
      <c r="C121" s="812">
        <f>150*A121</f>
        <v>157.5</v>
      </c>
      <c r="D121" s="698">
        <f>300*A121</f>
        <v>315</v>
      </c>
      <c r="E121" s="615">
        <f>Config!B43</f>
        <v>0</v>
      </c>
      <c r="F121" s="699">
        <v>1</v>
      </c>
      <c r="G121" s="697">
        <f>100*F121</f>
        <v>100</v>
      </c>
      <c r="H121" s="812">
        <f>150*F121</f>
        <v>150</v>
      </c>
      <c r="I121" s="698">
        <f>300*F121</f>
        <v>300</v>
      </c>
      <c r="J121" s="868">
        <f ca="1">IF(H117="Major",1,0)+E121*IF(C118=0,1,0)</f>
        <v>0</v>
      </c>
      <c r="K121" s="699">
        <v>1.1000000000000001</v>
      </c>
      <c r="L121" s="697">
        <f>100*K121</f>
        <v>110.00000000000001</v>
      </c>
      <c r="M121" s="812">
        <f>150*K121</f>
        <v>165</v>
      </c>
      <c r="N121" s="698">
        <f>300*K121</f>
        <v>330</v>
      </c>
      <c r="O121" s="868">
        <f ca="1">IF(M117="Major",1,0)+J121*IF(H118=0,1,0)</f>
        <v>1</v>
      </c>
      <c r="P121" s="699">
        <v>1.1000000000000001</v>
      </c>
      <c r="Q121" s="697">
        <f>100*P121</f>
        <v>110.00000000000001</v>
      </c>
      <c r="R121" s="812">
        <f>150*P121</f>
        <v>165</v>
      </c>
      <c r="S121" s="698">
        <f>300*P121</f>
        <v>330</v>
      </c>
      <c r="T121" s="868">
        <f ca="1">IF(R117="Major",1,0)+O121*IF(M118=0,1,0)</f>
        <v>1</v>
      </c>
      <c r="U121" s="699">
        <v>1.1000000000000001</v>
      </c>
      <c r="V121" s="697">
        <f>100*U121</f>
        <v>110.00000000000001</v>
      </c>
      <c r="W121" s="812">
        <f>150*U121</f>
        <v>165</v>
      </c>
      <c r="X121" s="698">
        <f>300*U121</f>
        <v>330</v>
      </c>
      <c r="Y121" s="868">
        <f ca="1">IF(W117="Major",1,0)+T121*IF(R118=0,1,0)</f>
        <v>1</v>
      </c>
      <c r="Z121" s="644">
        <v>-5665960.3631463414</v>
      </c>
      <c r="AA121" s="82">
        <v>2</v>
      </c>
      <c r="AB121" s="645">
        <v>167458.77845365772</v>
      </c>
      <c r="AC121" s="85">
        <v>0</v>
      </c>
      <c r="AI121" s="644">
        <v>1452315.971551093</v>
      </c>
      <c r="AJ121" s="85">
        <v>0</v>
      </c>
    </row>
    <row r="122" spans="1:36" ht="12.9" customHeight="1" x14ac:dyDescent="0.25">
      <c r="A122" s="921" t="str">
        <f>Lang!$A$45</f>
        <v>Premium materials</v>
      </c>
      <c r="B122" s="600">
        <v>0.03</v>
      </c>
      <c r="C122" s="490">
        <v>0</v>
      </c>
      <c r="D122" s="475">
        <v>0</v>
      </c>
      <c r="E122" s="615">
        <f>Config!C43</f>
        <v>0</v>
      </c>
      <c r="F122" s="897" t="str">
        <f>Lang!$A$45</f>
        <v>Premium materials</v>
      </c>
      <c r="G122" s="600">
        <v>0.05</v>
      </c>
      <c r="H122" s="600">
        <v>0</v>
      </c>
      <c r="I122" s="601">
        <v>0</v>
      </c>
      <c r="J122" s="868">
        <f ca="1">IF(I117="Major",1,0)+E122*IF(D118=0,1,0)</f>
        <v>0</v>
      </c>
      <c r="K122" s="897" t="str">
        <f>Lang!$A$45</f>
        <v>Premium materials</v>
      </c>
      <c r="L122" s="600">
        <v>0.15</v>
      </c>
      <c r="M122" s="600">
        <v>0.08</v>
      </c>
      <c r="N122" s="601">
        <v>0.05</v>
      </c>
      <c r="O122" s="868">
        <f ca="1">IF(N117="Major",1,0)+J122*IF(I118=0,1,0)</f>
        <v>1</v>
      </c>
      <c r="P122" s="897" t="str">
        <f>Lang!$A$45</f>
        <v>Premium materials</v>
      </c>
      <c r="Q122" s="600">
        <v>0.05</v>
      </c>
      <c r="R122" s="600">
        <v>0.03</v>
      </c>
      <c r="S122" s="601">
        <v>0.02</v>
      </c>
      <c r="T122" s="868">
        <f ca="1">IF(S117="Major",1,0)+O122*IF(N118=0,1,0)</f>
        <v>1</v>
      </c>
      <c r="U122" s="897" t="str">
        <f>Lang!$A$45</f>
        <v>Premium materials</v>
      </c>
      <c r="V122" s="600">
        <v>0.22</v>
      </c>
      <c r="W122" s="600">
        <v>0.22</v>
      </c>
      <c r="X122" s="601">
        <v>0.1</v>
      </c>
      <c r="Y122" s="868">
        <f ca="1">IF(X117="Major",1,0)+T122*IF(S118=0,1,0)</f>
        <v>1</v>
      </c>
      <c r="Z122" s="644">
        <v>162079.5503412649</v>
      </c>
      <c r="AA122" s="82">
        <v>3</v>
      </c>
      <c r="AB122" s="645">
        <v>190479.11777761203</v>
      </c>
      <c r="AC122" s="85">
        <v>1</v>
      </c>
      <c r="AI122" s="644">
        <v>1452315.971551093</v>
      </c>
      <c r="AJ122" s="85">
        <v>0</v>
      </c>
    </row>
    <row r="123" spans="1:36" ht="12.9" customHeight="1" x14ac:dyDescent="0.25">
      <c r="A123" s="539" t="str">
        <f>Lang!$A$48</f>
        <v>R&amp;D</v>
      </c>
      <c r="B123" s="491">
        <f ca="1">(OFFSET(History!$W6,B253-1,)+E123+INDEX(Config!$M59:$O258,(OFFSET(History!$W6,B253-1,)+E123)-60,2)-60)/20</f>
        <v>1.7</v>
      </c>
      <c r="C123" s="491">
        <f ca="1">(OFFSET(History!$W16,B253-1,)+E124+INDEX(Config!$M59:$O258,(OFFSET(History!$W16,B253-1,)+E124)-60,2)-60)/20</f>
        <v>2.6</v>
      </c>
      <c r="D123" s="492">
        <f ca="1">(OFFSET(History!$W26,B253-1,)+E125+INDEX(Config!$M59:$O258,(OFFSET(History!$W26,B253-1,)+E125)-60,2)-60)/20</f>
        <v>1.7</v>
      </c>
      <c r="E123" s="476">
        <f ca="1">Config!$O55*B$118*E120+IF(B$116="Major",Config!$O56,0)+IF(B$116="Minor",Config!$O54,0)</f>
        <v>6</v>
      </c>
      <c r="F123" s="539" t="str">
        <f>Lang!$A$48</f>
        <v>R&amp;D</v>
      </c>
      <c r="G123" s="491">
        <f ca="1">(B123*20+60+J123+INDEX(Config!$M59:$O258,(B123*20+60+J123)-60,2)-60)/20</f>
        <v>2.7</v>
      </c>
      <c r="H123" s="491">
        <f ca="1">(C123*20+60+J124+INDEX(Config!$M59:$O258,(C123*20+60+J124)-60,2)-60)/20</f>
        <v>2.6</v>
      </c>
      <c r="I123" s="492">
        <f ca="1">(D123*20+60+J125+INDEX(Config!$M59:$O258,(D123*20+60+J125)-60,2)-60)/20</f>
        <v>1.75</v>
      </c>
      <c r="J123" s="476">
        <f ca="1">Config!$O55*G$118*J120+IF(G$116="Major",Config!$O56,0)+IF(G$116="Minor",Config!$O54,0)</f>
        <v>26</v>
      </c>
      <c r="K123" s="539" t="str">
        <f>Lang!$A$48</f>
        <v>R&amp;D</v>
      </c>
      <c r="L123" s="491">
        <f ca="1">(G123*20+60+O123+INDEX(Config!$M59:$O258,(G123*20+60+O123)-60,2)-60)/20</f>
        <v>3.65</v>
      </c>
      <c r="M123" s="491">
        <f ca="1">(H123*20+60+O124+INDEX(Config!$M59:$O258,(H123*20+60+O124)-60,2)-60)/20</f>
        <v>2.6</v>
      </c>
      <c r="N123" s="492">
        <f ca="1">(I123*20+60+O125+INDEX(Config!$M59:$O258,(I123*20+60+O125)-60,2)-60)/20</f>
        <v>1.75</v>
      </c>
      <c r="O123" s="476">
        <f ca="1">Config!$O55*L$118*O120+IF(L$116="Major",Config!$O56,0)+IF(L$116="Minor",Config!$O54,0)</f>
        <v>26</v>
      </c>
      <c r="P123" s="539" t="str">
        <f>Lang!$A$48</f>
        <v>R&amp;D</v>
      </c>
      <c r="Q123" s="491">
        <f ca="1">(L123*20+60+T123+INDEX(Config!$M59:$O258,(L123*20+60+T123)-60,2)-60)/20</f>
        <v>3.6</v>
      </c>
      <c r="R123" s="491">
        <f ca="1">(M123*20+60+T124+INDEX(Config!$M59:$O258,(M123*20+60+T124)-60,2)-60)/20</f>
        <v>3.55</v>
      </c>
      <c r="S123" s="492">
        <f ca="1">(N123*20+60+T125+INDEX(Config!$M59:$O258,(N123*20+60+T125)-60,2)-60)/20</f>
        <v>2.7</v>
      </c>
      <c r="T123" s="476">
        <f ca="1">Config!$O55*Q$118*T120+IF(Q$116="Major",Config!$O56,0)+IF(Q$116="Minor",Config!$O54,0)</f>
        <v>6</v>
      </c>
      <c r="U123" s="539" t="str">
        <f>Lang!$A$48</f>
        <v>R&amp;D</v>
      </c>
      <c r="V123" s="491">
        <f ca="1">(Q123*20+60+Y123+INDEX(Config!$M59:$O258,(Q123*20+60+Y123)-60,2)-60)/20</f>
        <v>3.55</v>
      </c>
      <c r="W123" s="491">
        <f ca="1">(R123*20+60+Y124+INDEX(Config!$M59:$O258,(R123*20+60+Y124)-60,2)-60)/20</f>
        <v>3.5</v>
      </c>
      <c r="X123" s="492">
        <f ca="1">(S123*20+60+Y125+INDEX(Config!$M59:$O258,(S123*20+60+Y125)-60,2)-60)/20</f>
        <v>3.65</v>
      </c>
      <c r="Y123" s="476">
        <f ca="1">Config!$O55*V$118*Y120+IF(V$116="Major",Config!$O56,0)+IF(V$116="Minor",Config!$O54,0)</f>
        <v>6</v>
      </c>
      <c r="Z123" s="646">
        <v>210747.09627306947</v>
      </c>
      <c r="AA123" s="83">
        <v>4</v>
      </c>
      <c r="AB123" s="647">
        <v>210747.09627306947</v>
      </c>
      <c r="AC123" s="84">
        <v>2</v>
      </c>
      <c r="AI123" s="646">
        <v>1452315.971551093</v>
      </c>
      <c r="AJ123" s="84">
        <v>0</v>
      </c>
    </row>
    <row r="124" spans="1:36" ht="26.4" x14ac:dyDescent="0.25">
      <c r="A124" s="543" t="str">
        <f>Lang!$A$44</f>
        <v>Assembly time</v>
      </c>
      <c r="B124" s="546">
        <f>(B120-100)/100*IF(B120&lt;100*1.21,0.315,IF(B120&lt;100*1.41,0.31,IF(B120&lt;100*1.61,0.305,IF(B120&lt;100*1.81,0.3,0.295))))</f>
        <v>4.725E-2</v>
      </c>
      <c r="C124" s="546">
        <f>(C120-150)/150*IF(C120&lt;150*1.21,0.315,IF(C120&lt;150*1.41,0.31,IF(C120&lt;150*1.61,0.305,IF(C120&lt;150*1.81,0.3,0.295))))</f>
        <v>3.15E-2</v>
      </c>
      <c r="D124" s="545">
        <f>(D120-300)/300*IF(D120&lt;300*1.21,0.315,IF(D120&lt;300*1.41,0.31,IF(D120&lt;300*1.61,0.305,IF(D120&lt;300*1.81,0.3,0.295))))</f>
        <v>2.6249999999999999E-2</v>
      </c>
      <c r="E124" s="476">
        <f ca="1">Config!$O55*C$118*E121+IF(C$116="Major",Config!$O56,0)+IF(C$116="Minor",Config!$O54,0)</f>
        <v>6</v>
      </c>
      <c r="F124" s="543" t="str">
        <f>Lang!$A$44</f>
        <v>Assembly time</v>
      </c>
      <c r="G124" s="546">
        <f>(G120-100)/100*IF(G120&lt;100*1.21,0.315,IF(G120&lt;100*1.41,0.31,IF(G120&lt;100*1.61,0.305,IF(G120&lt;100*1.81,0.3,0.295))))</f>
        <v>4.725E-2</v>
      </c>
      <c r="H124" s="546">
        <f>(H120-150)/150*IF(H120&lt;150*1.21,0.315,IF(H120&lt;150*1.41,0.31,IF(H120&lt;150*1.61,0.305,IF(H120&lt;150*1.81,0.3,0.295))))</f>
        <v>3.15E-2</v>
      </c>
      <c r="I124" s="545">
        <f>(I120-300)/300*IF(I120&lt;300*1.21,0.315,IF(I120&lt;300*1.41,0.31,IF(I120&lt;300*1.61,0.305,IF(I120&lt;300*1.81,0.3,0.295))))</f>
        <v>2.6249999999999999E-2</v>
      </c>
      <c r="J124" s="476">
        <f ca="1">Config!$O55*H$118*J121+IF(H$116="Major",Config!$O56,0)+IF(H$116="Minor",Config!$O54,0)</f>
        <v>6</v>
      </c>
      <c r="K124" s="543" t="str">
        <f>Lang!$A$44</f>
        <v>Assembly time</v>
      </c>
      <c r="L124" s="546">
        <f>(L120-100)/100*IF(L120&lt;100*1.21,0.315,IF(L120&lt;100*1.41,0.31,IF(L120&lt;100*1.61,0.305,IF(L120&lt;100*1.81,0.3,0.295))))</f>
        <v>4.725E-2</v>
      </c>
      <c r="M124" s="546">
        <f>(M120-150)/150*IF(M120&lt;150*1.21,0.315,IF(M120&lt;150*1.41,0.31,IF(M120&lt;150*1.61,0.305,IF(M120&lt;150*1.81,0.3,0.295))))</f>
        <v>3.15E-2</v>
      </c>
      <c r="N124" s="545">
        <f>(N120-300)/300*IF(N120&lt;300*1.21,0.315,IF(N120&lt;300*1.41,0.31,IF(N120&lt;300*1.61,0.305,IF(N120&lt;300*1.81,0.3,0.295))))</f>
        <v>2.6249999999999999E-2</v>
      </c>
      <c r="O124" s="476">
        <f ca="1">Config!$O55*M$118*O121+IF(M$116="Major",Config!$O56,0)+IF(M$116="Minor",Config!$O54,0)</f>
        <v>6</v>
      </c>
      <c r="P124" s="543" t="str">
        <f>Lang!$A$44</f>
        <v>Assembly time</v>
      </c>
      <c r="Q124" s="546">
        <f>(Q120-100)/100*IF(Q120&lt;100*1.21,0.315,IF(Q120&lt;100*1.41,0.31,IF(Q120&lt;100*1.61,0.305,IF(Q120&lt;100*1.81,0.3,0.295))))</f>
        <v>4.725E-2</v>
      </c>
      <c r="R124" s="546">
        <f>(R120-150)/150*IF(R120&lt;150*1.21,0.315,IF(R120&lt;150*1.41,0.31,IF(R120&lt;150*1.61,0.305,IF(R120&lt;150*1.81,0.3,0.295))))</f>
        <v>3.15E-2</v>
      </c>
      <c r="S124" s="545">
        <f>(S120-300)/300*IF(S120&lt;300*1.21,0.315,IF(S120&lt;300*1.41,0.31,IF(S120&lt;300*1.61,0.305,IF(S120&lt;300*1.81,0.3,0.295))))</f>
        <v>2.6249999999999999E-2</v>
      </c>
      <c r="T124" s="476">
        <f ca="1">Config!$O55*R$118*T121+IF(R$116="Major",Config!$O56,0)+IF(R$116="Minor",Config!$O54,0)</f>
        <v>26</v>
      </c>
      <c r="U124" s="543" t="str">
        <f>Lang!$A$44</f>
        <v>Assembly time</v>
      </c>
      <c r="V124" s="546">
        <f>(V120-100)/100*IF(V120&lt;100*1.21,0.315,IF(V120&lt;100*1.41,0.31,IF(V120&lt;100*1.61,0.305,IF(V120&lt;100*1.81,0.3,0.295))))</f>
        <v>4.725E-2</v>
      </c>
      <c r="W124" s="546">
        <f>(W120-150)/150*IF(W120&lt;150*1.21,0.315,IF(W120&lt;150*1.41,0.31,IF(W120&lt;150*1.61,0.305,IF(W120&lt;150*1.81,0.3,0.295))))</f>
        <v>3.15E-2</v>
      </c>
      <c r="X124" s="545">
        <f>(X120-300)/300*IF(X120&lt;300*1.21,0.315,IF(X120&lt;300*1.41,0.31,IF(X120&lt;300*1.61,0.305,IF(X120&lt;300*1.81,0.3,0.295))))</f>
        <v>2.6249999999999999E-2</v>
      </c>
      <c r="Y124" s="476">
        <f ca="1">Config!$O55*W$118*Y121+IF(W$116="Major",Config!$O56,0)+IF(W$116="Minor",Config!$O54,0)</f>
        <v>6</v>
      </c>
      <c r="Z124" s="644">
        <v>206705.64346616701</v>
      </c>
      <c r="AA124" s="82">
        <v>5</v>
      </c>
      <c r="AB124" s="645">
        <v>188395.68457991522</v>
      </c>
      <c r="AC124" s="85">
        <v>3</v>
      </c>
      <c r="AI124" s="644">
        <v>1444537.5044450029</v>
      </c>
      <c r="AJ124" s="85">
        <v>5</v>
      </c>
    </row>
    <row r="125" spans="1:36" ht="13.8" thickBot="1" x14ac:dyDescent="0.3">
      <c r="A125" s="898" t="str">
        <f>Lang!$A$45</f>
        <v>Premium materials</v>
      </c>
      <c r="B125" s="541">
        <f>B122*IF(B122&lt;21,0.165,IF(B122&lt;41,0.16,IF(B122&lt;61,0.155,IF(B122&lt;81,0.15,0.145))))</f>
        <v>4.9500000000000004E-3</v>
      </c>
      <c r="C125" s="541">
        <f>C122*IF(C122&lt;21,0.165,IF(C122&lt;41,0.16,IF(C122&lt;61,0.155,IF(C122&lt;81,0.15,0.145))))</f>
        <v>0</v>
      </c>
      <c r="D125" s="542">
        <f>D122*IF(D122&lt;21,0.165,IF(D122&lt;41,0.16,IF(D122&lt;61,0.155,IF(D122&lt;81,0.15,0.145))))</f>
        <v>0</v>
      </c>
      <c r="E125" s="476">
        <f ca="1">Config!$O55*D$118*E122+IF(D$116="Major",Config!$O56,0)+IF(D$116="Minor",Config!$O54,0)</f>
        <v>6</v>
      </c>
      <c r="F125" s="898" t="str">
        <f>Lang!$A$45</f>
        <v>Premium materials</v>
      </c>
      <c r="G125" s="541">
        <f>G122*IF(G122&lt;21,0.165,IF(G122&lt;41,0.16,IF(G122&lt;61,0.155,IF(G122&lt;81,0.15,0.145))))</f>
        <v>8.2500000000000004E-3</v>
      </c>
      <c r="H125" s="541">
        <f>H122*IF(H122&lt;21,0.165,IF(H122&lt;41,0.16,IF(H122&lt;61,0.155,IF(H122&lt;81,0.15,0.145))))</f>
        <v>0</v>
      </c>
      <c r="I125" s="542">
        <f>I122*IF(I122&lt;21,0.165,IF(I122&lt;41,0.16,IF(I122&lt;61,0.155,IF(I122&lt;81,0.15,0.145))))</f>
        <v>0</v>
      </c>
      <c r="J125" s="476">
        <f ca="1">Config!$O55*I$118*J122+IF(I$116="Major",Config!$O56,0)+IF(I$116="Minor",Config!$O54,0)</f>
        <v>6</v>
      </c>
      <c r="K125" s="898" t="str">
        <f>Lang!$A$45</f>
        <v>Premium materials</v>
      </c>
      <c r="L125" s="541">
        <f>L122*IF(L122&lt;21,0.165,IF(L122&lt;41,0.16,IF(L122&lt;61,0.155,IF(L122&lt;81,0.15,0.145))))</f>
        <v>2.4750000000000001E-2</v>
      </c>
      <c r="M125" s="541">
        <f>M122*IF(M122&lt;21,0.165,IF(M122&lt;41,0.16,IF(M122&lt;61,0.155,IF(M122&lt;81,0.15,0.145))))</f>
        <v>1.3200000000000002E-2</v>
      </c>
      <c r="N125" s="542">
        <f>N122*IF(N122&lt;21,0.165,IF(N122&lt;41,0.16,IF(N122&lt;61,0.155,IF(N122&lt;81,0.15,0.145))))</f>
        <v>8.2500000000000004E-3</v>
      </c>
      <c r="O125" s="476">
        <f ca="1">Config!$O55*N$118*O122+IF(N$116="Major",Config!$O56,0)+IF(N$116="Minor",Config!$O54,0)</f>
        <v>6</v>
      </c>
      <c r="P125" s="898" t="str">
        <f>Lang!$A$45</f>
        <v>Premium materials</v>
      </c>
      <c r="Q125" s="541">
        <f>Q122*IF(Q122&lt;21,0.165,IF(Q122&lt;41,0.16,IF(Q122&lt;61,0.155,IF(Q122&lt;81,0.15,0.145))))</f>
        <v>8.2500000000000004E-3</v>
      </c>
      <c r="R125" s="541">
        <f>R122*IF(R122&lt;21,0.165,IF(R122&lt;41,0.16,IF(R122&lt;61,0.155,IF(R122&lt;81,0.15,0.145))))</f>
        <v>4.9500000000000004E-3</v>
      </c>
      <c r="S125" s="542">
        <f>S122*IF(S122&lt;21,0.165,IF(S122&lt;41,0.16,IF(S122&lt;61,0.155,IF(S122&lt;81,0.15,0.145))))</f>
        <v>3.3000000000000004E-3</v>
      </c>
      <c r="T125" s="476">
        <f ca="1">Config!$O55*S$118*T122+IF(S$116="Major",Config!$O56,0)+IF(S$116="Minor",Config!$O54,0)</f>
        <v>26</v>
      </c>
      <c r="U125" s="898" t="str">
        <f>Lang!$A$45</f>
        <v>Premium materials</v>
      </c>
      <c r="V125" s="541">
        <f>V122*IF(V122&lt;21,0.165,IF(V122&lt;41,0.16,IF(V122&lt;61,0.155,IF(V122&lt;81,0.15,0.145))))</f>
        <v>3.6299999999999999E-2</v>
      </c>
      <c r="W125" s="541">
        <f>W122*IF(W122&lt;21,0.165,IF(W122&lt;41,0.16,IF(W122&lt;61,0.155,IF(W122&lt;81,0.15,0.145))))</f>
        <v>3.6299999999999999E-2</v>
      </c>
      <c r="X125" s="542">
        <f>X122*IF(X122&lt;21,0.165,IF(X122&lt;41,0.16,IF(X122&lt;61,0.155,IF(X122&lt;81,0.15,0.145))))</f>
        <v>1.6500000000000001E-2</v>
      </c>
      <c r="Y125" s="476">
        <f ca="1">Config!$O55*X$118*Y122+IF(X$116="Major",Config!$O56,0)+IF(X$116="Minor",Config!$O54,0)</f>
        <v>26</v>
      </c>
      <c r="Z125" s="644">
        <v>195486.18591549151</v>
      </c>
      <c r="AA125" s="82">
        <v>6</v>
      </c>
      <c r="AB125" s="645">
        <v>208602.39128125468</v>
      </c>
      <c r="AC125" s="85">
        <v>4</v>
      </c>
      <c r="AF125" s="23"/>
      <c r="AG125" s="23"/>
      <c r="AI125" s="644">
        <v>1427887.234915691</v>
      </c>
      <c r="AJ125" s="85">
        <v>10</v>
      </c>
    </row>
    <row r="126" spans="1:36" ht="13.8" thickBot="1" x14ac:dyDescent="0.3">
      <c r="B126" s="544">
        <f ca="1">ROUND(SUM(B123:B125),2)</f>
        <v>1.75</v>
      </c>
      <c r="C126" s="544">
        <f ca="1">ROUND(SUM(C123:C125),2)</f>
        <v>2.63</v>
      </c>
      <c r="D126" s="544">
        <f ca="1">ROUND(SUM(D123:D125),2)</f>
        <v>1.73</v>
      </c>
      <c r="E126"/>
      <c r="G126" s="544">
        <f ca="1">ROUND(SUM(G123:G125),2)</f>
        <v>2.76</v>
      </c>
      <c r="H126" s="544">
        <f ca="1">ROUND(SUM(H123:H125),2)</f>
        <v>2.63</v>
      </c>
      <c r="I126" s="544">
        <f ca="1">ROUND(SUM(I123:I125),2)</f>
        <v>1.78</v>
      </c>
      <c r="J126" s="483"/>
      <c r="L126" s="544">
        <f ca="1">ROUND(SUM(L123:L125),2)</f>
        <v>3.72</v>
      </c>
      <c r="M126" s="544">
        <f ca="1">ROUND(SUM(M123:M125),2)</f>
        <v>2.64</v>
      </c>
      <c r="N126" s="544">
        <f ca="1">ROUND(SUM(N123:N125),2)</f>
        <v>1.78</v>
      </c>
      <c r="O126" s="483"/>
      <c r="Q126" s="544">
        <f ca="1">ROUND(SUM(Q123:Q125),2)</f>
        <v>3.66</v>
      </c>
      <c r="R126" s="544">
        <f ca="1">ROUND(SUM(R123:R125),2)</f>
        <v>3.59</v>
      </c>
      <c r="S126" s="544">
        <f ca="1">ROUND(SUM(S123:S125),2)</f>
        <v>2.73</v>
      </c>
      <c r="T126" s="483"/>
      <c r="V126" s="544">
        <f ca="1">ROUND(SUM(V123:V125),2)</f>
        <v>3.63</v>
      </c>
      <c r="W126" s="544">
        <f ca="1">ROUND(SUM(W123:W125),2)</f>
        <v>3.57</v>
      </c>
      <c r="X126" s="544">
        <f ca="1">ROUND(SUM(X123:X125),2)</f>
        <v>3.69</v>
      </c>
      <c r="Y126" s="483"/>
      <c r="Z126" s="644">
        <v>210130.48455206348</v>
      </c>
      <c r="AA126" s="82">
        <v>7</v>
      </c>
      <c r="AB126" s="645">
        <v>146746.47366048707</v>
      </c>
      <c r="AC126" s="85">
        <v>5</v>
      </c>
      <c r="AI126" s="644">
        <v>1409705.6090690498</v>
      </c>
      <c r="AJ126" s="85">
        <v>15</v>
      </c>
    </row>
    <row r="127" spans="1:36" x14ac:dyDescent="0.25">
      <c r="A127" s="1100" t="str">
        <f>Lang!$A$58</f>
        <v>Agents and distributors</v>
      </c>
      <c r="B127" s="1101"/>
      <c r="C127" s="1101"/>
      <c r="D127" s="1102"/>
      <c r="E127" s="483"/>
      <c r="F127" s="1100" t="str">
        <f>A127</f>
        <v>Agents and distributors</v>
      </c>
      <c r="G127" s="1101"/>
      <c r="H127" s="1101"/>
      <c r="I127" s="1102"/>
      <c r="J127" s="483"/>
      <c r="K127" s="1100" t="str">
        <f>A127</f>
        <v>Agents and distributors</v>
      </c>
      <c r="L127" s="1101"/>
      <c r="M127" s="1101"/>
      <c r="N127" s="1102"/>
      <c r="O127" s="483"/>
      <c r="P127" s="1100" t="str">
        <f>A127</f>
        <v>Agents and distributors</v>
      </c>
      <c r="Q127" s="1101"/>
      <c r="R127" s="1101"/>
      <c r="S127" s="1102"/>
      <c r="T127" s="483"/>
      <c r="U127" s="1100" t="str">
        <f>A127</f>
        <v>Agents and distributors</v>
      </c>
      <c r="V127" s="1101"/>
      <c r="W127" s="1101"/>
      <c r="X127" s="1102"/>
      <c r="Y127" s="483"/>
      <c r="Z127" s="644">
        <v>178082.94855267912</v>
      </c>
      <c r="AA127" s="82">
        <v>8</v>
      </c>
      <c r="AB127" s="645">
        <v>133017.39431450493</v>
      </c>
      <c r="AC127" s="85">
        <v>6</v>
      </c>
      <c r="AI127" s="644">
        <v>1383917.3462483063</v>
      </c>
      <c r="AJ127" s="85">
        <v>20</v>
      </c>
    </row>
    <row r="128" spans="1:36" x14ac:dyDescent="0.25">
      <c r="A128" s="603">
        <v>1</v>
      </c>
      <c r="B128" s="629">
        <f ca="1">IF($D$101=2,'61'!$P$14,IF(OR(TRIM(Config!$E$1)="12C1",TRIM(Config!$E$1)="12C3",TRIM(Config!$E$1)="14C1",TRIM(Config!$E$1)="14C3"),VLOOKUP((A128+E128),OFFSET(Config!$A$377:$C$396,(D128*100-5)*20,0),2),VLOOKUP((A128+E128),OFFSET(Config!$A$54:$C$73,(D128*100-5)*20,0),2)))</f>
        <v>4</v>
      </c>
      <c r="C128" s="629">
        <f ca="1">IF($D$101=2,'61'!$T$14,IF(OR(TRIM(Config!$E$1)="12C1",TRIM(Config!$E$1)="12C3",TRIM(Config!$E$1)="14C1",TRIM(Config!$E$1)="14C3"),VLOOKUP((A128+E128),OFFSET(Config!$A$377:$C$396,(D128*100-5)*20,0),3),VLOOKUP((A128+E128),OFFSET(Config!$A$54:$C$73,(D128*100-5)*20,0),3)))</f>
        <v>10</v>
      </c>
      <c r="D128" s="523">
        <v>0.08</v>
      </c>
      <c r="E128" s="457">
        <f>'52'!M30</f>
        <v>3</v>
      </c>
      <c r="F128" s="603">
        <v>1</v>
      </c>
      <c r="G128" s="629">
        <f ca="1">IF($I$101=2,'71'!$P$14,IF(OR(TRIM(Config!$E$1)="12C1",TRIM(Config!$E$1)="12C3",TRIM(Config!$E$1)="14C1",TRIM(Config!$E$1)="14C3"),VLOOKUP((F128+J128),OFFSET(Config!$A$377:$C$396,(I128*100-5)*20,0),2),VLOOKUP((F128+J128),OFFSET(Config!$A$54:$C$73,(I128*100-5)*20,0),2)))</f>
        <v>6</v>
      </c>
      <c r="H128" s="629">
        <f ca="1">IF($I$101=2,'71'!$T$14,IF(OR(TRIM(Config!$E$1)="12C1",TRIM(Config!$E$1)="12C3",TRIM(Config!$E$1)="14C1",TRIM(Config!$E$1)="14C3"),VLOOKUP((F128+J128),OFFSET(Config!$A$377:$C$396,(I128*100-5)*20,0),3),VLOOKUP((F128+J128),OFFSET(Config!$A$54:$C$73,(I128*100-5)*20,0),3)))</f>
        <v>7</v>
      </c>
      <c r="I128" s="958">
        <f>IF(I101=2,'71'!$W$14/100,D128)</f>
        <v>0.08</v>
      </c>
      <c r="J128" s="457">
        <f>E128+A128</f>
        <v>4</v>
      </c>
      <c r="K128" s="603">
        <v>0</v>
      </c>
      <c r="L128" s="629">
        <f ca="1">IF($N$101=2,'81'!$P$14,IF(OR(TRIM(Config!$E$1)="12C1",TRIM(Config!$E$1)="12C3",TRIM(Config!$E$1)="14C1",TRIM(Config!$E$1)="14C3"),VLOOKUP((K128+O128),OFFSET(Config!$A$377:$C$396,(N128*100-5)*20,0),2),VLOOKUP((K128+O128),OFFSET(Config!$A$54:$C$73,(N128*100-5)*20,0),2)))</f>
        <v>6</v>
      </c>
      <c r="M128" s="629">
        <f ca="1">IF($N$101=2,'81'!$T$14,IF(OR(TRIM(Config!$E$1)="12C1",TRIM(Config!$E$1)="12C3",TRIM(Config!$E$1)="14C1",TRIM(Config!$E$1)="14C3"),VLOOKUP((K128+O128),OFFSET(Config!$A$377:$C$396,(N128*100-5)*20,0),3),VLOOKUP((K128+O128),OFFSET(Config!$A$54:$C$73,(N128*100-5)*20,0),3)))</f>
        <v>7</v>
      </c>
      <c r="N128" s="958">
        <f>IF(N101=2,'81'!$W$14/100,I128)</f>
        <v>0.08</v>
      </c>
      <c r="O128" s="457">
        <f>J128+F128</f>
        <v>5</v>
      </c>
      <c r="P128" s="603">
        <v>0</v>
      </c>
      <c r="Q128" s="629">
        <f ca="1">IF($S$101=2,'91'!$P$14,IF(OR(TRIM(Config!$E$1)="12C1",TRIM(Config!$E$1)="12C3",TRIM(Config!$E$1)="14C1",TRIM(Config!$E$1)="14C3"),VLOOKUP((P128+T128),OFFSET(Config!$A$377:$C$396,(S128*100-5)*20,0),2),VLOOKUP((P128+T128),OFFSET(Config!$A$54:$C$73,(S128*100-5)*20,0),2)))</f>
        <v>6</v>
      </c>
      <c r="R128" s="629">
        <f ca="1">IF($S$101=2,'91'!$T$14,IF(OR(TRIM(Config!$E$1)="12C1",TRIM(Config!$E$1)="12C3",TRIM(Config!$E$1)="14C1",TRIM(Config!$E$1)="14C3"),VLOOKUP((P128+T128),OFFSET(Config!$A$377:$C$396,(S128*100-5)*20,0),3),VLOOKUP((P128+T128),OFFSET(Config!$A$54:$C$73,(S128*100-5)*20,0),3)))</f>
        <v>7</v>
      </c>
      <c r="S128" s="958">
        <f>IF(S101=2,'91'!$W$14/100,N128)</f>
        <v>0.08</v>
      </c>
      <c r="T128" s="457">
        <f>O128+K128</f>
        <v>5</v>
      </c>
      <c r="U128" s="603">
        <v>0</v>
      </c>
      <c r="V128" s="629">
        <f ca="1">IF($X$101=2,'101'!$P$14,IF(OR(TRIM(Config!$E$1)="12C1",TRIM(Config!$E$1)="12C3",TRIM(Config!$E$1)="14C1",TRIM(Config!$E$1)="14C3"),VLOOKUP((U128+Y128),OFFSET(Config!$A$377:$C$396,(X128*100-5)*20,0),2),VLOOKUP((U128+Y128),OFFSET(Config!$A$54:$C$73,(X128*100-5)*20,0),2)))</f>
        <v>6</v>
      </c>
      <c r="W128" s="629">
        <f ca="1">IF($X$101=2,'101'!$T$14,IF(OR(TRIM(Config!$E$1)="12C1",TRIM(Config!$E$1)="12C3",TRIM(Config!$E$1)="14C1",TRIM(Config!$E$1)="14C3"),VLOOKUP((U128+Y128),OFFSET(Config!$A$377:$C$396,(X128*100-5)*20,0),3),VLOOKUP((U128+Y128),OFFSET(Config!$A$54:$C$73,(X128*100-5)*20,0),3)))</f>
        <v>7</v>
      </c>
      <c r="X128" s="958">
        <f>IF(X101=2,'101'!$W$14/100,S128)</f>
        <v>0.08</v>
      </c>
      <c r="Y128" s="457">
        <f>T128+P128</f>
        <v>5</v>
      </c>
      <c r="Z128" s="644">
        <v>203057.37672071182</v>
      </c>
      <c r="AA128" s="82">
        <v>9</v>
      </c>
      <c r="AB128" s="645">
        <v>-1264984.3690637515</v>
      </c>
      <c r="AC128" s="85">
        <v>7</v>
      </c>
      <c r="AI128" s="644">
        <v>1364710.9549988415</v>
      </c>
      <c r="AJ128" s="85">
        <v>25</v>
      </c>
    </row>
    <row r="129" spans="1:36" ht="12.75" customHeight="1" thickBot="1" x14ac:dyDescent="0.3">
      <c r="A129" s="603">
        <v>1</v>
      </c>
      <c r="B129" s="629">
        <f ca="1">IF($D$101=2,'61'!$P$15,IF(OR(TRIM(Config!$E$1)="12C1",TRIM(Config!$E$1)="12C3",TRIM(Config!$E$1)="14C1",TRIM(Config!$E$1)="14C3"),VLOOKUP((A129+E129),OFFSET(Config!$G$377:$I$396,(D128*100-5)*20,0),2),VLOOKUP((A129+E129),OFFSET(Config!$G$54:$I$73,(D129*100-5)*20,0),2)))</f>
        <v>2</v>
      </c>
      <c r="C129" s="629">
        <f ca="1">IF($D$101=2,'61'!$T$15,IF(OR(TRIM(Config!$E$1)="12C1",TRIM(Config!$E$1)="12C3",TRIM(Config!$E$1)="14C1",TRIM(Config!$E$1)="14C3"),VLOOKUP((A129+E129),OFFSET(Config!$G$377:$I$396,(D128*100-5)*20,0),3),VLOOKUP((A129+E129),OFFSET(Config!$G$54:$I$73,(D129*100-5)*20,0),3)))</f>
        <v>5</v>
      </c>
      <c r="D129" s="523">
        <v>7.0000000000000007E-2</v>
      </c>
      <c r="E129" s="457">
        <f>'52'!N30</f>
        <v>1</v>
      </c>
      <c r="F129" s="603">
        <v>0</v>
      </c>
      <c r="G129" s="629">
        <f ca="1">IF($I$101=2,'71'!$P$15,IF(OR(TRIM(Config!$E$1)="12C1",TRIM(Config!$E$1)="12C3",TRIM(Config!$E$1)="14C1",TRIM(Config!$E$1)="14C3"),VLOOKUP((F129+J129),OFFSET(Config!$G$377:$I$396,(I128*100-5)*20,0),2),VLOOKUP((F129+J129),OFFSET(Config!$G$54:$I$73,(I129*100-5)*20,0),2)))</f>
        <v>2</v>
      </c>
      <c r="H129" s="629">
        <f ca="1">IF($I$101=2,'71'!$T$15,IF(OR(TRIM(Config!$E$1)="12C1",TRIM(Config!$E$1)="12C3",TRIM(Config!$E$1)="14C1",TRIM(Config!$E$1)="14C3"),VLOOKUP((F129+J129),OFFSET(Config!$G$377:$I$396,(I128*100-5)*20,0),3),VLOOKUP((F129+J129),OFFSET(Config!$G$54:$I$73,(I129*100-5)*20,0),3)))</f>
        <v>5</v>
      </c>
      <c r="I129" s="958">
        <f>IF(I101=2,'71'!$W$15/100,D129)</f>
        <v>7.0000000000000007E-2</v>
      </c>
      <c r="J129" s="457">
        <f>E129+A129</f>
        <v>2</v>
      </c>
      <c r="K129" s="603">
        <v>0</v>
      </c>
      <c r="L129" s="629">
        <f ca="1">IF($N$101=2,'81'!$P$15,IF(OR(TRIM(Config!$E$1)="12C1",TRIM(Config!$E$1)="12C3",TRIM(Config!$E$1)="14C1",TRIM(Config!$E$1)="14C3"),VLOOKUP((K129+O129),OFFSET(Config!$G$377:$I$396,(N128*100-5)*20,0),2),VLOOKUP((K129+O129),OFFSET(Config!$G$54:$I$73,(N129*100-5)*20,0),2)))</f>
        <v>2</v>
      </c>
      <c r="M129" s="629">
        <f ca="1">IF($N$101=2,'81'!$T$15,IF(OR(TRIM(Config!$E$1)="12C1",TRIM(Config!$E$1)="12C3",TRIM(Config!$E$1)="14C1",TRIM(Config!$E$1)="14C3"),VLOOKUP((K129+O129),OFFSET(Config!$G$377:$I$396,(N128*100-5)*20,0),3),VLOOKUP((K129+O129),OFFSET(Config!$G$54:$I$73,(N129*100-5)*20,0),3)))</f>
        <v>5</v>
      </c>
      <c r="N129" s="958">
        <f>IF(N101=2,'81'!$W$15/100,I129)</f>
        <v>7.0000000000000007E-2</v>
      </c>
      <c r="O129" s="457">
        <f>J129+F129</f>
        <v>2</v>
      </c>
      <c r="P129" s="603">
        <v>0</v>
      </c>
      <c r="Q129" s="629">
        <f ca="1">IF($S$101=2,'91'!$P$15,IF(OR(TRIM(Config!$E$1)="12C1",TRIM(Config!$E$1)="12C3",TRIM(Config!$E$1)="14C1",TRIM(Config!$E$1)="14C3"),VLOOKUP((P129+T129),OFFSET(Config!$G$377:$I$396,(S128*100-5)*20,0),2),VLOOKUP((P129+T129),OFFSET(Config!$G$54:$I$73,(S129*100-5)*20,0),2)))</f>
        <v>2</v>
      </c>
      <c r="R129" s="629">
        <f ca="1">IF($S$101=2,'91'!$T$15,IF(OR(TRIM(Config!$E$1)="12C1",TRIM(Config!$E$1)="12C3",TRIM(Config!$E$1)="14C1",TRIM(Config!$E$1)="14C3"),VLOOKUP((P129+T129),OFFSET(Config!$G$377:$I$396,(S128*100-5)*20,0),3),VLOOKUP((P129+T129),OFFSET(Config!$G$54:$I$73,(S129*100-5)*20,0),3)))</f>
        <v>5</v>
      </c>
      <c r="S129" s="958">
        <f>IF(S101=2,'91'!$W$15/100,N129)</f>
        <v>7.0000000000000007E-2</v>
      </c>
      <c r="T129" s="457">
        <f>O129+K129</f>
        <v>2</v>
      </c>
      <c r="U129" s="603">
        <v>1</v>
      </c>
      <c r="V129" s="629">
        <f ca="1">IF($X$101=2,'101'!$P$15,IF(OR(TRIM(Config!$E$1)="12C1",TRIM(Config!$E$1)="12C3",TRIM(Config!$E$1)="14C1",TRIM(Config!$E$1)="14C3"),VLOOKUP((U129+Y129),OFFSET(Config!$G$377:$I$396,(X128*100-5)*20,0),2),VLOOKUP((U129+Y129),OFFSET(Config!$G$54:$I$73,(X129*100-5)*20,0),2)))</f>
        <v>3</v>
      </c>
      <c r="W129" s="629">
        <f ca="1">IF($X$101=2,'101'!$T$15,IF(OR(TRIM(Config!$E$1)="12C1",TRIM(Config!$E$1)="12C3",TRIM(Config!$E$1)="14C1",TRIM(Config!$E$1)="14C3"),VLOOKUP((U129+Y129),OFFSET(Config!$G$377:$I$396,(X128*100-5)*20,0),3),VLOOKUP((U129+Y129),OFFSET(Config!$G$54:$I$73,(X129*100-5)*20,0),3)))</f>
        <v>7</v>
      </c>
      <c r="X129" s="958">
        <f>IF(X101=2,'101'!$W$15/100,S129)</f>
        <v>7.0000000000000007E-2</v>
      </c>
      <c r="Y129" s="457">
        <f>T129+P129</f>
        <v>2</v>
      </c>
      <c r="Z129" s="648">
        <v>-8254007.4616187662</v>
      </c>
      <c r="AA129" s="152">
        <v>10</v>
      </c>
      <c r="AB129" s="649">
        <v>-1391676.0082325421</v>
      </c>
      <c r="AC129" s="153">
        <v>8</v>
      </c>
      <c r="AI129" s="648">
        <v>1345267.6228414951</v>
      </c>
      <c r="AJ129" s="153">
        <v>30</v>
      </c>
    </row>
    <row r="130" spans="1:36" ht="13.8" thickBot="1" x14ac:dyDescent="0.3">
      <c r="A130" s="15"/>
      <c r="B130" s="395">
        <v>0</v>
      </c>
      <c r="C130" s="395">
        <v>10</v>
      </c>
      <c r="D130" s="524">
        <v>0.06</v>
      </c>
      <c r="E130" s="457">
        <f>'52'!O30</f>
        <v>1</v>
      </c>
      <c r="F130" s="15"/>
      <c r="G130" s="395">
        <v>0</v>
      </c>
      <c r="H130" s="959">
        <f>IF(I101=2,'71'!$T$16,C130)</f>
        <v>10</v>
      </c>
      <c r="I130" s="960">
        <f>IF(I101=2,'71'!$W$16/100,D130)</f>
        <v>0.06</v>
      </c>
      <c r="J130" s="457">
        <f>E130</f>
        <v>1</v>
      </c>
      <c r="K130" s="15"/>
      <c r="L130" s="395">
        <v>0</v>
      </c>
      <c r="M130" s="959">
        <f>IF(N101=2,'81'!$T$16,H130)</f>
        <v>10</v>
      </c>
      <c r="N130" s="960">
        <f>IF(N101=2,'81'!$W$16/100,I130)</f>
        <v>0.06</v>
      </c>
      <c r="O130" s="457">
        <f>J130</f>
        <v>1</v>
      </c>
      <c r="P130" s="15"/>
      <c r="Q130" s="395">
        <v>0</v>
      </c>
      <c r="R130" s="959">
        <f>IF(S101=2,'91'!$T$16,M130)</f>
        <v>10</v>
      </c>
      <c r="S130" s="960">
        <f>IF(S101=2,'91'!$W$16/100,N130)</f>
        <v>0.06</v>
      </c>
      <c r="T130" s="457">
        <f>O130</f>
        <v>1</v>
      </c>
      <c r="U130" s="15"/>
      <c r="V130" s="395">
        <v>0</v>
      </c>
      <c r="W130" s="959">
        <f>IF(X101=2,'101'!$T$16,R130)</f>
        <v>10</v>
      </c>
      <c r="X130" s="960">
        <f>IF(X101=2,'101'!$W$16/100,S130)</f>
        <v>0.06</v>
      </c>
      <c r="Y130" s="457">
        <f>T130</f>
        <v>1</v>
      </c>
      <c r="AA130" s="771">
        <f t="array" ref="AA130">MAX(IF(Z133:Z145&lt;&gt;0,Z133:Z145,""))</f>
        <v>2033768.3573602254</v>
      </c>
      <c r="AC130" s="771">
        <f t="array" ref="AC130">MAX(IF(AB133:AB145&lt;&gt;0,AB133:AB145,""))</f>
        <v>2030600.930222858</v>
      </c>
      <c r="AE130" s="771">
        <f t="array" ref="AE130">MAX(IF(AD133:AD145&lt;&gt;0,AD133:AD145,""))</f>
        <v>2033548.8631521242</v>
      </c>
      <c r="AG130" s="771">
        <f t="array" ref="AG130">MAX(IF(AF133:AF145&lt;&gt;0,AF133:AF145,""))</f>
        <v>2044094.0443611564</v>
      </c>
      <c r="AI130" s="771">
        <f t="array" ref="AI130">MAX(IF(AH133:AH145&lt;&gt;0,AH133:AH145,""))</f>
        <v>2030134.1837969604</v>
      </c>
    </row>
    <row r="131" spans="1:36" ht="13.8" thickBot="1" x14ac:dyDescent="0.3">
      <c r="E131" s="483"/>
      <c r="J131" s="483"/>
      <c r="O131" s="483"/>
      <c r="T131" s="483"/>
      <c r="Y131" s="483"/>
      <c r="Z131" s="1100" t="str">
        <f>Lang!$A$67</f>
        <v>Direct advertising</v>
      </c>
      <c r="AA131" s="1101"/>
      <c r="AB131" s="1101"/>
      <c r="AC131" s="1101"/>
      <c r="AD131" s="1101"/>
      <c r="AE131" s="1101"/>
      <c r="AF131" s="1101"/>
      <c r="AG131" s="1101"/>
      <c r="AH131" s="1101"/>
      <c r="AI131" s="1102"/>
    </row>
    <row r="132" spans="1:36" x14ac:dyDescent="0.25">
      <c r="A132" s="1078" t="str">
        <f>Lang!$A$69</f>
        <v>Optimal advertising</v>
      </c>
      <c r="B132" s="1079"/>
      <c r="C132" s="1079"/>
      <c r="D132" s="453">
        <f ca="1">C286*E132/1000</f>
        <v>96.276592961769651</v>
      </c>
      <c r="E132" s="445">
        <v>0.06</v>
      </c>
      <c r="F132" s="1078" t="str">
        <f>A132</f>
        <v>Optimal advertising</v>
      </c>
      <c r="G132" s="1079"/>
      <c r="H132" s="1079"/>
      <c r="I132" s="453">
        <f ca="1">H286*J132/1000</f>
        <v>178.89947427858905</v>
      </c>
      <c r="J132" s="445">
        <v>0.09</v>
      </c>
      <c r="K132" s="1078" t="str">
        <f>A132</f>
        <v>Optimal advertising</v>
      </c>
      <c r="L132" s="1079"/>
      <c r="M132" s="1079"/>
      <c r="N132" s="453">
        <f ca="1">M286*O132/1000</f>
        <v>180.91684246683724</v>
      </c>
      <c r="O132" s="445">
        <v>0.08</v>
      </c>
      <c r="P132" s="1078" t="str">
        <f>A132</f>
        <v>Optimal advertising</v>
      </c>
      <c r="Q132" s="1079"/>
      <c r="R132" s="1079"/>
      <c r="S132" s="453">
        <f ca="1">R286*T132/1000</f>
        <v>181.5001193249376</v>
      </c>
      <c r="T132" s="445">
        <v>7.0000000000000007E-2</v>
      </c>
      <c r="U132" s="1078" t="str">
        <f>A132</f>
        <v>Optimal advertising</v>
      </c>
      <c r="V132" s="1079"/>
      <c r="W132" s="1079"/>
      <c r="X132" s="453">
        <f ca="1">W286*Y132/1000</f>
        <v>133.12740921696005</v>
      </c>
      <c r="Y132" s="445">
        <v>0.06</v>
      </c>
      <c r="Z132" s="807">
        <v>1</v>
      </c>
      <c r="AA132" s="626">
        <f>INDEX(AA133:AA145,MATCH(AA130,Z133:Z145,0))</f>
        <v>0.06</v>
      </c>
      <c r="AB132" s="808">
        <v>2</v>
      </c>
      <c r="AC132" s="626">
        <f>INDEX(AC133:AC145,MATCH(AC130,AB133:AB145,0))</f>
        <v>0.06</v>
      </c>
      <c r="AD132" s="808">
        <v>3</v>
      </c>
      <c r="AE132" s="626">
        <f>INDEX(AE133:AE145,MATCH(AE130,AD133:AD145,0))</f>
        <v>0.06</v>
      </c>
      <c r="AF132" s="808">
        <v>4</v>
      </c>
      <c r="AG132" s="626">
        <f>INDEX(AG133:AG145,MATCH(AG130,AF133:AF145,0))</f>
        <v>0.06</v>
      </c>
      <c r="AH132" s="808">
        <v>5</v>
      </c>
      <c r="AI132" s="627">
        <f>INDEX(AI133:AI145,MATCH(AI130,AH133:AH145,0))</f>
        <v>0.06</v>
      </c>
    </row>
    <row r="133" spans="1:36" x14ac:dyDescent="0.25">
      <c r="A133" s="433">
        <f ca="1">SUM(B383:D383)/SUM($B$383:$D$385)*SUM($A$138:$A$140)</f>
        <v>18.598689561801613</v>
      </c>
      <c r="B133" s="434">
        <f t="shared" ref="B133:D135" ca="1" si="5">B383/SUM($B$383:$D$385)*$D$132</f>
        <v>20.398848357803953</v>
      </c>
      <c r="C133" s="434">
        <f t="shared" ca="1" si="5"/>
        <v>20.135548485664135</v>
      </c>
      <c r="D133" s="438">
        <f t="shared" ca="1" si="5"/>
        <v>12.130852114293321</v>
      </c>
      <c r="E133" s="2"/>
      <c r="F133" s="433">
        <f ca="1">SUM(G383:I383)/SUM($G$383:$I$385)*SUM($F$138:$F$140)</f>
        <v>16.484365933622676</v>
      </c>
      <c r="G133" s="434">
        <f t="shared" ref="G133:I135" ca="1" si="6">G383/SUM($G$383:$I$385)*$I$132</f>
        <v>36.843950620692624</v>
      </c>
      <c r="H133" s="434">
        <f t="shared" ca="1" si="6"/>
        <v>31.784961645066769</v>
      </c>
      <c r="I133" s="438">
        <f t="shared" ca="1" si="6"/>
        <v>18.107687714857654</v>
      </c>
      <c r="J133" s="2"/>
      <c r="K133" s="433">
        <f ca="1">SUM(L383:N383)/SUM($L$383:$N$385)*SUM($K$138:$K$140)</f>
        <v>12.407638602550284</v>
      </c>
      <c r="L133" s="434">
        <f t="shared" ref="L133:N135" ca="1" si="7">L383/SUM($L$383:$N$385)*$N$132</f>
        <v>41.157111698349908</v>
      </c>
      <c r="M133" s="434">
        <f t="shared" ca="1" si="7"/>
        <v>30.098757696844505</v>
      </c>
      <c r="N133" s="438">
        <f t="shared" ca="1" si="7"/>
        <v>18.53416254252712</v>
      </c>
      <c r="O133" s="2"/>
      <c r="P133" s="433">
        <f ca="1">SUM(Q383:S383)/SUM($Q$383:$S$385)*SUM($P$138:$P$140)</f>
        <v>7.6419511843407708</v>
      </c>
      <c r="Q133" s="434">
        <f t="shared" ref="Q133:S135" ca="1" si="8">Q383/SUM($Q$383:$S$385)*$S$132</f>
        <v>40.230867198167196</v>
      </c>
      <c r="R133" s="434">
        <f t="shared" ca="1" si="8"/>
        <v>33.653292845573837</v>
      </c>
      <c r="S133" s="438">
        <f t="shared" ca="1" si="8"/>
        <v>18.583510078472173</v>
      </c>
      <c r="T133" s="2"/>
      <c r="U133" s="433">
        <f ca="1">SUM(V383:X383)/SUM($V$383:$X$385)*SUM($U$138:$U$140)</f>
        <v>0</v>
      </c>
      <c r="V133" s="434">
        <f t="shared" ref="V133:X135" ca="1" si="9">V383/SUM($V$383:$X$385)*$X$132</f>
        <v>29.780987814310066</v>
      </c>
      <c r="W133" s="434">
        <f t="shared" ca="1" si="9"/>
        <v>22.77352730715112</v>
      </c>
      <c r="X133" s="438">
        <f t="shared" ca="1" si="9"/>
        <v>11.20576637260895</v>
      </c>
      <c r="Y133" s="2"/>
      <c r="Z133" s="644">
        <v>0</v>
      </c>
      <c r="AA133" s="104">
        <v>0</v>
      </c>
      <c r="AB133" s="645">
        <v>0</v>
      </c>
      <c r="AC133" s="104">
        <v>0</v>
      </c>
      <c r="AD133" s="645">
        <v>0</v>
      </c>
      <c r="AE133" s="104">
        <v>0</v>
      </c>
      <c r="AF133" s="645">
        <v>0</v>
      </c>
      <c r="AG133" s="104">
        <v>0</v>
      </c>
      <c r="AH133" s="645">
        <v>0</v>
      </c>
      <c r="AI133" s="103">
        <v>0</v>
      </c>
    </row>
    <row r="134" spans="1:36" x14ac:dyDescent="0.25">
      <c r="A134" s="433">
        <f ca="1">SUM(B384:D384)/SUM($B$383:$D$385)*SUM($A$138:$A$140)</f>
        <v>5.361535364097656</v>
      </c>
      <c r="B134" s="434">
        <f t="shared" ca="1" si="5"/>
        <v>5.6075433159645653</v>
      </c>
      <c r="C134" s="434">
        <f t="shared" ca="1" si="5"/>
        <v>6.1280283275943708</v>
      </c>
      <c r="D134" s="438">
        <f t="shared" ca="1" si="5"/>
        <v>3.4464977064223405</v>
      </c>
      <c r="E134" s="2"/>
      <c r="F134" s="433">
        <f ca="1">SUM(G384:I384)/SUM($G$383:$I$385)*SUM($F$138:$F$140)</f>
        <v>10.295889040752824</v>
      </c>
      <c r="G134" s="434">
        <f t="shared" ca="1" si="6"/>
        <v>21.861552856037086</v>
      </c>
      <c r="H134" s="434">
        <f t="shared" ca="1" si="6"/>
        <v>20.0167683596408</v>
      </c>
      <c r="I134" s="438">
        <f t="shared" ca="1" si="6"/>
        <v>12.296065155538779</v>
      </c>
      <c r="J134" s="2"/>
      <c r="K134" s="433">
        <f ca="1">SUM(L384:N384)/SUM($L$383:$N$385)*SUM($K$138:$K$140)</f>
        <v>7.9302109647852559</v>
      </c>
      <c r="L134" s="434">
        <f t="shared" ca="1" si="7"/>
        <v>25.147187372161202</v>
      </c>
      <c r="M134" s="434">
        <f t="shared" ca="1" si="7"/>
        <v>18.726158643956367</v>
      </c>
      <c r="N134" s="438">
        <f t="shared" ca="1" si="7"/>
        <v>13.515003097676011</v>
      </c>
      <c r="O134" s="2"/>
      <c r="P134" s="433">
        <f ca="1">SUM(Q384:S384)/SUM($Q$383:$S$385)*SUM($P$138:$P$140)</f>
        <v>4.4721849314376954</v>
      </c>
      <c r="Q134" s="434">
        <f t="shared" ca="1" si="8"/>
        <v>20.750597686580022</v>
      </c>
      <c r="R134" s="434">
        <f t="shared" ca="1" si="8"/>
        <v>20.455430523871087</v>
      </c>
      <c r="S134" s="438">
        <f t="shared" ca="1" si="8"/>
        <v>12.907445036157537</v>
      </c>
      <c r="T134" s="2"/>
      <c r="U134" s="433">
        <f ca="1">SUM(V384:X384)/SUM($V$383:$X$385)*SUM($U$138:$U$140)</f>
        <v>0</v>
      </c>
      <c r="V134" s="434">
        <f t="shared" ca="1" si="9"/>
        <v>17.290951424481189</v>
      </c>
      <c r="W134" s="434">
        <f t="shared" ca="1" si="9"/>
        <v>15.327906016428278</v>
      </c>
      <c r="X134" s="438">
        <f t="shared" ca="1" si="9"/>
        <v>8.7533836492463752</v>
      </c>
      <c r="Y134" s="2"/>
      <c r="Z134" s="644">
        <v>0</v>
      </c>
      <c r="AA134" s="104">
        <v>0</v>
      </c>
      <c r="AB134" s="645">
        <v>0</v>
      </c>
      <c r="AC134" s="104">
        <v>0</v>
      </c>
      <c r="AD134" s="645">
        <v>0</v>
      </c>
      <c r="AE134" s="104">
        <v>0</v>
      </c>
      <c r="AF134" s="645">
        <v>0</v>
      </c>
      <c r="AG134" s="104">
        <v>0</v>
      </c>
      <c r="AH134" s="645">
        <v>0</v>
      </c>
      <c r="AI134" s="103">
        <v>0</v>
      </c>
    </row>
    <row r="135" spans="1:36" ht="13.8" thickBot="1" x14ac:dyDescent="0.3">
      <c r="A135" s="437">
        <f ca="1">SUM(B385:D385)/SUM($B$383:$D$385)*SUM($A$138:$A$140)</f>
        <v>10.039775074100731</v>
      </c>
      <c r="B135" s="436">
        <f t="shared" ca="1" si="5"/>
        <v>11.522407447441545</v>
      </c>
      <c r="C135" s="436">
        <f t="shared" ca="1" si="5"/>
        <v>10.149117460395777</v>
      </c>
      <c r="D135" s="435">
        <f t="shared" ca="1" si="5"/>
        <v>6.7577497461896456</v>
      </c>
      <c r="E135" s="2"/>
      <c r="F135" s="437">
        <f ca="1">SUM(G385:I385)/SUM($G$383:$I$385)*SUM($F$138:$F$140)</f>
        <v>7.2197450256244995</v>
      </c>
      <c r="G135" s="436">
        <f t="shared" ca="1" si="6"/>
        <v>16.417478663433677</v>
      </c>
      <c r="H135" s="436">
        <f t="shared" ca="1" si="6"/>
        <v>12.445103636859672</v>
      </c>
      <c r="I135" s="435">
        <f t="shared" ca="1" si="6"/>
        <v>9.1259056264619876</v>
      </c>
      <c r="J135" s="2"/>
      <c r="K135" s="437">
        <f ca="1">SUM(L385:N385)/SUM($L$383:$N$385)*SUM($K$138:$K$140)</f>
        <v>4.6621504326644612</v>
      </c>
      <c r="L135" s="436">
        <f t="shared" ca="1" si="7"/>
        <v>16.535280960494042</v>
      </c>
      <c r="M135" s="436">
        <f t="shared" ca="1" si="7"/>
        <v>9.5402766385498143</v>
      </c>
      <c r="N135" s="435">
        <f t="shared" ca="1" si="7"/>
        <v>7.6629038162782743</v>
      </c>
      <c r="O135" s="2"/>
      <c r="P135" s="437">
        <f ca="1">SUM(Q385:S385)/SUM($Q$383:$S$385)*SUM($P$138:$P$140)</f>
        <v>2.8858638842215356</v>
      </c>
      <c r="Q135" s="436">
        <f t="shared" ca="1" si="8"/>
        <v>16.780563769839176</v>
      </c>
      <c r="R135" s="436">
        <f t="shared" ca="1" si="8"/>
        <v>10.408835024246722</v>
      </c>
      <c r="S135" s="435">
        <f t="shared" ca="1" si="8"/>
        <v>7.729577162029873</v>
      </c>
      <c r="T135" s="2"/>
      <c r="U135" s="437">
        <f ca="1">SUM(V385:X385)/SUM($V$383:$X$385)*SUM($U$138:$U$140)</f>
        <v>0</v>
      </c>
      <c r="V135" s="436">
        <f t="shared" ca="1" si="9"/>
        <v>13.739338147607917</v>
      </c>
      <c r="W135" s="436">
        <f t="shared" ca="1" si="9"/>
        <v>8.5199074042784559</v>
      </c>
      <c r="X135" s="435">
        <f t="shared" ca="1" si="9"/>
        <v>5.7356410808476985</v>
      </c>
      <c r="Y135" s="2"/>
      <c r="Z135" s="644">
        <v>0</v>
      </c>
      <c r="AA135" s="104">
        <v>0</v>
      </c>
      <c r="AB135" s="645">
        <v>0</v>
      </c>
      <c r="AC135" s="104">
        <v>0</v>
      </c>
      <c r="AD135" s="645">
        <v>0</v>
      </c>
      <c r="AE135" s="104">
        <v>0</v>
      </c>
      <c r="AF135" s="645">
        <v>0</v>
      </c>
      <c r="AG135" s="104">
        <v>0</v>
      </c>
      <c r="AH135" s="645">
        <v>0</v>
      </c>
      <c r="AI135" s="103">
        <v>0</v>
      </c>
    </row>
    <row r="136" spans="1:36" ht="13.8" thickBot="1" x14ac:dyDescent="0.3">
      <c r="K136" s="25"/>
      <c r="O136" s="3" t="s">
        <v>0</v>
      </c>
      <c r="Z136" s="644">
        <v>0</v>
      </c>
      <c r="AA136" s="104">
        <v>0</v>
      </c>
      <c r="AB136" s="645">
        <v>0</v>
      </c>
      <c r="AC136" s="104">
        <v>0</v>
      </c>
      <c r="AD136" s="645">
        <v>0</v>
      </c>
      <c r="AE136" s="104">
        <v>0</v>
      </c>
      <c r="AF136" s="645">
        <v>0</v>
      </c>
      <c r="AG136" s="104">
        <v>0</v>
      </c>
      <c r="AH136" s="645">
        <v>0</v>
      </c>
      <c r="AI136" s="103">
        <v>0</v>
      </c>
    </row>
    <row r="137" spans="1:36" x14ac:dyDescent="0.25">
      <c r="A137" s="1080" t="str">
        <f>Lang!$A$38</f>
        <v>Advertising</v>
      </c>
      <c r="B137" s="1081"/>
      <c r="C137" s="1081"/>
      <c r="D137" s="453">
        <f>SUM(B138:D140)</f>
        <v>74</v>
      </c>
      <c r="E137" s="2"/>
      <c r="F137" s="1080" t="str">
        <f>A137</f>
        <v>Advertising</v>
      </c>
      <c r="G137" s="1081"/>
      <c r="H137" s="1081"/>
      <c r="I137" s="453">
        <f>SUM(G138:I140)</f>
        <v>79</v>
      </c>
      <c r="J137" s="2"/>
      <c r="K137" s="1080" t="str">
        <f>A137</f>
        <v>Advertising</v>
      </c>
      <c r="L137" s="1081"/>
      <c r="M137" s="1081"/>
      <c r="N137" s="453">
        <f>SUM(L138:N140)</f>
        <v>80</v>
      </c>
      <c r="O137" s="2"/>
      <c r="P137" s="1080" t="str">
        <f>A137</f>
        <v>Advertising</v>
      </c>
      <c r="Q137" s="1081"/>
      <c r="R137" s="1081"/>
      <c r="S137" s="453">
        <f>SUM(Q138:S140)</f>
        <v>84</v>
      </c>
      <c r="T137" s="2"/>
      <c r="U137" s="1080" t="str">
        <f>A137</f>
        <v>Advertising</v>
      </c>
      <c r="V137" s="1081"/>
      <c r="W137" s="1081"/>
      <c r="X137" s="453">
        <f>SUM(V138:X140)</f>
        <v>106</v>
      </c>
      <c r="Y137" s="2"/>
      <c r="Z137" s="644">
        <v>0</v>
      </c>
      <c r="AA137" s="104">
        <v>0</v>
      </c>
      <c r="AB137" s="645">
        <v>0</v>
      </c>
      <c r="AC137" s="104">
        <v>0</v>
      </c>
      <c r="AD137" s="645">
        <v>0</v>
      </c>
      <c r="AE137" s="104">
        <v>0</v>
      </c>
      <c r="AF137" s="645">
        <v>0</v>
      </c>
      <c r="AG137" s="104">
        <v>0</v>
      </c>
      <c r="AH137" s="645">
        <v>0</v>
      </c>
      <c r="AI137" s="103">
        <v>0</v>
      </c>
    </row>
    <row r="138" spans="1:36" x14ac:dyDescent="0.25">
      <c r="A138" s="427">
        <v>15</v>
      </c>
      <c r="B138" s="428">
        <v>10</v>
      </c>
      <c r="C138" s="428">
        <v>10</v>
      </c>
      <c r="D138" s="429">
        <v>12</v>
      </c>
      <c r="E138" s="457">
        <f>SUM(A138:D138)</f>
        <v>47</v>
      </c>
      <c r="F138" s="838">
        <f>IF(I101=2,'71'!$E$14,A138)</f>
        <v>15</v>
      </c>
      <c r="G138" s="428">
        <v>12</v>
      </c>
      <c r="H138" s="428">
        <v>10</v>
      </c>
      <c r="I138" s="429">
        <v>12</v>
      </c>
      <c r="J138" s="457">
        <f>SUM(F138:I138)</f>
        <v>49</v>
      </c>
      <c r="K138" s="838">
        <f>IF(N101=2,'81'!$E$14,MROUND(F138/1.5,5))</f>
        <v>10</v>
      </c>
      <c r="L138" s="428">
        <v>12</v>
      </c>
      <c r="M138" s="428">
        <v>10</v>
      </c>
      <c r="N138" s="429">
        <v>12</v>
      </c>
      <c r="O138" s="457">
        <f>SUM(K138:N138)</f>
        <v>44</v>
      </c>
      <c r="P138" s="838">
        <f>IF(S101=2,'91'!$E$14,MROUND(K138/1.5,5))</f>
        <v>5</v>
      </c>
      <c r="Q138" s="428">
        <v>12</v>
      </c>
      <c r="R138" s="428">
        <v>10</v>
      </c>
      <c r="S138" s="429">
        <v>12</v>
      </c>
      <c r="T138" s="457">
        <f>SUM(P138:S138)</f>
        <v>39</v>
      </c>
      <c r="U138" s="838">
        <f>IF(X101=2,'101'!$E$14,0)</f>
        <v>0</v>
      </c>
      <c r="V138" s="428">
        <v>12</v>
      </c>
      <c r="W138" s="428">
        <v>12</v>
      </c>
      <c r="X138" s="429">
        <v>14</v>
      </c>
      <c r="Y138" s="457">
        <f>SUM(U138:X138)</f>
        <v>38</v>
      </c>
      <c r="Z138" s="644">
        <v>0</v>
      </c>
      <c r="AA138" s="104">
        <v>0</v>
      </c>
      <c r="AB138" s="645">
        <v>0</v>
      </c>
      <c r="AC138" s="104">
        <v>0</v>
      </c>
      <c r="AD138" s="645">
        <v>0</v>
      </c>
      <c r="AE138" s="104">
        <v>0</v>
      </c>
      <c r="AF138" s="645">
        <v>0</v>
      </c>
      <c r="AG138" s="104">
        <v>0</v>
      </c>
      <c r="AH138" s="645">
        <v>0</v>
      </c>
      <c r="AI138" s="103">
        <v>0</v>
      </c>
    </row>
    <row r="139" spans="1:36" x14ac:dyDescent="0.25">
      <c r="A139" s="427">
        <v>7</v>
      </c>
      <c r="B139" s="428">
        <v>7</v>
      </c>
      <c r="C139" s="428">
        <v>7</v>
      </c>
      <c r="D139" s="429">
        <v>7</v>
      </c>
      <c r="E139" s="457">
        <f>SUM(A139:D139)</f>
        <v>28</v>
      </c>
      <c r="F139" s="838">
        <f>IF(I101=2,'71'!$E$15,A139)</f>
        <v>7</v>
      </c>
      <c r="G139" s="428">
        <v>9</v>
      </c>
      <c r="H139" s="428">
        <v>7</v>
      </c>
      <c r="I139" s="429">
        <v>7</v>
      </c>
      <c r="J139" s="457">
        <f>SUM(F139:I139)</f>
        <v>30</v>
      </c>
      <c r="K139" s="838">
        <f>IF(N101=2,'81'!$E$15,MROUND(F139/1.5,5))</f>
        <v>5</v>
      </c>
      <c r="L139" s="428">
        <v>10</v>
      </c>
      <c r="M139" s="428">
        <v>7</v>
      </c>
      <c r="N139" s="429">
        <v>7</v>
      </c>
      <c r="O139" s="457">
        <f>SUM(K139:N139)</f>
        <v>29</v>
      </c>
      <c r="P139" s="838">
        <f>IF(S101=2,'91'!$E$15,MROUND(K139/1.5,5))</f>
        <v>5</v>
      </c>
      <c r="Q139" s="428">
        <v>10</v>
      </c>
      <c r="R139" s="428">
        <v>8</v>
      </c>
      <c r="S139" s="429">
        <v>8</v>
      </c>
      <c r="T139" s="457">
        <f>SUM(P139:S139)</f>
        <v>31</v>
      </c>
      <c r="U139" s="838">
        <f>IF(X101=2,'101'!$E$15,0)</f>
        <v>0</v>
      </c>
      <c r="V139" s="428">
        <v>20</v>
      </c>
      <c r="W139" s="428">
        <v>10</v>
      </c>
      <c r="X139" s="429">
        <v>12</v>
      </c>
      <c r="Y139" s="457">
        <f>SUM(U139:X139)</f>
        <v>42</v>
      </c>
      <c r="Z139" s="646">
        <v>2033768.3573602254</v>
      </c>
      <c r="AA139" s="624">
        <v>0.06</v>
      </c>
      <c r="AB139" s="647">
        <v>2030600.930222858</v>
      </c>
      <c r="AC139" s="624">
        <v>0.06</v>
      </c>
      <c r="AD139" s="647">
        <v>2033548.8631521242</v>
      </c>
      <c r="AE139" s="624">
        <v>0.06</v>
      </c>
      <c r="AF139" s="647">
        <v>2044094.0443611564</v>
      </c>
      <c r="AG139" s="624">
        <v>0.06</v>
      </c>
      <c r="AH139" s="647">
        <v>2030134.1837969604</v>
      </c>
      <c r="AI139" s="625">
        <v>0.06</v>
      </c>
    </row>
    <row r="140" spans="1:36" ht="13.8" thickBot="1" x14ac:dyDescent="0.3">
      <c r="A140" s="430">
        <v>12</v>
      </c>
      <c r="B140" s="431">
        <v>7</v>
      </c>
      <c r="C140" s="431">
        <v>7</v>
      </c>
      <c r="D140" s="432">
        <v>7</v>
      </c>
      <c r="E140" s="457">
        <f>SUM(A140:D140)</f>
        <v>33</v>
      </c>
      <c r="F140" s="839">
        <f>IF(I101=2,'71'!$E$16,A140)</f>
        <v>12</v>
      </c>
      <c r="G140" s="431">
        <v>8</v>
      </c>
      <c r="H140" s="431">
        <v>7</v>
      </c>
      <c r="I140" s="432">
        <v>7</v>
      </c>
      <c r="J140" s="457">
        <f>SUM(F140:I140)</f>
        <v>34</v>
      </c>
      <c r="K140" s="839">
        <f>IF(N101=2,'81'!$E$16,MROUND(F140/1.5,5))</f>
        <v>10</v>
      </c>
      <c r="L140" s="431">
        <v>8</v>
      </c>
      <c r="M140" s="431">
        <v>7</v>
      </c>
      <c r="N140" s="432">
        <v>7</v>
      </c>
      <c r="O140" s="457">
        <f>SUM(K140:N140)</f>
        <v>32</v>
      </c>
      <c r="P140" s="839">
        <f>IF(S101=2,'91'!$E$16,MROUND(K140/1.5,5))</f>
        <v>5</v>
      </c>
      <c r="Q140" s="431">
        <v>8</v>
      </c>
      <c r="R140" s="431">
        <v>8</v>
      </c>
      <c r="S140" s="432">
        <v>8</v>
      </c>
      <c r="T140" s="457">
        <f>SUM(P140:S140)</f>
        <v>29</v>
      </c>
      <c r="U140" s="839">
        <f>IF(X101=2,'101'!$E$16,0)</f>
        <v>0</v>
      </c>
      <c r="V140" s="431">
        <v>8</v>
      </c>
      <c r="W140" s="431">
        <v>8</v>
      </c>
      <c r="X140" s="432">
        <v>10</v>
      </c>
      <c r="Y140" s="457">
        <f>SUM(U140:X140)</f>
        <v>26</v>
      </c>
      <c r="Z140" s="644">
        <v>2014731.8379312863</v>
      </c>
      <c r="AA140" s="104">
        <v>7.0000000000000007E-2</v>
      </c>
      <c r="AB140" s="645">
        <v>2024344.1406247914</v>
      </c>
      <c r="AC140" s="104">
        <v>7.0000000000000007E-2</v>
      </c>
      <c r="AD140" s="645">
        <v>2026444.2646745909</v>
      </c>
      <c r="AE140" s="104">
        <v>7.0000000000000007E-2</v>
      </c>
      <c r="AF140" s="645">
        <v>2018181.8491557541</v>
      </c>
      <c r="AG140" s="104">
        <v>7.0000000000000007E-2</v>
      </c>
      <c r="AH140" s="645">
        <v>2027605.4883545763</v>
      </c>
      <c r="AI140" s="103">
        <v>7.0000000000000007E-2</v>
      </c>
    </row>
    <row r="141" spans="1:36" ht="13.8" thickBot="1" x14ac:dyDescent="0.3">
      <c r="Z141" s="644">
        <v>1997269.7824937967</v>
      </c>
      <c r="AA141" s="104">
        <v>0.08</v>
      </c>
      <c r="AB141" s="645">
        <v>2017834.5822609875</v>
      </c>
      <c r="AC141" s="104">
        <v>0.08</v>
      </c>
      <c r="AD141" s="645">
        <v>2018634.2285274884</v>
      </c>
      <c r="AE141" s="104">
        <v>0.08</v>
      </c>
      <c r="AF141" s="645">
        <v>1989801.4567085467</v>
      </c>
      <c r="AG141" s="104">
        <v>0.08</v>
      </c>
      <c r="AH141" s="645">
        <v>2025533.7978796987</v>
      </c>
      <c r="AI141" s="103">
        <v>0.08</v>
      </c>
    </row>
    <row r="142" spans="1:36" ht="12.9" customHeight="1" x14ac:dyDescent="0.25">
      <c r="A142" s="1078" t="str">
        <f>Lang!$A$84</f>
        <v>Market shares</v>
      </c>
      <c r="B142" s="1079"/>
      <c r="C142" s="1079"/>
      <c r="D142" s="918">
        <v>10</v>
      </c>
      <c r="E142" s="457">
        <f ca="1">SUM(B143:D145)</f>
        <v>380.58618357487921</v>
      </c>
      <c r="F142" s="1078" t="str">
        <f>A142</f>
        <v>Market shares</v>
      </c>
      <c r="G142" s="1079"/>
      <c r="H142" s="1079"/>
      <c r="I142" s="918">
        <v>5</v>
      </c>
      <c r="J142" s="457">
        <f ca="1">SUM(G143:I145)</f>
        <v>450.51067632850254</v>
      </c>
      <c r="K142" s="1078" t="str">
        <f>A142</f>
        <v>Market shares</v>
      </c>
      <c r="L142" s="1079"/>
      <c r="M142" s="1079"/>
      <c r="N142" s="918">
        <v>5</v>
      </c>
      <c r="O142" s="457">
        <f ca="1">SUM(L143:N145)</f>
        <v>545.67231444883623</v>
      </c>
      <c r="P142" s="1078" t="str">
        <f>A142</f>
        <v>Market shares</v>
      </c>
      <c r="Q142" s="1079"/>
      <c r="R142" s="1079"/>
      <c r="S142" s="918">
        <v>3</v>
      </c>
      <c r="T142" s="457">
        <f ca="1">SUM(Q143:S145)</f>
        <v>600.42367361320839</v>
      </c>
      <c r="U142" s="1078" t="str">
        <f>A142</f>
        <v>Market shares</v>
      </c>
      <c r="V142" s="1079"/>
      <c r="W142" s="1079"/>
      <c r="X142" s="918">
        <v>0</v>
      </c>
      <c r="Y142" s="457">
        <f ca="1">SUM(V143:X145)</f>
        <v>625.69419279907083</v>
      </c>
      <c r="Z142" s="644">
        <v>1979416.1299146388</v>
      </c>
      <c r="AA142" s="104">
        <v>0.09</v>
      </c>
      <c r="AB142" s="645">
        <v>2010871.7164204197</v>
      </c>
      <c r="AC142" s="104">
        <v>0.09</v>
      </c>
      <c r="AD142" s="645">
        <v>2010211.2916257896</v>
      </c>
      <c r="AE142" s="104">
        <v>0.09</v>
      </c>
      <c r="AF142" s="645">
        <v>1960485.2602738603</v>
      </c>
      <c r="AG142" s="104">
        <v>0.09</v>
      </c>
      <c r="AH142" s="645">
        <v>2023505.6545829661</v>
      </c>
      <c r="AI142" s="103">
        <v>0.09</v>
      </c>
    </row>
    <row r="143" spans="1:36" ht="12.9" customHeight="1" x14ac:dyDescent="0.25">
      <c r="A143" s="892" t="str">
        <f>Lang!$A$7</f>
        <v>Europe</v>
      </c>
      <c r="B143" s="393">
        <f ca="1">IF($D$101=2,OFFSET(History!A$72,$B$253,0),OFFSET(Config!M27,$B$253*3,0)+(OFFSET(Config!M27,$B$253*3,0)-OFFSET(Config!M27,($B$253-1)*3,0))+IF($D$142&lt;&gt;0,$D$142,0))</f>
        <v>44.71304347826085</v>
      </c>
      <c r="C143" s="393">
        <f ca="1">IF($D$101=2,OFFSET(History!B$72,$B$253,0),OFFSET(Config!N27,$B$253*3,0)+(OFFSET(Config!N27,$B$253*3,0)-OFFSET(Config!N27,($B$253-1)*3,0))+IF($D$142&lt;&gt;0,$D$142,0))</f>
        <v>53.682608695652164</v>
      </c>
      <c r="D143" s="394">
        <f ca="1">IF($D$101=2,OFFSET(History!C$72,$B$253,0),OFFSET(Config!O27,$B$253*3,0)+(OFFSET(Config!O27,$B$253*3,0)-OFFSET(Config!O27,($B$253-1)*3,0))+IF($D$142&lt;&gt;0,$D$142,0))</f>
        <v>65.936956521739148</v>
      </c>
      <c r="E143" s="2"/>
      <c r="F143" s="892" t="str">
        <f>Lang!$A$7</f>
        <v>Europe</v>
      </c>
      <c r="G143" s="393">
        <f ca="1">IF(I$101=2,OFFSET(History!$A$72,G$253,0),B143+(OFFSET(Config!$M27,G$253*3,0)-OFFSET(Config!$M27,(G$253-1)*3,0))+IF(I$142&lt;&gt;0,I$142,0))</f>
        <v>51.341304347826096</v>
      </c>
      <c r="H143" s="393">
        <f ca="1">IF(I$101=2,OFFSET(History!$B$72,G$253,0),C143+(OFFSET(Config!$N27,G$253*3,0)-OFFSET(Config!$N27,(G$253-1)*3,0))+IF(I$142&lt;&gt;0,I$142,0))</f>
        <v>57.839130434782604</v>
      </c>
      <c r="I143" s="394">
        <f ca="1">IF(I$101=2,OFFSET(History!$C$72,G$253,0),D143+(OFFSET(Config!$O27,G$253*3,0)-OFFSET(Config!$O27,(G$253-1)*3,0))+IF(I$142&lt;&gt;0,I$142,0))</f>
        <v>70.273913043478274</v>
      </c>
      <c r="J143" s="2"/>
      <c r="K143" s="892" t="str">
        <f>Lang!$A$7</f>
        <v>Europe</v>
      </c>
      <c r="L143" s="393">
        <f ca="1">IF(N$101=2,OFFSET(History!$A$72,L$253,0),G143+(OFFSET(Config!$M27,L$253*3,0)-OFFSET(Config!$M27,(L$253-1)*3,0))+IF(N$142&lt;&gt;0,N$142,0))</f>
        <v>59.506521739130442</v>
      </c>
      <c r="M143" s="393">
        <f ca="1">IF(N$101=2,OFFSET(History!$B$72,L$253,0),H143+(OFFSET(Config!$N27,L$253*3,0)-OFFSET(Config!$N27,(L$253-1)*3,0))+IF(N$142&lt;&gt;0,N$142,0))</f>
        <v>67.517391304347825</v>
      </c>
      <c r="N143" s="394">
        <f ca="1">IF(N$101=2,OFFSET(History!$C$72,L$253,0),I143+(OFFSET(Config!$O27,L$253*3,0)-OFFSET(Config!$O27,(L$253-1)*3,0))+IF(N$142&lt;&gt;0,N$142,0))</f>
        <v>79.039130434782635</v>
      </c>
      <c r="O143" s="2"/>
      <c r="P143" s="892" t="str">
        <f>Lang!$A$7</f>
        <v>Europe</v>
      </c>
      <c r="Q143" s="393">
        <f ca="1">IF(S$101=2,OFFSET(History!$A$72,Q$253,0),L143+(OFFSET(Config!$M27,Q$253*3,0)-OFFSET(Config!$M27,(Q$253-1)*3,0))+IF(S$142&lt;&gt;0,S$142,0))</f>
        <v>64.236363636363649</v>
      </c>
      <c r="R143" s="393">
        <f ca="1">IF(S$101=2,OFFSET(History!$B$72,Q$253,0),M143+(OFFSET(Config!$N27,Q$253*3,0)-OFFSET(Config!$N27,(Q$253-1)*3,0))+IF(S$142&lt;&gt;0,S$142,0))</f>
        <v>71.645454545454527</v>
      </c>
      <c r="S143" s="394">
        <f ca="1">IF(S$101=2,OFFSET(History!$C$72,Q$253,0),N143+(OFFSET(Config!$O27,Q$253*3,0)-OFFSET(Config!$O27,(Q$253-1)*3,0))+IF(S$142&lt;&gt;0,S$142,0))</f>
        <v>82.375000000000028</v>
      </c>
      <c r="T143" s="2"/>
      <c r="U143" s="892" t="str">
        <f>Lang!$A$7</f>
        <v>Europe</v>
      </c>
      <c r="V143" s="393">
        <f ca="1">IF(X$101=2,OFFSET(History!$A$72,V$253,0),Q143+(OFFSET(Config!$M27,V$253*3,0)-OFFSET(Config!$M27,(V$253-1)*3,0))+IF(X$142&lt;&gt;0,X$142,0))</f>
        <v>66.447619047619014</v>
      </c>
      <c r="W143" s="393">
        <f ca="1">IF(X$101=2,OFFSET(History!$B$72,V$253,0),R143+(OFFSET(Config!$N27,V$253*3,0)-OFFSET(Config!$N27,(V$253-1)*3,0))+IF(X$142&lt;&gt;0,X$142,0))</f>
        <v>73.878571428571433</v>
      </c>
      <c r="X143" s="394">
        <f ca="1">IF(X$101=2,OFFSET(History!$C$72,V$253,0),S143+(OFFSET(Config!$O27,V$253*3,0)-OFFSET(Config!$O27,(V$253-1)*3,0))+IF(X$142&lt;&gt;0,X$142,0))</f>
        <v>84.088095238095264</v>
      </c>
      <c r="Y143" s="2"/>
      <c r="Z143" s="644">
        <v>1961135.7733407314</v>
      </c>
      <c r="AA143" s="104">
        <v>0.1</v>
      </c>
      <c r="AB143" s="645">
        <v>2003496.6736911193</v>
      </c>
      <c r="AC143" s="104">
        <v>0.1</v>
      </c>
      <c r="AD143" s="645">
        <v>2001256.7257156207</v>
      </c>
      <c r="AE143" s="104">
        <v>0.1</v>
      </c>
      <c r="AF143" s="645">
        <v>1930241.1865275197</v>
      </c>
      <c r="AG143" s="104">
        <v>0.1</v>
      </c>
      <c r="AH143" s="645">
        <v>2021505.3444854561</v>
      </c>
      <c r="AI143" s="103">
        <v>0.1</v>
      </c>
    </row>
    <row r="144" spans="1:36" ht="12.9" customHeight="1" x14ac:dyDescent="0.25">
      <c r="A144" s="892" t="str">
        <f>Lang!$A$9</f>
        <v>Nafta</v>
      </c>
      <c r="B144" s="393">
        <f ca="1">IF($D$101=2,OFFSET(History!D$72,$B$253,0),OFFSET(Config!M28,$B$253*3,0)+(OFFSET(Config!M28,$B$253*3,0)-OFFSET(Config!M28,($B$253-1)*3,0))+IF($D$142&lt;&gt;0,$D$142,0))</f>
        <v>19.384782608695652</v>
      </c>
      <c r="C144" s="393">
        <f ca="1">IF($D$101=2,OFFSET(History!E$72,$B$253,0),OFFSET(Config!N28,$B$253*3,0)+(OFFSET(Config!N28,$B$253*3,0)-OFFSET(Config!N28,($B$253-1)*3,0))+IF($D$142&lt;&gt;0,$D$142,0))</f>
        <v>25.243478260869562</v>
      </c>
      <c r="D144" s="394">
        <f ca="1">IF($D$101=2,OFFSET(History!F$72,$B$253,0),OFFSET(Config!O28,$B$253*3,0)+(OFFSET(Config!O28,$B$253*3,0)-OFFSET(Config!O28,($B$253-1)*3,0))+IF($D$142&lt;&gt;0,$D$142,0))</f>
        <v>31.464444444444446</v>
      </c>
      <c r="E144" s="2"/>
      <c r="F144" s="892" t="str">
        <f>Lang!$A$9</f>
        <v>Nafta</v>
      </c>
      <c r="G144" s="393">
        <f ca="1">IF(I$101=2,OFFSET(History!$D$72,G$253,0),B144+(OFFSET(Config!$M28,G$253*3,0)-OFFSET(Config!$M28,(G$253-1)*3,0))+IF(I$142&lt;&gt;0,I$142,0))</f>
        <v>26.760869565217394</v>
      </c>
      <c r="H144" s="393">
        <f ca="1">IF(I$101=2,OFFSET(History!$E$72,G$253,0),C144+(OFFSET(Config!$N28,G$253*3,0)-OFFSET(Config!$N28,(G$253-1)*3,0))+IF(I$142&lt;&gt;0,I$142,0))</f>
        <v>33.889130434782615</v>
      </c>
      <c r="I144" s="394">
        <f ca="1">IF(I$101=2,OFFSET(History!$F$72,G$253,0),D144+(OFFSET(Config!$O28,G$253*3,0)-OFFSET(Config!$O28,(G$253-1)*3,0))+IF(I$142&lt;&gt;0,I$142,0))</f>
        <v>40.291111111111121</v>
      </c>
      <c r="J144" s="2"/>
      <c r="K144" s="892" t="str">
        <f>Lang!$A$9</f>
        <v>Nafta</v>
      </c>
      <c r="L144" s="393">
        <f ca="1">IF(N$101=2,OFFSET(History!$D$72,L$253,0),G144+(OFFSET(Config!$M28,L$253*3,0)-OFFSET(Config!$M28,(L$253-1)*3,0))+IF(N$142&lt;&gt;0,N$142,0))</f>
        <v>35.095555555555549</v>
      </c>
      <c r="M144" s="393">
        <f ca="1">IF(N$101=2,OFFSET(History!$E$72,L$253,0),H144+(OFFSET(Config!$N28,L$253*3,0)-OFFSET(Config!$N28,(L$253-1)*3,0))+IF(N$142&lt;&gt;0,N$142,0))</f>
        <v>44.739999999999995</v>
      </c>
      <c r="N144" s="394">
        <f ca="1">IF(N$101=2,OFFSET(History!$F$72,L$253,0),I144+(OFFSET(Config!$O28,L$253*3,0)-OFFSET(Config!$O28,(L$253-1)*3,0))+IF(N$142&lt;&gt;0,N$142,0))</f>
        <v>52.945454545454538</v>
      </c>
      <c r="O144" s="2"/>
      <c r="P144" s="892" t="str">
        <f>Lang!$A$9</f>
        <v>Nafta</v>
      </c>
      <c r="Q144" s="393">
        <f ca="1">IF(S$101=2,OFFSET(History!$D$72,Q$253,0),L144+(OFFSET(Config!$M28,Q$253*3,0)-OFFSET(Config!$M28,(Q$253-1)*3,0))+IF(S$142&lt;&gt;0,S$142,0))</f>
        <v>42.825581395348834</v>
      </c>
      <c r="R144" s="393">
        <f ca="1">IF(S$101=2,OFFSET(History!$E$72,Q$253,0),M144+(OFFSET(Config!$N28,Q$253*3,0)-OFFSET(Config!$N28,(Q$253-1)*3,0))+IF(S$142&lt;&gt;0,S$142,0))</f>
        <v>52.72558139534884</v>
      </c>
      <c r="S144" s="394">
        <f ca="1">IF(S$101=2,OFFSET(History!$F$72,Q$253,0),N144+(OFFSET(Config!$O28,Q$253*3,0)-OFFSET(Config!$O28,(Q$253-1)*3,0))+IF(S$142&lt;&gt;0,S$142,0))</f>
        <v>60.795238095238076</v>
      </c>
      <c r="T144" s="2"/>
      <c r="U144" s="892" t="str">
        <f>Lang!$A$9</f>
        <v>Nafta</v>
      </c>
      <c r="V144" s="393">
        <f ca="1">IF(X$101=2,OFFSET(History!$D$72,V$253,0),Q144+(OFFSET(Config!$M28,V$253*3,0)-OFFSET(Config!$M28,(V$253-1)*3,0))+IF(X$142&lt;&gt;0,X$142,0))</f>
        <v>46.197560975609761</v>
      </c>
      <c r="W144" s="393">
        <f ca="1">IF(X$101=2,OFFSET(History!$E$72,V$253,0),R144+(OFFSET(Config!$N28,V$253*3,0)-OFFSET(Config!$N28,(V$253-1)*3,0))+IF(X$142&lt;&gt;0,X$142,0))</f>
        <v>57.014634146341464</v>
      </c>
      <c r="X144" s="394">
        <f ca="1">IF(X$101=2,OFFSET(History!$F$72,V$253,0),S144+(OFFSET(Config!$O28,V$253*3,0)-OFFSET(Config!$O28,(V$253-1)*3,0))+IF(X$142&lt;&gt;0,X$142,0))</f>
        <v>64.943902439024399</v>
      </c>
      <c r="Y144" s="2"/>
      <c r="Z144" s="644">
        <v>1942495.546906396</v>
      </c>
      <c r="AA144" s="104">
        <v>0.11</v>
      </c>
      <c r="AB144" s="645">
        <v>1995713.5571294387</v>
      </c>
      <c r="AC144" s="104">
        <v>0.11</v>
      </c>
      <c r="AD144" s="645">
        <v>1990641.0437824018</v>
      </c>
      <c r="AE144" s="104">
        <v>0.11</v>
      </c>
      <c r="AF144" s="645">
        <v>1899069.6967618277</v>
      </c>
      <c r="AG144" s="104">
        <v>0.11</v>
      </c>
      <c r="AH144" s="645">
        <v>2019526.5098830217</v>
      </c>
      <c r="AI144" s="103">
        <v>0.11</v>
      </c>
    </row>
    <row r="145" spans="1:38" ht="12.9" customHeight="1" thickBot="1" x14ac:dyDescent="0.3">
      <c r="A145" s="893" t="str">
        <f>Lang!$A$11</f>
        <v>Internet</v>
      </c>
      <c r="B145" s="919">
        <f ca="1">IF($D$101=2,OFFSET(History!G$72,$B$253,0),OFFSET(Config!M29,$B$253*3,0)+(OFFSET(Config!M29,$B$253*3,0)-OFFSET(Config!M29,($B$253-1)*3,0))+IF($D$142&lt;&gt;0,$D$142,0))</f>
        <v>38.841304347826082</v>
      </c>
      <c r="C145" s="919">
        <f ca="1">IF($D$101=2,OFFSET(History!H$72,$B$253,0),OFFSET(Config!N29,$B$253*3,0)+(OFFSET(Config!N29,$B$253*3,0)-OFFSET(Config!N29,($B$253-1)*3,0))+IF($D$142&lt;&gt;0,$D$142,0))</f>
        <v>43.604347826086958</v>
      </c>
      <c r="D145" s="920">
        <f ca="1">IF($D$101=2,OFFSET(History!I$72,$B$253,0),OFFSET(Config!O29,$B$253*3,0)+(OFFSET(Config!O29,$B$253*3,0)-OFFSET(Config!O29,($B$253-1)*3,0))+IF($D$142&lt;&gt;0,$D$142,0))</f>
        <v>57.715217391304328</v>
      </c>
      <c r="E145" s="151"/>
      <c r="F145" s="893" t="str">
        <f>Lang!$A$11</f>
        <v>Internet</v>
      </c>
      <c r="G145" s="919">
        <f ca="1">IF(I$101=2,OFFSET(History!$G$72,G$253,0),B145+(OFFSET(Config!$M29,G$253*3,0)-OFFSET(Config!$M29,(G$253-1)*3,0))+IF(I$142&lt;&gt;0,I$142,0))</f>
        <v>49.26304347826089</v>
      </c>
      <c r="H145" s="919">
        <f ca="1">IF(I$101=2,OFFSET(History!$H$72,G$253,0),C145+(OFFSET(Config!$N29,G$253*3,0)-OFFSET(Config!$N29,(G$253-1)*3,0))+IF(I$142&lt;&gt;0,I$142,0))</f>
        <v>53.282608695652172</v>
      </c>
      <c r="I145" s="920">
        <f ca="1">IF(I$101=2,OFFSET(History!$I$72,G$253,0),D145+(OFFSET(Config!$O29,G$253*3,0)-OFFSET(Config!$O29,(G$253-1)*3,0))+IF(I$142&lt;&gt;0,I$142,0))</f>
        <v>67.569565217391329</v>
      </c>
      <c r="J145" s="151"/>
      <c r="K145" s="893" t="str">
        <f>Lang!$A$11</f>
        <v>Internet</v>
      </c>
      <c r="L145" s="919">
        <f ca="1">IF(N$101=2,OFFSET(History!$G$72,L$253,0),G145+(OFFSET(Config!$M29,L$253*3,0)-OFFSET(Config!$M29,(L$253-1)*3,0))+IF(N$142&lt;&gt;0,N$142,0))</f>
        <v>60.673913043478265</v>
      </c>
      <c r="M145" s="919">
        <f ca="1">IF(N$101=2,OFFSET(History!$H$72,L$253,0),H145+(OFFSET(Config!$N29,L$253*3,0)-OFFSET(Config!$N29,(L$253-1)*3,0))+IF(N$142&lt;&gt;0,N$142,0))</f>
        <v>66.928260869565221</v>
      </c>
      <c r="N145" s="920">
        <f ca="1">IF(N$101=2,OFFSET(History!$I$72,L$253,0),I145+(OFFSET(Config!$O29,L$253*3,0)-OFFSET(Config!$O29,(L$253-1)*3,0))+IF(N$142&lt;&gt;0,N$142,0))</f>
        <v>79.226086956521726</v>
      </c>
      <c r="O145" s="151"/>
      <c r="P145" s="893" t="str">
        <f>Lang!$A$11</f>
        <v>Internet</v>
      </c>
      <c r="Q145" s="919">
        <f ca="1">IF(S$101=2,OFFSET(History!$G$72,Q$253,0),L145+(OFFSET(Config!$M29,Q$253*3,0)-OFFSET(Config!$M29,(Q$253-1)*3,0))+IF(S$142&lt;&gt;0,S$142,0))</f>
        <v>67.963636363636354</v>
      </c>
      <c r="R145" s="919">
        <f ca="1">IF(S$101=2,OFFSET(History!$H$72,Q$253,0),M145+(OFFSET(Config!$N29,Q$253*3,0)-OFFSET(Config!$N29,(Q$253-1)*3,0))+IF(S$142&lt;&gt;0,S$142,0))</f>
        <v>73.315909090909088</v>
      </c>
      <c r="S145" s="920">
        <f ca="1">IF(S$101=2,OFFSET(History!$I$72,Q$253,0),N145+(OFFSET(Config!$O29,Q$253*3,0)-OFFSET(Config!$O29,(Q$253-1)*3,0))+IF(S$142&lt;&gt;0,S$142,0))</f>
        <v>84.540909090909082</v>
      </c>
      <c r="T145" s="151"/>
      <c r="U145" s="893" t="str">
        <f>Lang!$A$11</f>
        <v>Internet</v>
      </c>
      <c r="V145" s="919">
        <f ca="1">IF(X$101=2,OFFSET(History!$G$72,V$253,0),Q145+(OFFSET(Config!$M29,V$253*3,0)-OFFSET(Config!$M29,(V$253-1)*3,0))+IF(X$142&lt;&gt;0,X$142,0))</f>
        <v>70.495238095238079</v>
      </c>
      <c r="W145" s="919">
        <f ca="1">IF(X$101=2,OFFSET(History!$H$72,V$253,0),R145+(OFFSET(Config!$N29,V$253*3,0)-OFFSET(Config!$N29,(V$253-1)*3,0))+IF(X$142&lt;&gt;0,X$142,0))</f>
        <v>75.723809523809521</v>
      </c>
      <c r="X145" s="920">
        <f ca="1">IF(X$101=2,OFFSET(History!$I$72,V$253,0),S145+(OFFSET(Config!$O29,V$253*3,0)-OFFSET(Config!$O29,(V$253-1)*3,0))+IF(X$142&lt;&gt;0,X$142,0))</f>
        <v>86.90476190476187</v>
      </c>
      <c r="Y145" s="151"/>
      <c r="Z145" s="648">
        <v>1923380.8556543607</v>
      </c>
      <c r="AA145" s="105">
        <v>0.12</v>
      </c>
      <c r="AB145" s="649">
        <v>1986527.0181685411</v>
      </c>
      <c r="AC145" s="105">
        <v>0.12</v>
      </c>
      <c r="AD145" s="649">
        <v>1978633.0112827427</v>
      </c>
      <c r="AE145" s="105">
        <v>0.12</v>
      </c>
      <c r="AF145" s="649">
        <v>1866946.8213511449</v>
      </c>
      <c r="AG145" s="105">
        <v>0.12</v>
      </c>
      <c r="AH145" s="649">
        <v>2017572.6117639884</v>
      </c>
      <c r="AI145" s="106">
        <v>0.12</v>
      </c>
    </row>
    <row r="146" spans="1:38" ht="12.9" customHeight="1" thickBot="1" x14ac:dyDescent="0.3">
      <c r="E146" s="2"/>
      <c r="J146" s="2"/>
      <c r="O146" s="2"/>
      <c r="T146" s="2"/>
      <c r="Y146" s="2"/>
    </row>
    <row r="147" spans="1:38" ht="12.9" customHeight="1" x14ac:dyDescent="0.25">
      <c r="A147" s="1078" t="str">
        <f>Lang!$A$91</f>
        <v>Variable costs in price</v>
      </c>
      <c r="B147" s="1079"/>
      <c r="C147" s="1079"/>
      <c r="D147" s="1088"/>
      <c r="E147" s="2"/>
      <c r="F147" s="1078" t="str">
        <f>A147</f>
        <v>Variable costs in price</v>
      </c>
      <c r="G147" s="1079"/>
      <c r="H147" s="1079"/>
      <c r="I147" s="1088"/>
      <c r="J147" s="2"/>
      <c r="K147" s="1078" t="str">
        <f>A147</f>
        <v>Variable costs in price</v>
      </c>
      <c r="L147" s="1079"/>
      <c r="M147" s="1079"/>
      <c r="N147" s="1088"/>
      <c r="O147" s="2"/>
      <c r="P147" s="1078" t="str">
        <f>A147</f>
        <v>Variable costs in price</v>
      </c>
      <c r="Q147" s="1079"/>
      <c r="R147" s="1079"/>
      <c r="S147" s="1088"/>
      <c r="T147" s="2"/>
      <c r="U147" s="1078" t="str">
        <f>A147</f>
        <v>Variable costs in price</v>
      </c>
      <c r="V147" s="1079"/>
      <c r="W147" s="1079"/>
      <c r="X147" s="1088"/>
      <c r="Y147" s="2"/>
      <c r="Z147" s="1080" t="str">
        <f>Lang!$A$199</f>
        <v>Component cost</v>
      </c>
      <c r="AA147" s="1081"/>
      <c r="AB147" s="1081"/>
      <c r="AC147" s="1081"/>
      <c r="AD147" s="1081"/>
      <c r="AE147" s="1081"/>
      <c r="AF147" s="1081"/>
      <c r="AG147" s="1081"/>
      <c r="AH147" s="1081"/>
      <c r="AI147" s="1081"/>
      <c r="AJ147" s="1081"/>
      <c r="AK147" s="1081"/>
      <c r="AL147" s="1103"/>
    </row>
    <row r="148" spans="1:38" ht="12.75" customHeight="1" x14ac:dyDescent="0.25">
      <c r="A148" s="892" t="str">
        <f>Lang!$A$7</f>
        <v>Europe</v>
      </c>
      <c r="B148" s="449">
        <f ca="1">B492/(B102*(1+'52'!U$8/'52'!U$6))/A244</f>
        <v>0.62564926238028307</v>
      </c>
      <c r="C148" s="449">
        <f ca="1">C492/(C102*(1+'52'!W$8/'52'!W$6))/B244</f>
        <v>0.63833776627014249</v>
      </c>
      <c r="D148" s="450">
        <f ca="1">D492/(D102*(1+'52'!Y$8/'52'!Y$6))/C244</f>
        <v>0.71677926620017041</v>
      </c>
      <c r="E148" s="448">
        <f ca="1">E149+E150</f>
        <v>0.89561196415094424</v>
      </c>
      <c r="F148" s="892" t="str">
        <f>Lang!$A$7</f>
        <v>Europe</v>
      </c>
      <c r="G148" s="449">
        <f ca="1">G492/(G102*(1+'52'!U$8/'52'!U$6))/F244</f>
        <v>0.62784865908863663</v>
      </c>
      <c r="H148" s="449">
        <f ca="1">H492/(H102*(1+'52'!W$8/'52'!W$6))/G244</f>
        <v>0.64122967823393762</v>
      </c>
      <c r="I148" s="450">
        <f ca="1">I492/(I102*(1+'52'!Y$8/'52'!Y$6))/H244</f>
        <v>0.71492043438168751</v>
      </c>
      <c r="J148" s="448">
        <f ca="1">J149+J150</f>
        <v>0.89593968959801062</v>
      </c>
      <c r="K148" s="892" t="str">
        <f>Lang!$A$7</f>
        <v>Europe</v>
      </c>
      <c r="L148" s="449">
        <f ca="1">L492/(L102*(1+'52'!U$8/'52'!U$6))/K244</f>
        <v>0.66184434036164896</v>
      </c>
      <c r="M148" s="449">
        <f ca="1">M492/(M102*(1+'52'!W$8/'52'!W$6))/L244</f>
        <v>0.67683931549129339</v>
      </c>
      <c r="N148" s="450">
        <f ca="1">N492/(N102*(1+'52'!Y$8/'52'!Y$6))/M244</f>
        <v>0.74502969978438915</v>
      </c>
      <c r="O148" s="448">
        <f ca="1">O149+O150</f>
        <v>0.89563213329657476</v>
      </c>
      <c r="P148" s="892" t="str">
        <f>Lang!$A$7</f>
        <v>Europe</v>
      </c>
      <c r="Q148" s="449">
        <f ca="1">Q492/(Q102*(1+'52'!U$8/'52'!U$6))/P244</f>
        <v>0.6964154233448534</v>
      </c>
      <c r="R148" s="449">
        <f ca="1">R492/(R102*(1+'52'!W$8/'52'!W$6))/Q244</f>
        <v>0.71190375292712549</v>
      </c>
      <c r="S148" s="450">
        <f ca="1">S492/(S102*(1+'52'!Y$8/'52'!Y$6))/R244</f>
        <v>0.79543348805153458</v>
      </c>
      <c r="T148" s="448">
        <f ca="1">T149+T150</f>
        <v>0.91673218860027228</v>
      </c>
      <c r="U148" s="892" t="str">
        <f>Lang!$A$7</f>
        <v>Europe</v>
      </c>
      <c r="V148" s="449" t="e">
        <f ca="1">V492/(V102*(1+'52'!U$8/'52'!U$6))/U244</f>
        <v>#DIV/0!</v>
      </c>
      <c r="W148" s="449" t="e">
        <f ca="1">W492/(W102*(1+'52'!W$8/'52'!W$6))/V244</f>
        <v>#DIV/0!</v>
      </c>
      <c r="X148" s="450" t="e">
        <f ca="1">X492/(X102*(1+'52'!Y$8/'52'!Y$6))/W244</f>
        <v>#DIV/0!</v>
      </c>
      <c r="Y148" s="448" t="e">
        <f ca="1">Y149+Y150</f>
        <v>#DIV/0!</v>
      </c>
      <c r="Z148" s="1141" t="str">
        <f>Lang!$A$200</f>
        <v>Stocks</v>
      </c>
      <c r="AA148" s="1142"/>
      <c r="AB148" s="1142"/>
      <c r="AC148" s="1142" t="str">
        <f>Lang!$A$201</f>
        <v>Order</v>
      </c>
      <c r="AD148" s="1142"/>
      <c r="AE148" s="1142"/>
      <c r="AF148" s="1142" t="str">
        <f>Lang!$A$74</f>
        <v>Prices</v>
      </c>
      <c r="AG148" s="1142"/>
      <c r="AH148" s="1169"/>
      <c r="AI148" s="1142" t="str">
        <f>Lang!$A$140</f>
        <v>Balance</v>
      </c>
      <c r="AJ148" s="1142"/>
      <c r="AK148" s="1169"/>
      <c r="AL148" s="896" t="str">
        <f>Lang!$A$202</f>
        <v>Warehouse</v>
      </c>
    </row>
    <row r="149" spans="1:38" ht="12.9" customHeight="1" x14ac:dyDescent="0.25">
      <c r="A149" s="892" t="str">
        <f>Lang!$A$9</f>
        <v>Nafta</v>
      </c>
      <c r="B149" s="449">
        <f ca="1">B493/(B103*(1+'52'!U$8/'52'!U$6))/A245</f>
        <v>0.67217202404450738</v>
      </c>
      <c r="C149" s="449">
        <f ca="1">C493/(C103*(1+'52'!W$8/'52'!W$6))/B245</f>
        <v>0.69141503981956032</v>
      </c>
      <c r="D149" s="450">
        <f ca="1">D493/(D103*(1+'52'!Y$8/'52'!Y$6))/C245</f>
        <v>0.76329565286932488</v>
      </c>
      <c r="E149" s="448">
        <f ca="1">A487</f>
        <v>0.63034067506894176</v>
      </c>
      <c r="F149" s="892" t="str">
        <f>Lang!$A$9</f>
        <v>Nafta</v>
      </c>
      <c r="G149" s="449">
        <f ca="1">G493/(G103*(1+'52'!U$8/'52'!U$6))/F245</f>
        <v>0.66677565866875221</v>
      </c>
      <c r="H149" s="449">
        <f ca="1">H493/(H103*(1+'52'!W$8/'52'!W$6))/G245</f>
        <v>0.69364160313545065</v>
      </c>
      <c r="I149" s="450">
        <f ca="1">I493/(I103*(1+'52'!Y$8/'52'!Y$6))/H245</f>
        <v>0.75311776826134924</v>
      </c>
      <c r="J149" s="448">
        <f ca="1">F487</f>
        <v>0.64976327058551453</v>
      </c>
      <c r="K149" s="892" t="str">
        <f>Lang!$A$9</f>
        <v>Nafta</v>
      </c>
      <c r="L149" s="449">
        <f ca="1">L493/(L103*(1+'52'!U$8/'52'!U$6))/K245</f>
        <v>0.68795185323427865</v>
      </c>
      <c r="M149" s="449">
        <f ca="1">M493/(M103*(1+'52'!W$8/'52'!W$6))/L245</f>
        <v>0.71421828994207714</v>
      </c>
      <c r="N149" s="450">
        <f ca="1">N493/(N103*(1+'52'!Y$8/'52'!Y$6))/M245</f>
        <v>0.77475840728874645</v>
      </c>
      <c r="O149" s="448">
        <f ca="1">K487</f>
        <v>0.67956732237651829</v>
      </c>
      <c r="P149" s="892" t="str">
        <f>Lang!$A$9</f>
        <v>Nafta</v>
      </c>
      <c r="Q149" s="449">
        <f ca="1">Q493/(Q103*(1+'52'!U$8/'52'!U$6))/P245</f>
        <v>0.74037489563019632</v>
      </c>
      <c r="R149" s="449">
        <f ca="1">R493/(R103*(1+'52'!W$8/'52'!W$6))/Q245</f>
        <v>0.75504390813712385</v>
      </c>
      <c r="S149" s="450">
        <f ca="1">S493/(S103*(1+'52'!Y$8/'52'!Y$6))/R245</f>
        <v>0.84091618062612583</v>
      </c>
      <c r="T149" s="448">
        <f ca="1">P487</f>
        <v>0.73062487437043999</v>
      </c>
      <c r="U149" s="892" t="str">
        <f>Lang!$A$9</f>
        <v>Nafta</v>
      </c>
      <c r="V149" s="449" t="e">
        <f ca="1">V493/(V103*(1+'52'!U$8/'52'!U$6))/U245</f>
        <v>#DIV/0!</v>
      </c>
      <c r="W149" s="449" t="e">
        <f ca="1">W493/(W103*(1+'52'!W$8/'52'!W$6))/V245</f>
        <v>#DIV/0!</v>
      </c>
      <c r="X149" s="450" t="e">
        <f ca="1">X493/(X103*(1+'52'!Y$8/'52'!Y$6))/W245</f>
        <v>#DIV/0!</v>
      </c>
      <c r="Y149" s="448" t="e">
        <f ca="1">U487</f>
        <v>#DIV/0!</v>
      </c>
      <c r="Z149" s="55">
        <f>'12'!U$45</f>
        <v>0</v>
      </c>
      <c r="AA149" s="56">
        <f>'12'!W$45</f>
        <v>0</v>
      </c>
      <c r="AB149" s="56">
        <f>'12'!Y$45</f>
        <v>0</v>
      </c>
      <c r="AC149" s="56">
        <f>'12'!U$43</f>
        <v>0</v>
      </c>
      <c r="AD149" s="56">
        <f>'12'!W$43</f>
        <v>0</v>
      </c>
      <c r="AE149" s="56">
        <f>'12'!Y$43</f>
        <v>0</v>
      </c>
      <c r="AF149" s="56">
        <f>'14'!G$16+('14'!G$17-'14'!G$16)*'11'!F$32/100</f>
        <v>126</v>
      </c>
      <c r="AG149" s="56">
        <f>'14'!H$16+('14'!H$17-'14'!H$16)*'11'!H$32/100</f>
        <v>207</v>
      </c>
      <c r="AH149" s="116">
        <f>'14'!I$16+('14'!I$17-'14'!I$16)*'11'!J$32/100</f>
        <v>318</v>
      </c>
      <c r="AI149" s="56">
        <f t="shared" ref="AI149:AK158" si="10">IF(Z149&gt;AC149,Z149-AC149,0)</f>
        <v>0</v>
      </c>
      <c r="AJ149" s="56">
        <f t="shared" si="10"/>
        <v>0</v>
      </c>
      <c r="AK149" s="56">
        <f t="shared" si="10"/>
        <v>0</v>
      </c>
      <c r="AL149" s="668"/>
    </row>
    <row r="150" spans="1:38" ht="12.9" customHeight="1" thickBot="1" x14ac:dyDescent="0.3">
      <c r="A150" s="893" t="str">
        <f>Lang!$A$11</f>
        <v>Internet</v>
      </c>
      <c r="B150" s="451">
        <f ca="1">B494/(B104*(1+'52'!U$8/'52'!U$6))/A246</f>
        <v>0.53909544842516377</v>
      </c>
      <c r="C150" s="451">
        <f ca="1">C494/(C104*(1+'52'!W$8/'52'!W$6))/B246</f>
        <v>0.52567757661750758</v>
      </c>
      <c r="D150" s="452">
        <f ca="1">D494/(D104*(1+'52'!Y$8/'52'!Y$6))/C246</f>
        <v>0.59380772923288005</v>
      </c>
      <c r="E150" s="448">
        <f ca="1">A487/A491*A386</f>
        <v>0.26527128908200248</v>
      </c>
      <c r="F150" s="893" t="str">
        <f>Lang!$A$11</f>
        <v>Internet</v>
      </c>
      <c r="G150" s="451">
        <f ca="1">G494/(G104*(1+'52'!U$8/'52'!U$6))/F246</f>
        <v>0.54211652629879925</v>
      </c>
      <c r="H150" s="451">
        <f ca="1">H494/(H104*(1+'52'!W$8/'52'!W$6))/G246</f>
        <v>0.55785929839833492</v>
      </c>
      <c r="I150" s="452">
        <f ca="1">I494/(I104*(1+'52'!Y$8/'52'!Y$6))/H246</f>
        <v>0.60973801954583329</v>
      </c>
      <c r="J150" s="448">
        <f ca="1">F487/F491*F386</f>
        <v>0.24617641901249609</v>
      </c>
      <c r="K150" s="893" t="str">
        <f>Lang!$A$11</f>
        <v>Internet</v>
      </c>
      <c r="L150" s="451">
        <f ca="1">L494/(L104*(1+'52'!U$8/'52'!U$6))/K246</f>
        <v>0.5734820992314007</v>
      </c>
      <c r="M150" s="451">
        <f ca="1">M494/(M104*(1+'52'!W$8/'52'!W$6))/L246</f>
        <v>0.57547648033051646</v>
      </c>
      <c r="N150" s="452">
        <f ca="1">N494/(N104*(1+'52'!Y$8/'52'!Y$6))/M246</f>
        <v>0.63409511270269403</v>
      </c>
      <c r="O150" s="448">
        <f ca="1">K487/K491*K386</f>
        <v>0.21606481092005644</v>
      </c>
      <c r="P150" s="893" t="str">
        <f>Lang!$A$11</f>
        <v>Internet</v>
      </c>
      <c r="Q150" s="451">
        <f ca="1">Q494/(Q104*(1+'52'!U$8/'52'!U$6))/P246</f>
        <v>0.63952579043151525</v>
      </c>
      <c r="R150" s="451">
        <f ca="1">R494/(R104*(1+'52'!W$8/'52'!W$6))/Q246</f>
        <v>0.59467276781425771</v>
      </c>
      <c r="S150" s="452">
        <f ca="1">S494/(S104*(1+'52'!Y$8/'52'!Y$6))/R246</f>
        <v>0.67039297673584053</v>
      </c>
      <c r="T150" s="448">
        <f ca="1">P487/P491*P386</f>
        <v>0.18610731422983226</v>
      </c>
      <c r="U150" s="893" t="str">
        <f>Lang!$A$11</f>
        <v>Internet</v>
      </c>
      <c r="V150" s="451" t="e">
        <f ca="1">V494/(V104*(1+'52'!U$8/'52'!U$6))/U246</f>
        <v>#DIV/0!</v>
      </c>
      <c r="W150" s="451" t="e">
        <f ca="1">W494/(W104*(1+'52'!W$8/'52'!W$6))/V246</f>
        <v>#DIV/0!</v>
      </c>
      <c r="X150" s="452" t="e">
        <f ca="1">X494/(X104*(1+'52'!Y$8/'52'!Y$6))/W246</f>
        <v>#DIV/0!</v>
      </c>
      <c r="Y150" s="448" t="e">
        <f ca="1">U487/U491*U386</f>
        <v>#DIV/0!</v>
      </c>
      <c r="Z150" s="55">
        <f>'22'!U$45</f>
        <v>0</v>
      </c>
      <c r="AA150" s="56">
        <f>'22'!W$45</f>
        <v>0</v>
      </c>
      <c r="AB150" s="56">
        <f>'22'!Y$45</f>
        <v>0</v>
      </c>
      <c r="AC150" s="56">
        <f>'22'!U$43</f>
        <v>0</v>
      </c>
      <c r="AD150" s="56">
        <f>'22'!W$43</f>
        <v>0</v>
      </c>
      <c r="AE150" s="56">
        <f>'22'!Y$43</f>
        <v>0</v>
      </c>
      <c r="AF150" s="56">
        <f>'24'!G$16+('24'!G$17-'24'!G$16)*'21'!F$32/100</f>
        <v>125</v>
      </c>
      <c r="AG150" s="56">
        <f>'24'!H$16+('24'!H$17-'24'!H$16)*'21'!H$32/100</f>
        <v>205</v>
      </c>
      <c r="AH150" s="116">
        <f>'24'!I$16+('24'!I$17-'24'!I$16)*'21'!J$32/100</f>
        <v>315</v>
      </c>
      <c r="AI150" s="56">
        <f t="shared" si="10"/>
        <v>0</v>
      </c>
      <c r="AJ150" s="56">
        <f t="shared" si="10"/>
        <v>0</v>
      </c>
      <c r="AK150" s="56">
        <f t="shared" si="10"/>
        <v>0</v>
      </c>
      <c r="AL150" s="668"/>
    </row>
    <row r="151" spans="1:38" ht="12.9" customHeight="1" thickBot="1" x14ac:dyDescent="0.3">
      <c r="K151" s="1201">
        <f ca="1">IF(ISNUMBER($Z$307),$Z$307,0)</f>
        <v>0</v>
      </c>
      <c r="L151" s="1201"/>
      <c r="M151" s="1201"/>
      <c r="O151" s="150"/>
      <c r="Z151" s="55">
        <f>'32'!U$45</f>
        <v>0</v>
      </c>
      <c r="AA151" s="56">
        <f>'32'!W$45</f>
        <v>0</v>
      </c>
      <c r="AB151" s="56">
        <f>'32'!Y$45</f>
        <v>0</v>
      </c>
      <c r="AC151" s="56">
        <f>'32'!U$43</f>
        <v>0</v>
      </c>
      <c r="AD151" s="56">
        <f>'32'!W$43</f>
        <v>0</v>
      </c>
      <c r="AE151" s="56">
        <f>'32'!Y$43</f>
        <v>0</v>
      </c>
      <c r="AF151" s="56">
        <f>'34'!G$16+('34'!G$17-'34'!G$16)*'31'!F$32/100</f>
        <v>125</v>
      </c>
      <c r="AG151" s="56">
        <f>'34'!H$16+('34'!H$17-'34'!H$16)*'31'!H$32/100</f>
        <v>206</v>
      </c>
      <c r="AH151" s="116">
        <f>'34'!I$16+('34'!I$17-'34'!I$16)*'31'!J$32/100</f>
        <v>317</v>
      </c>
      <c r="AI151" s="56">
        <f t="shared" si="10"/>
        <v>0</v>
      </c>
      <c r="AJ151" s="56">
        <f t="shared" si="10"/>
        <v>0</v>
      </c>
      <c r="AK151" s="56">
        <f t="shared" si="10"/>
        <v>0</v>
      </c>
      <c r="AL151" s="668"/>
    </row>
    <row r="152" spans="1:38" ht="12.9" customHeight="1" x14ac:dyDescent="0.25">
      <c r="A152" s="1100" t="str">
        <f>Lang!$A$2</f>
        <v>Production details</v>
      </c>
      <c r="B152" s="1101"/>
      <c r="C152" s="1102"/>
      <c r="D152" s="2"/>
      <c r="F152" s="1100" t="str">
        <f>A152</f>
        <v>Production details</v>
      </c>
      <c r="G152" s="1101"/>
      <c r="H152" s="1102"/>
      <c r="I152" s="2"/>
      <c r="K152" s="1100" t="str">
        <f>A152</f>
        <v>Production details</v>
      </c>
      <c r="L152" s="1101"/>
      <c r="M152" s="1102"/>
      <c r="N152" s="2"/>
      <c r="P152" s="1100" t="str">
        <f>A152</f>
        <v>Production details</v>
      </c>
      <c r="Q152" s="1101"/>
      <c r="R152" s="1102"/>
      <c r="S152" s="2"/>
      <c r="U152" s="1100" t="str">
        <f>A152</f>
        <v>Production details</v>
      </c>
      <c r="V152" s="1101"/>
      <c r="W152" s="1102"/>
      <c r="X152" s="2"/>
      <c r="Z152" s="55">
        <f>'42'!U$45</f>
        <v>0</v>
      </c>
      <c r="AA152" s="56">
        <f>'42'!W$45</f>
        <v>0</v>
      </c>
      <c r="AB152" s="56">
        <f>'42'!Y$45</f>
        <v>0</v>
      </c>
      <c r="AC152" s="56">
        <f>'42'!U$43</f>
        <v>0</v>
      </c>
      <c r="AD152" s="56">
        <f>'42'!W$43</f>
        <v>0</v>
      </c>
      <c r="AE152" s="56">
        <f>'42'!Y$43</f>
        <v>0</v>
      </c>
      <c r="AF152" s="56">
        <f>'44'!G$16+('44'!G$17-'44'!G$16)*'41'!F$32/100</f>
        <v>125</v>
      </c>
      <c r="AG152" s="56">
        <f>'44'!H$16+('44'!H$17-'44'!H$16)*'41'!H$32/100</f>
        <v>206</v>
      </c>
      <c r="AH152" s="116">
        <f>'44'!I$16+('44'!I$17-'44'!I$16)*'41'!J$32/100</f>
        <v>317</v>
      </c>
      <c r="AI152" s="56">
        <f t="shared" si="10"/>
        <v>0</v>
      </c>
      <c r="AJ152" s="56">
        <f t="shared" si="10"/>
        <v>0</v>
      </c>
      <c r="AK152" s="56">
        <f t="shared" si="10"/>
        <v>0</v>
      </c>
      <c r="AL152" s="668"/>
    </row>
    <row r="153" spans="1:38" ht="12.9" customHeight="1" x14ac:dyDescent="0.25">
      <c r="A153" s="1124" t="str">
        <f>Lang!$A$8</f>
        <v>Hours for details</v>
      </c>
      <c r="B153" s="1125"/>
      <c r="C153" s="394">
        <f ca="1">IF(ISNUMBER(C161),IF(C158&gt;0,MAX(((SUM(B102:B105)*60+SUM(C102:C105)*75+SUM(D102:D105)*120)-(IF(SUM(B102:B105)&lt;B107,SUM(B102:B105),B107)*60+IF(SUM(C102:C105)&lt;C107,SUM(C102:C105),C107)*75+IF(SUM(D102:D105)&lt;D107,SUM(D102:D105),D107)*120))/60/C161,0),0),0)</f>
        <v>4960.5649740367635</v>
      </c>
      <c r="D153" s="455">
        <f ca="1">(C153+C157)/C156</f>
        <v>1.4860610041776083</v>
      </c>
      <c r="F153" s="1124" t="str">
        <f>Lang!$A$8</f>
        <v>Hours for details</v>
      </c>
      <c r="G153" s="1125"/>
      <c r="H153" s="394">
        <f ca="1">IF(ISNUMBER(H161),IF(H158&gt;0,MAX(((SUM(G102:G105)*60+SUM(H102:H105)*75+SUM(I102:I105)*120)-(IF(SUM(G102:G105)&lt;G107,SUM(G102:G105),G107)*60+IF(SUM(H102:H105)&lt;H107,SUM(H102:H105),H107)*75+IF(SUM(I102:I105)&lt;I107,SUM(I102:I105),I107)*120))/60/H161,0),0),0)</f>
        <v>6350.8856715310048</v>
      </c>
      <c r="I153" s="455">
        <f ca="1">(H153+H157)/H156</f>
        <v>1.2689455697482153</v>
      </c>
      <c r="K153" s="1124" t="str">
        <f>Lang!$A$8</f>
        <v>Hours for details</v>
      </c>
      <c r="L153" s="1125"/>
      <c r="M153" s="394">
        <f ca="1">IF(ISNUMBER(M161),IF(M158&gt;0,MAX(((SUM(L102:L105)*60+SUM(M102:M105)*75+SUM(N102:N105)*120)-(IF(SUM(L102:L105)&lt;L107,SUM(L102:L105),L107)*60+IF(SUM(M102:M105)&lt;M107,SUM(M102:M105),M107)*75+IF(SUM(N102:N105)&lt;N107,SUM(N102:N105),N107)*120))/60/M161,0),0),0)</f>
        <v>7800.702581765604</v>
      </c>
      <c r="N153" s="455">
        <f ca="1">(M153+M157)/M156</f>
        <v>1.8695006147060962</v>
      </c>
      <c r="P153" s="1124" t="str">
        <f>Lang!$A$8</f>
        <v>Hours for details</v>
      </c>
      <c r="Q153" s="1125"/>
      <c r="R153" s="394">
        <f ca="1">IF(ISNUMBER(R161),IF(R158&gt;0,MAX(((SUM(Q102:Q105)*60+SUM(R102:R105)*75+SUM(S102:S105)*120)-(IF(SUM(Q102:Q105)&lt;Q107,SUM(Q102:Q105),Q107)*60+IF(SUM(R102:R105)&lt;R107,SUM(R102:R105),R107)*75+IF(SUM(S102:S105)&lt;S107,SUM(S102:S105),S107)*120))/60/R161,0),0),0)</f>
        <v>8380.2923934234041</v>
      </c>
      <c r="S153" s="455">
        <f ca="1">(R153+R157)/R156</f>
        <v>2.0094029508150966</v>
      </c>
      <c r="U153" s="1124" t="str">
        <f>Lang!$A$8</f>
        <v>Hours for details</v>
      </c>
      <c r="V153" s="1125"/>
      <c r="W153" s="394" t="e">
        <f ca="1">IF(ISNUMBER(W161),IF(W158&gt;0,MAX(((SUM(V102:V105)*60+SUM(W102:W105)*75+SUM(X102:X105)*120)-(IF(SUM(V102:V105)&lt;V107,SUM(V102:V105),V107)*60+IF(SUM(W102:W105)&lt;W107,SUM(W102:W105),W107)*75+IF(SUM(X102:X105)&lt;X107,SUM(X102:X105),X107)*120))/60/W161,0),0),0)</f>
        <v>#DIV/0!</v>
      </c>
      <c r="X153" s="455" t="e">
        <f ca="1">(W153+W157)/W156</f>
        <v>#DIV/0!</v>
      </c>
      <c r="Z153" s="55">
        <f>'52'!U$45</f>
        <v>0</v>
      </c>
      <c r="AA153" s="56">
        <f>'52'!W$45</f>
        <v>0</v>
      </c>
      <c r="AB153" s="56">
        <f>'52'!Y$45</f>
        <v>0</v>
      </c>
      <c r="AC153" s="56">
        <f>'52'!U$43</f>
        <v>0</v>
      </c>
      <c r="AD153" s="56">
        <f>'52'!W$43</f>
        <v>0</v>
      </c>
      <c r="AE153" s="56">
        <f>'52'!Y$43</f>
        <v>0</v>
      </c>
      <c r="AF153" s="56">
        <f>'54'!G$16+('54'!G$17-'54'!G$16)*'51'!F$32/100</f>
        <v>125</v>
      </c>
      <c r="AG153" s="56">
        <f>'54'!H$16+('54'!H$17-'54'!H$16)*'51'!H$32/100</f>
        <v>205</v>
      </c>
      <c r="AH153" s="116">
        <f>'54'!I$16+('54'!I$17-'54'!I$16)*'51'!J$32/100</f>
        <v>315</v>
      </c>
      <c r="AI153" s="56">
        <f t="shared" si="10"/>
        <v>0</v>
      </c>
      <c r="AJ153" s="56">
        <f t="shared" si="10"/>
        <v>0</v>
      </c>
      <c r="AK153" s="56">
        <f t="shared" si="10"/>
        <v>0</v>
      </c>
      <c r="AL153" s="668"/>
    </row>
    <row r="154" spans="1:38" ht="12.9" customHeight="1" x14ac:dyDescent="0.25">
      <c r="A154" s="1124" t="str">
        <f>Lang!$A$10</f>
        <v>7 days</v>
      </c>
      <c r="B154" s="1125"/>
      <c r="C154" s="454">
        <f>IF(C162=1,C158*(420+84+72),C158*C162*(420+42+72))</f>
        <v>4272</v>
      </c>
      <c r="D154" s="456">
        <f>C154/C156</f>
        <v>1.2714285714285714</v>
      </c>
      <c r="F154" s="1124" t="str">
        <f>Lang!$A$10</f>
        <v>7 days</v>
      </c>
      <c r="G154" s="1125"/>
      <c r="H154" s="454">
        <f>IF(H162=1,H158*(420+84+72),H158*H162*(420+42+72))</f>
        <v>6408</v>
      </c>
      <c r="I154" s="456">
        <f>H154/H156</f>
        <v>1.2714285714285714</v>
      </c>
      <c r="K154" s="1124" t="str">
        <f>Lang!$A$10</f>
        <v>7 days</v>
      </c>
      <c r="L154" s="1125"/>
      <c r="M154" s="454">
        <f>IF(M162=1,M158*(420+84+72),M158*M162*(420+42+72))</f>
        <v>5340</v>
      </c>
      <c r="N154" s="456">
        <f>M154/M156</f>
        <v>1.2714285714285714</v>
      </c>
      <c r="P154" s="1124" t="str">
        <f>Lang!$A$10</f>
        <v>7 days</v>
      </c>
      <c r="Q154" s="1125"/>
      <c r="R154" s="454">
        <f>IF(R162=1,R158*(420+84+72),R158*R162*(420+42+72))</f>
        <v>5340</v>
      </c>
      <c r="S154" s="456">
        <f>R154/R156</f>
        <v>1.2714285714285714</v>
      </c>
      <c r="U154" s="1124" t="str">
        <f>Lang!$A$10</f>
        <v>7 days</v>
      </c>
      <c r="V154" s="1125"/>
      <c r="W154" s="454">
        <f>IF(W162=1,W158*(420+84+72),W158*W162*(420+42+72))</f>
        <v>5340</v>
      </c>
      <c r="X154" s="456">
        <f>W154/W156</f>
        <v>1.2714285714285714</v>
      </c>
      <c r="Z154" s="55">
        <f ca="1">B109</f>
        <v>0</v>
      </c>
      <c r="AA154" s="56">
        <f ca="1">C109</f>
        <v>50</v>
      </c>
      <c r="AB154" s="56">
        <f ca="1">D109</f>
        <v>50</v>
      </c>
      <c r="AC154" s="56">
        <f>B108</f>
        <v>0</v>
      </c>
      <c r="AD154" s="56">
        <f>C108</f>
        <v>50</v>
      </c>
      <c r="AE154" s="56">
        <f>D108</f>
        <v>50</v>
      </c>
      <c r="AF154" s="56">
        <f ca="1">B110</f>
        <v>125.96</v>
      </c>
      <c r="AG154" s="56">
        <f ca="1">C110</f>
        <v>205</v>
      </c>
      <c r="AH154" s="116">
        <f ca="1">D110</f>
        <v>315</v>
      </c>
      <c r="AI154" s="56">
        <f t="shared" ca="1" si="10"/>
        <v>0</v>
      </c>
      <c r="AJ154" s="56">
        <f t="shared" ca="1" si="10"/>
        <v>0</v>
      </c>
      <c r="AK154" s="56">
        <f t="shared" ca="1" si="10"/>
        <v>0</v>
      </c>
      <c r="AL154" s="668">
        <f ca="1">AI154*AF153+AJ154*AG153+AK154*AH153</f>
        <v>0</v>
      </c>
    </row>
    <row r="155" spans="1:38" ht="12.9" customHeight="1" x14ac:dyDescent="0.25">
      <c r="A155" s="1133" t="str">
        <f>Lang!$A$12</f>
        <v>6 days</v>
      </c>
      <c r="B155" s="1134"/>
      <c r="C155" s="399">
        <f>IF(C162=1,C158*(420+84),C158*C162*(420+42))</f>
        <v>3696</v>
      </c>
      <c r="D155" s="456">
        <f>C155/C156</f>
        <v>1.1000000000000001</v>
      </c>
      <c r="F155" s="1133" t="str">
        <f>Lang!$A$12</f>
        <v>6 days</v>
      </c>
      <c r="G155" s="1134"/>
      <c r="H155" s="399">
        <f>IF(H162=1,H158*(420+84),H158*H162*(420+42))</f>
        <v>5544</v>
      </c>
      <c r="I155" s="456">
        <f>H155/H156</f>
        <v>1.1000000000000001</v>
      </c>
      <c r="K155" s="1133" t="str">
        <f>Lang!$A$12</f>
        <v>6 days</v>
      </c>
      <c r="L155" s="1134"/>
      <c r="M155" s="399">
        <f>IF(M162=1,M158*(420+84),M158*M162*(420+42))</f>
        <v>4620</v>
      </c>
      <c r="N155" s="456">
        <f>M155/M156</f>
        <v>1.1000000000000001</v>
      </c>
      <c r="P155" s="1133" t="str">
        <f>Lang!$A$12</f>
        <v>6 days</v>
      </c>
      <c r="Q155" s="1134"/>
      <c r="R155" s="399">
        <f>IF(R162=1,R158*(420+84),R158*R162*(420+42))</f>
        <v>4620</v>
      </c>
      <c r="S155" s="456">
        <f>R155/R156</f>
        <v>1.1000000000000001</v>
      </c>
      <c r="U155" s="1133" t="str">
        <f>Lang!$A$12</f>
        <v>6 days</v>
      </c>
      <c r="V155" s="1134"/>
      <c r="W155" s="399">
        <f>IF(W162=1,W158*(420+84),W158*W162*(420+42))</f>
        <v>4620</v>
      </c>
      <c r="X155" s="456">
        <f>W155/W156</f>
        <v>1.1000000000000001</v>
      </c>
      <c r="Z155" s="55">
        <f ca="1">G109</f>
        <v>0</v>
      </c>
      <c r="AA155" s="56">
        <f ca="1">H109</f>
        <v>0</v>
      </c>
      <c r="AB155" s="56">
        <f ca="1">I109</f>
        <v>0</v>
      </c>
      <c r="AC155" s="56">
        <f>G108</f>
        <v>0</v>
      </c>
      <c r="AD155" s="56">
        <f>H108</f>
        <v>0</v>
      </c>
      <c r="AE155" s="56">
        <f>I108</f>
        <v>0</v>
      </c>
      <c r="AF155" s="56">
        <f ca="1">IF(AC155&gt;0,G$110,AF154)</f>
        <v>125.96</v>
      </c>
      <c r="AG155" s="56">
        <f ca="1">IF(AD155&gt;0,H110,AG154)</f>
        <v>205</v>
      </c>
      <c r="AH155" s="116">
        <f ca="1">IF(AE155&gt;0,I110,AH154)</f>
        <v>315</v>
      </c>
      <c r="AI155" s="56">
        <f t="shared" ca="1" si="10"/>
        <v>0</v>
      </c>
      <c r="AJ155" s="56">
        <f t="shared" ca="1" si="10"/>
        <v>0</v>
      </c>
      <c r="AK155" s="56">
        <f t="shared" ca="1" si="10"/>
        <v>0</v>
      </c>
      <c r="AL155" s="668">
        <f ca="1">AI155*AF154+AJ155*AG154+AK155*AH154</f>
        <v>0</v>
      </c>
    </row>
    <row r="156" spans="1:38" ht="12.9" customHeight="1" x14ac:dyDescent="0.25">
      <c r="A156" s="1133" t="str">
        <f>Lang!$A$14</f>
        <v>5 days</v>
      </c>
      <c r="B156" s="1134"/>
      <c r="C156" s="399">
        <f>C158*C162*420</f>
        <v>3360</v>
      </c>
      <c r="D156" s="456">
        <v>1</v>
      </c>
      <c r="F156" s="1133" t="str">
        <f>Lang!$A$14</f>
        <v>5 days</v>
      </c>
      <c r="G156" s="1134"/>
      <c r="H156" s="399">
        <f>H158*H162*420</f>
        <v>5040</v>
      </c>
      <c r="I156" s="456">
        <v>1</v>
      </c>
      <c r="K156" s="1133" t="str">
        <f>Lang!$A$14</f>
        <v>5 days</v>
      </c>
      <c r="L156" s="1134"/>
      <c r="M156" s="399">
        <f>M158*M162*420</f>
        <v>4200</v>
      </c>
      <c r="N156" s="456">
        <v>1</v>
      </c>
      <c r="P156" s="1133" t="str">
        <f>Lang!$A$14</f>
        <v>5 days</v>
      </c>
      <c r="Q156" s="1134"/>
      <c r="R156" s="399">
        <f>R158*R162*420</f>
        <v>4200</v>
      </c>
      <c r="S156" s="456">
        <v>1</v>
      </c>
      <c r="U156" s="1133" t="str">
        <f>Lang!$A$14</f>
        <v>5 days</v>
      </c>
      <c r="V156" s="1134"/>
      <c r="W156" s="399">
        <f>W158*W162*420</f>
        <v>4200</v>
      </c>
      <c r="X156" s="456">
        <v>1</v>
      </c>
      <c r="Z156" s="55">
        <f ca="1">L109</f>
        <v>0</v>
      </c>
      <c r="AA156" s="56">
        <f ca="1">M109</f>
        <v>0</v>
      </c>
      <c r="AB156" s="56">
        <f ca="1">N109</f>
        <v>0</v>
      </c>
      <c r="AC156" s="56">
        <f>L108</f>
        <v>0</v>
      </c>
      <c r="AD156" s="56">
        <f>M108</f>
        <v>0</v>
      </c>
      <c r="AE156" s="56">
        <f>N108</f>
        <v>0</v>
      </c>
      <c r="AF156" s="56">
        <f ca="1">IF(AC156&gt;0,L$110,AF155)</f>
        <v>125.96</v>
      </c>
      <c r="AG156" s="56">
        <f ca="1">IF(AD156&gt;0,M110,AG155)</f>
        <v>205</v>
      </c>
      <c r="AH156" s="116">
        <f ca="1">IF(AE156&gt;0,N110,AH155)</f>
        <v>315</v>
      </c>
      <c r="AI156" s="56">
        <f t="shared" ca="1" si="10"/>
        <v>0</v>
      </c>
      <c r="AJ156" s="56">
        <f t="shared" ca="1" si="10"/>
        <v>0</v>
      </c>
      <c r="AK156" s="56">
        <f t="shared" ca="1" si="10"/>
        <v>0</v>
      </c>
      <c r="AL156" s="668">
        <f ca="1">AI156*AF155+AJ156*AG155+AK156*AH155</f>
        <v>0</v>
      </c>
    </row>
    <row r="157" spans="1:38" ht="12.9" customHeight="1" x14ac:dyDescent="0.25">
      <c r="A157" s="1124" t="str">
        <f>Lang!$A$17</f>
        <v>Hours breakdown</v>
      </c>
      <c r="B157" s="1125"/>
      <c r="C157" s="454">
        <f ca="1">IF(D101=2,'62'!$G$24,AVERAGE(OFFSET(History!$E2:$E6,B253,)))</f>
        <v>32.6</v>
      </c>
      <c r="D157" s="456">
        <f>(C158*C162*4)*360/4/C156</f>
        <v>0.8571428571428571</v>
      </c>
      <c r="F157" s="1124" t="str">
        <f>Lang!$A$17</f>
        <v>Hours breakdown</v>
      </c>
      <c r="G157" s="1125"/>
      <c r="H157" s="454">
        <f ca="1">IF(I101=2,'72'!$G$24,AVERAGE(OFFSET(History!$E2:$E6,G253,)))</f>
        <v>44.6</v>
      </c>
      <c r="I157" s="456">
        <f>(H158*H162*4)*360/4/H156</f>
        <v>0.8571428571428571</v>
      </c>
      <c r="K157" s="1124" t="str">
        <f>Lang!$A$17</f>
        <v>Hours breakdown</v>
      </c>
      <c r="L157" s="1125"/>
      <c r="M157" s="454">
        <f ca="1">IF(N101=2,'82'!$G$24,AVERAGE(OFFSET(History!$E2:$E6,L253,)))</f>
        <v>51.2</v>
      </c>
      <c r="N157" s="456">
        <f>(M158*M162*4)*360/4/M156</f>
        <v>0.8571428571428571</v>
      </c>
      <c r="P157" s="1124" t="str">
        <f>Lang!$A$17</f>
        <v>Hours breakdown</v>
      </c>
      <c r="Q157" s="1125"/>
      <c r="R157" s="454">
        <f ca="1">IF(S101=2,'92'!$G$24,AVERAGE(OFFSET(History!$E2:$E6,Q253,)))</f>
        <v>59.2</v>
      </c>
      <c r="S157" s="456">
        <f>(R158*R162*4)*360/4/R156</f>
        <v>0.8571428571428571</v>
      </c>
      <c r="U157" s="1124" t="str">
        <f>Lang!$A$17</f>
        <v>Hours breakdown</v>
      </c>
      <c r="V157" s="1125"/>
      <c r="W157" s="454">
        <f ca="1">IF(X101=2,'102'!$G$24,AVERAGE(OFFSET(History!$E2:$E6,V253,)))</f>
        <v>49</v>
      </c>
      <c r="X157" s="456">
        <f>(W158*W162*4)*360/4/W156</f>
        <v>0.8571428571428571</v>
      </c>
      <c r="Z157" s="55">
        <f ca="1">Q109</f>
        <v>300</v>
      </c>
      <c r="AA157" s="56">
        <f ca="1">R109</f>
        <v>200</v>
      </c>
      <c r="AB157" s="56">
        <f ca="1">S109</f>
        <v>100</v>
      </c>
      <c r="AC157" s="56">
        <f>Q108</f>
        <v>300</v>
      </c>
      <c r="AD157" s="56">
        <f>R108</f>
        <v>200</v>
      </c>
      <c r="AE157" s="56">
        <f>S108</f>
        <v>100</v>
      </c>
      <c r="AF157" s="56">
        <f ca="1">IF(AC157&gt;0,Q$110,AF156)</f>
        <v>126.65</v>
      </c>
      <c r="AG157" s="56">
        <f ca="1">IF(AD157&gt;0,R110,AG156)</f>
        <v>207.98</v>
      </c>
      <c r="AH157" s="116">
        <f ca="1">IF(AE157&gt;0,S110,AH156)</f>
        <v>318.98</v>
      </c>
      <c r="AI157" s="56">
        <f t="shared" ca="1" si="10"/>
        <v>0</v>
      </c>
      <c r="AJ157" s="56">
        <f t="shared" ca="1" si="10"/>
        <v>0</v>
      </c>
      <c r="AK157" s="56">
        <f t="shared" ca="1" si="10"/>
        <v>0</v>
      </c>
      <c r="AL157" s="668">
        <f ca="1">AI157*AF156+AJ157*AG156+AK157*AH156</f>
        <v>0</v>
      </c>
    </row>
    <row r="158" spans="1:38" ht="12.9" customHeight="1" thickBot="1" x14ac:dyDescent="0.3">
      <c r="A158" s="1124" t="str">
        <f>Lang!$A$21</f>
        <v>Machines</v>
      </c>
      <c r="B158" s="1125"/>
      <c r="C158" s="454">
        <f>'52'!G21-C160</f>
        <v>4</v>
      </c>
      <c r="D158" s="2"/>
      <c r="F158" s="1124" t="str">
        <f>Lang!$A$21</f>
        <v>Machines</v>
      </c>
      <c r="G158" s="1125"/>
      <c r="H158" s="454">
        <f>C158+C159-H160</f>
        <v>4</v>
      </c>
      <c r="I158" s="2"/>
      <c r="K158" s="1124" t="str">
        <f>Lang!$A$21</f>
        <v>Machines</v>
      </c>
      <c r="L158" s="1125"/>
      <c r="M158" s="454">
        <f>H158+H159-M160</f>
        <v>5</v>
      </c>
      <c r="N158" s="2"/>
      <c r="P158" s="1124" t="str">
        <f>Lang!$A$21</f>
        <v>Machines</v>
      </c>
      <c r="Q158" s="1125"/>
      <c r="R158" s="454">
        <f>M158+M159-R160</f>
        <v>5</v>
      </c>
      <c r="S158" s="2"/>
      <c r="U158" s="1124" t="str">
        <f>Lang!$A$21</f>
        <v>Machines</v>
      </c>
      <c r="V158" s="1125"/>
      <c r="W158" s="454">
        <f>R158+R159-W160</f>
        <v>5</v>
      </c>
      <c r="X158" s="2"/>
      <c r="Z158" s="58">
        <f ca="1">V109</f>
        <v>0</v>
      </c>
      <c r="AA158" s="59">
        <f ca="1">W109</f>
        <v>0</v>
      </c>
      <c r="AB158" s="59">
        <f ca="1">X109</f>
        <v>0</v>
      </c>
      <c r="AC158" s="59">
        <f>V108</f>
        <v>0</v>
      </c>
      <c r="AD158" s="59">
        <f>W108</f>
        <v>0</v>
      </c>
      <c r="AE158" s="59">
        <f>X108</f>
        <v>0</v>
      </c>
      <c r="AF158" s="59">
        <f ca="1">IF(AC158&gt;0,V$110,AF157)</f>
        <v>126.65</v>
      </c>
      <c r="AG158" s="59">
        <f ca="1">IF(AD158&gt;0,W110,AG157)</f>
        <v>207.98</v>
      </c>
      <c r="AH158" s="117">
        <f ca="1">IF(AE158&gt;0,X110,AH157)</f>
        <v>318.98</v>
      </c>
      <c r="AI158" s="59">
        <f t="shared" ca="1" si="10"/>
        <v>0</v>
      </c>
      <c r="AJ158" s="59">
        <f ca="1">IF(AA158&gt;AD158,AA158-AD158,0)</f>
        <v>0</v>
      </c>
      <c r="AK158" s="59">
        <f ca="1">IF(AB158&gt;AE158,AB158-AE158,0)</f>
        <v>0</v>
      </c>
      <c r="AL158" s="669">
        <f ca="1">AI158*AF157+AJ158*AG157+AK158*AH157</f>
        <v>0</v>
      </c>
    </row>
    <row r="159" spans="1:38" ht="12.9" customHeight="1" x14ac:dyDescent="0.25">
      <c r="A159" s="1124" t="str">
        <f>Lang!$A$295</f>
        <v>Machines to buy</v>
      </c>
      <c r="B159" s="1125"/>
      <c r="C159" s="458">
        <v>0</v>
      </c>
      <c r="D159" s="650"/>
      <c r="F159" s="1124" t="str">
        <f>Lang!$A$295</f>
        <v>Machines to buy</v>
      </c>
      <c r="G159" s="1125"/>
      <c r="H159" s="458">
        <v>1</v>
      </c>
      <c r="I159" s="650"/>
      <c r="K159" s="1124" t="str">
        <f>Lang!$A$295</f>
        <v>Machines to buy</v>
      </c>
      <c r="L159" s="1125"/>
      <c r="M159" s="458">
        <v>0</v>
      </c>
      <c r="N159" s="650"/>
      <c r="P159" s="1124" t="str">
        <f>Lang!$A$295</f>
        <v>Machines to buy</v>
      </c>
      <c r="Q159" s="1125"/>
      <c r="R159" s="458">
        <v>0</v>
      </c>
      <c r="S159" s="650"/>
      <c r="U159" s="1124" t="str">
        <f>Lang!$A$295</f>
        <v>Machines to buy</v>
      </c>
      <c r="V159" s="1125"/>
      <c r="W159" s="458">
        <v>0</v>
      </c>
      <c r="X159" s="650"/>
      <c r="Z159" s="3"/>
      <c r="AA159" s="3"/>
    </row>
    <row r="160" spans="1:38" ht="12.9" customHeight="1" x14ac:dyDescent="0.25">
      <c r="A160" s="1124" t="str">
        <f>Lang!$A$24</f>
        <v>Machines to sell</v>
      </c>
      <c r="B160" s="1125"/>
      <c r="C160" s="480">
        <v>0</v>
      </c>
      <c r="D160" s="380"/>
      <c r="F160" s="1124" t="str">
        <f>Lang!$A$24</f>
        <v>Machines to sell</v>
      </c>
      <c r="G160" s="1125"/>
      <c r="H160" s="480">
        <v>0</v>
      </c>
      <c r="I160" s="380"/>
      <c r="K160" s="1124" t="str">
        <f>Lang!$A$24</f>
        <v>Machines to sell</v>
      </c>
      <c r="L160" s="1125"/>
      <c r="M160" s="480">
        <v>0</v>
      </c>
      <c r="N160" s="380"/>
      <c r="P160" s="1124" t="str">
        <f>Lang!$A$24</f>
        <v>Machines to sell</v>
      </c>
      <c r="Q160" s="1125"/>
      <c r="R160" s="480">
        <v>0</v>
      </c>
      <c r="S160" s="380"/>
      <c r="U160" s="1124" t="str">
        <f>Lang!$A$24</f>
        <v>Machines to sell</v>
      </c>
      <c r="V160" s="1125"/>
      <c r="W160" s="480">
        <v>0</v>
      </c>
      <c r="X160" s="380"/>
      <c r="Z160" s="3"/>
      <c r="AA160" s="3"/>
    </row>
    <row r="161" spans="1:27" ht="12.9" customHeight="1" x14ac:dyDescent="0.25">
      <c r="A161" s="1124" t="str">
        <f>Lang!$A$27</f>
        <v>Efficiency, %</v>
      </c>
      <c r="B161" s="1125"/>
      <c r="C161" s="922">
        <f>IF($D$101=2,'62'!G$27/100,IF(H203=1,IF('62'!G$27=0,(D161*'52'!G19+1*'52'!G20)/'52'!G21,'62'!G$27/100),D161))</f>
        <v>0.92784570312499992</v>
      </c>
      <c r="D161" s="923">
        <f>(INDEX(Config!$AH$2:$ED$52,101-ROUND(SUBSTITUTE('52'!G27,".",","),0),ROUND(IF(D162&gt;100,100,D162),0)+1)/100)</f>
        <v>0.92784570312499992</v>
      </c>
      <c r="F161" s="1124" t="str">
        <f>Lang!$A$27</f>
        <v>Efficiency, %</v>
      </c>
      <c r="G161" s="1125"/>
      <c r="H161" s="922">
        <f ca="1">IF($I$101=2,SUBSTITUTE('72'!G$27,".",",")/100,IF(M203=1,IF('72'!G$27=0,(I161*C158+1*C159)/'62'!G21,SUBSTITUTE('72'!G$27,".",",")/100),I161))</f>
        <v>0.90249999999999997</v>
      </c>
      <c r="I161" s="923">
        <f ca="1">(INDEX(Config!$AH$2:$ED$52,101-ROUND(C161*100,0),ROUND(IF(I162&gt;100,100,I162),0)+1)/100)</f>
        <v>0.90249999999999997</v>
      </c>
      <c r="K161" s="1124" t="str">
        <f>Lang!$A$27</f>
        <v>Efficiency, %</v>
      </c>
      <c r="L161" s="1125"/>
      <c r="M161" s="922">
        <f ca="1">IF($N$101=2,'82'!G$27/100,IF(R203=1,IF('82'!G$27=0,(N161*H158+1*H159)/'72'!G21,'82'!G$27/100),N161))</f>
        <v>0.86755617559523812</v>
      </c>
      <c r="N161" s="923">
        <f ca="1">(INDEX(Config!$AH$2:$ED$52,101-ROUND(H161*100,0),ROUND(IF(N162&gt;100,100,N162),0)+1)/100)</f>
        <v>0.86755617559523812</v>
      </c>
      <c r="P161" s="1124" t="str">
        <f>Lang!$A$27</f>
        <v>Efficiency, %</v>
      </c>
      <c r="Q161" s="1125"/>
      <c r="R161" s="922">
        <f ca="1">IF($S$101=2,'92'!G$27/100,IF(W203=1,IF('92'!G$27=0,(S161*M158+1*M159)/'82'!G21,'92'!G$27/100),S161))</f>
        <v>0.84422222222222221</v>
      </c>
      <c r="S161" s="923">
        <f ca="1">(INDEX(Config!$AH$2:$ED$52,101-ROUND(M161*100,0),ROUND(IF(S162&gt;100,100,S162),0)+1)/100)</f>
        <v>0.84422222222222221</v>
      </c>
      <c r="U161" s="1124" t="str">
        <f>Lang!$A$27</f>
        <v>Efficiency, %</v>
      </c>
      <c r="V161" s="1125"/>
      <c r="W161" s="922">
        <f ca="1">IF($X$101=2,'102'!G$27/100,IF(W203=1,IF('102'!G$27=0,(X161*R158+1*R159)/'52'!G21,'102'!G$27/100),X161))</f>
        <v>0</v>
      </c>
      <c r="X161" s="923">
        <f ca="1">(INDEX(Config!$AH$2:$ED$52,101-ROUND(R161*100,0),ROUND(IF(X162&gt;100,100,X162),0)+1)/100)</f>
        <v>0</v>
      </c>
      <c r="Z161" s="3"/>
      <c r="AA161" s="3"/>
    </row>
    <row r="162" spans="1:27" ht="12.9" customHeight="1" x14ac:dyDescent="0.25">
      <c r="A162" s="1124" t="str">
        <f>Lang!$A$29</f>
        <v>Shift level</v>
      </c>
      <c r="B162" s="1125"/>
      <c r="C162" s="458">
        <v>2</v>
      </c>
      <c r="D162" s="481">
        <f>'51'!P20/'51'!W20/('52'!G$25/'52'!G$23*IF('51'!W20=1,1.37,1.27))</f>
        <v>8.7257575293360716</v>
      </c>
      <c r="F162" s="1124" t="str">
        <f>Lang!$A$29</f>
        <v>Shift level</v>
      </c>
      <c r="G162" s="1125"/>
      <c r="H162" s="458">
        <v>3</v>
      </c>
      <c r="I162" s="481">
        <f ca="1">IF(C154=0,0,C163/C162/(C153/C154*IF(C162=1,1.37,1.27)))</f>
        <v>7.4591452781715715</v>
      </c>
      <c r="K162" s="1124" t="str">
        <f>Lang!$A$29</f>
        <v>Shift level</v>
      </c>
      <c r="L162" s="1125"/>
      <c r="M162" s="458">
        <v>2</v>
      </c>
      <c r="N162" s="481">
        <f ca="1">IF(H154=0,0,H163/H162/(H153/H154*IF(H162=1,1.37,1.27)))</f>
        <v>6.6206898170081345</v>
      </c>
      <c r="P162" s="1124" t="str">
        <f>Lang!$A$29</f>
        <v>Shift level</v>
      </c>
      <c r="Q162" s="1125"/>
      <c r="R162" s="458">
        <v>2</v>
      </c>
      <c r="S162" s="481">
        <f ca="1">IF(M154=0,0,M163/M162/(M153/M154*IF(M162=1,1.37,1.27)))</f>
        <v>6.7377335012065114</v>
      </c>
      <c r="U162" s="1124" t="str">
        <f>Lang!$A$29</f>
        <v>Shift level</v>
      </c>
      <c r="V162" s="1125"/>
      <c r="W162" s="458">
        <v>2</v>
      </c>
      <c r="X162" s="481">
        <f ca="1">IF(R154=0,0,R163/R162/(R153/R154*IF(R162=1,1.37,1.27)))</f>
        <v>6.2717447853438824</v>
      </c>
      <c r="Z162" s="3"/>
      <c r="AA162" s="3"/>
    </row>
    <row r="163" spans="1:27" ht="12.9" customHeight="1" thickBot="1" x14ac:dyDescent="0.3">
      <c r="A163" s="1135" t="str">
        <f>Lang!$A$37</f>
        <v>Maintenance hours</v>
      </c>
      <c r="B163" s="1136"/>
      <c r="C163" s="396">
        <v>22</v>
      </c>
      <c r="D163" s="481">
        <f ca="1">C163/C162/(C153/C154*IF(C162=1,1.37,1.27))</f>
        <v>7.4591452781715715</v>
      </c>
      <c r="E163" s="113"/>
      <c r="F163" s="1135" t="str">
        <f>Lang!$A$37</f>
        <v>Maintenance hours</v>
      </c>
      <c r="G163" s="1136"/>
      <c r="H163" s="396">
        <v>25</v>
      </c>
      <c r="I163" s="481">
        <f ca="1">H163/H162/(H153/H154*IF(H162=1,1.37,1.27))</f>
        <v>6.6206898170081345</v>
      </c>
      <c r="K163" s="1135" t="str">
        <f>Lang!$A$37</f>
        <v>Maintenance hours</v>
      </c>
      <c r="L163" s="1136"/>
      <c r="M163" s="396">
        <v>25</v>
      </c>
      <c r="N163" s="481">
        <f ca="1">M163/M162/(M153/M154*IF(M162=1,1.37,1.27))</f>
        <v>6.7377335012065114</v>
      </c>
      <c r="P163" s="1135" t="str">
        <f>Lang!$A$37</f>
        <v>Maintenance hours</v>
      </c>
      <c r="Q163" s="1136"/>
      <c r="R163" s="396">
        <v>25</v>
      </c>
      <c r="S163" s="481">
        <f ca="1">R163/R162/(R153/R154*IF(R162=1,1.37,1.27))</f>
        <v>6.2717447853438824</v>
      </c>
      <c r="U163" s="1135" t="str">
        <f>Lang!$A$37</f>
        <v>Maintenance hours</v>
      </c>
      <c r="V163" s="1136"/>
      <c r="W163" s="396">
        <v>35</v>
      </c>
      <c r="X163" s="481" t="e">
        <f ca="1">W163/W162/(W153/W154*IF(W162=1,1.37,1.27))</f>
        <v>#DIV/0!</v>
      </c>
      <c r="Z163" s="3"/>
      <c r="AA163" s="3"/>
    </row>
    <row r="164" spans="1:27" ht="12.9" customHeight="1" thickBot="1" x14ac:dyDescent="0.3">
      <c r="D164" s="2"/>
      <c r="I164" s="2"/>
      <c r="N164" s="2"/>
      <c r="S164" s="2"/>
      <c r="X164" s="2"/>
      <c r="Z164" s="3"/>
      <c r="AA164" s="3"/>
    </row>
    <row r="165" spans="1:27" ht="12.9" customHeight="1" x14ac:dyDescent="0.25">
      <c r="A165" s="1100" t="str">
        <f>Lang!$A$39</f>
        <v>Assembly details</v>
      </c>
      <c r="B165" s="1101"/>
      <c r="C165" s="1102"/>
      <c r="D165" s="2"/>
      <c r="F165" s="1100" t="str">
        <f>A165</f>
        <v>Assembly details</v>
      </c>
      <c r="G165" s="1101"/>
      <c r="H165" s="1102"/>
      <c r="I165" s="2"/>
      <c r="K165" s="1100" t="str">
        <f>A165</f>
        <v>Assembly details</v>
      </c>
      <c r="L165" s="1101"/>
      <c r="M165" s="1102"/>
      <c r="N165" s="2"/>
      <c r="P165" s="1100" t="str">
        <f>A165</f>
        <v>Assembly details</v>
      </c>
      <c r="Q165" s="1101"/>
      <c r="R165" s="1102"/>
      <c r="S165" s="2"/>
      <c r="U165" s="1100" t="str">
        <f>A165</f>
        <v>Assembly details</v>
      </c>
      <c r="V165" s="1101"/>
      <c r="W165" s="1102"/>
      <c r="X165" s="2"/>
      <c r="Z165" s="3"/>
      <c r="AA165" s="3"/>
    </row>
    <row r="166" spans="1:27" ht="12.9" customHeight="1" x14ac:dyDescent="0.25">
      <c r="A166" s="1124" t="str">
        <f>Lang!$A$41</f>
        <v>Hours for assembly</v>
      </c>
      <c r="B166" s="1125"/>
      <c r="C166" s="394">
        <f ca="1">(SUM(B102:B105)*B120+SUM(C102:C105)*C120+SUM(D102:D105)*D120)/60</f>
        <v>10153.025612795684</v>
      </c>
      <c r="D166" s="455">
        <f ca="1">(C166+D170)/C169</f>
        <v>1.1577126545119822</v>
      </c>
      <c r="F166" s="1124" t="str">
        <f>Lang!$A$41</f>
        <v>Hours for assembly</v>
      </c>
      <c r="G166" s="1125"/>
      <c r="H166" s="394">
        <f ca="1">(SUM(G102:G105)*G120+SUM(H102:H105)*H120+SUM(I102:I105)*I120)/60</f>
        <v>12789.440927475602</v>
      </c>
      <c r="I166" s="455">
        <f ca="1">(H166+I170)/H169</f>
        <v>1.3342071353494411</v>
      </c>
      <c r="K166" s="1124" t="str">
        <f>Lang!$A$41</f>
        <v>Hours for assembly</v>
      </c>
      <c r="L166" s="1125"/>
      <c r="M166" s="394">
        <f ca="1">(SUM(L102:L105)*L120+SUM(M102:M105)*M120+SUM(N102:N105)*N120)/60</f>
        <v>14589.232465763846</v>
      </c>
      <c r="N166" s="455">
        <f ca="1">(M166+N170)/M169</f>
        <v>1.3490597496120738</v>
      </c>
      <c r="P166" s="1124" t="str">
        <f>Lang!$A$41</f>
        <v>Hours for assembly</v>
      </c>
      <c r="Q166" s="1125"/>
      <c r="R166" s="394">
        <f ca="1">(SUM(Q102:Q105)*Q120+SUM(R102:R105)*R120+SUM(S102:S105)*S120)/60</f>
        <v>15667.434852157952</v>
      </c>
      <c r="S166" s="455">
        <f ca="1">(R166+S170)/R169</f>
        <v>1.455992202578567</v>
      </c>
      <c r="U166" s="1124" t="str">
        <f>Lang!$A$41</f>
        <v>Hours for assembly</v>
      </c>
      <c r="V166" s="1125"/>
      <c r="W166" s="394">
        <f ca="1">(SUM(V102:V105)*V120+SUM(W102:W105)*W120+SUM(X102:X105)*X120)/60</f>
        <v>14375.983887173759</v>
      </c>
      <c r="X166" s="455">
        <f ca="1">(W166+X170)/W169</f>
        <v>1.4435747903942222</v>
      </c>
      <c r="Z166" s="3"/>
      <c r="AA166" s="3"/>
    </row>
    <row r="167" spans="1:27" ht="12.9" customHeight="1" x14ac:dyDescent="0.25">
      <c r="A167" s="1124" t="str">
        <f>Lang!$A$10</f>
        <v>7 days</v>
      </c>
      <c r="B167" s="1125"/>
      <c r="C167" s="454">
        <f>C171*(420+84+72)</f>
        <v>12096</v>
      </c>
      <c r="D167" s="456">
        <f>C167/C169</f>
        <v>1.3714285714285714</v>
      </c>
      <c r="F167" s="1124" t="str">
        <f>Lang!$A$10</f>
        <v>7 days</v>
      </c>
      <c r="G167" s="1125"/>
      <c r="H167" s="454">
        <f ca="1">H171*(420+84+72)</f>
        <v>13248</v>
      </c>
      <c r="I167" s="456">
        <f ca="1">H167/H169</f>
        <v>1.3714285714285714</v>
      </c>
      <c r="K167" s="1124" t="str">
        <f>Lang!$A$10</f>
        <v>7 days</v>
      </c>
      <c r="L167" s="1125"/>
      <c r="M167" s="454">
        <f ca="1">M171*(420+84+72)</f>
        <v>14976</v>
      </c>
      <c r="N167" s="456">
        <f ca="1">M167/M169</f>
        <v>1.3714285714285714</v>
      </c>
      <c r="P167" s="1124" t="str">
        <f>Lang!$A$10</f>
        <v>7 days</v>
      </c>
      <c r="Q167" s="1125"/>
      <c r="R167" s="454">
        <f ca="1">R171*(420+84+72)</f>
        <v>14976</v>
      </c>
      <c r="S167" s="456">
        <f ca="1">R167/R169</f>
        <v>1.3714285714285714</v>
      </c>
      <c r="U167" s="1124" t="str">
        <f>Lang!$A$10</f>
        <v>7 days</v>
      </c>
      <c r="V167" s="1125"/>
      <c r="W167" s="454">
        <f ca="1">W171*(420+84+72)</f>
        <v>13824</v>
      </c>
      <c r="X167" s="456">
        <f ca="1">W167/W169</f>
        <v>1.3714285714285714</v>
      </c>
      <c r="Z167" s="3"/>
      <c r="AA167" s="3"/>
    </row>
    <row r="168" spans="1:27" ht="12.9" customHeight="1" x14ac:dyDescent="0.25">
      <c r="A168" s="1133" t="str">
        <f>Lang!$A$12</f>
        <v>6 days</v>
      </c>
      <c r="B168" s="1134"/>
      <c r="C168" s="399">
        <f>C171*(420+84)</f>
        <v>10584</v>
      </c>
      <c r="D168" s="456">
        <f>C168/C169</f>
        <v>1.2</v>
      </c>
      <c r="F168" s="1133" t="str">
        <f>Lang!$A$12</f>
        <v>6 days</v>
      </c>
      <c r="G168" s="1134"/>
      <c r="H168" s="399">
        <f ca="1">H171*(420+84)</f>
        <v>11592</v>
      </c>
      <c r="I168" s="456">
        <f ca="1">H168/H169</f>
        <v>1.2</v>
      </c>
      <c r="K168" s="1133" t="str">
        <f>Lang!$A$12</f>
        <v>6 days</v>
      </c>
      <c r="L168" s="1134"/>
      <c r="M168" s="399">
        <f ca="1">M171*(420+84)</f>
        <v>13104</v>
      </c>
      <c r="N168" s="456">
        <f ca="1">M168/M169</f>
        <v>1.2</v>
      </c>
      <c r="P168" s="1133" t="str">
        <f>Lang!$A$12</f>
        <v>6 days</v>
      </c>
      <c r="Q168" s="1134"/>
      <c r="R168" s="399">
        <f ca="1">R171*(420+84)</f>
        <v>13104</v>
      </c>
      <c r="S168" s="456">
        <f ca="1">R168/R169</f>
        <v>1.2</v>
      </c>
      <c r="U168" s="1133" t="str">
        <f>Lang!$A$12</f>
        <v>6 days</v>
      </c>
      <c r="V168" s="1134"/>
      <c r="W168" s="399">
        <f ca="1">W171*(420+84)</f>
        <v>12096</v>
      </c>
      <c r="X168" s="456">
        <f ca="1">W168/W169</f>
        <v>1.2</v>
      </c>
      <c r="Z168" s="3"/>
      <c r="AA168" s="3"/>
    </row>
    <row r="169" spans="1:27" ht="12.9" customHeight="1" x14ac:dyDescent="0.25">
      <c r="A169" s="1133" t="str">
        <f>Lang!$A$14</f>
        <v>5 days</v>
      </c>
      <c r="B169" s="1134"/>
      <c r="C169" s="399">
        <f>C171*420</f>
        <v>8820</v>
      </c>
      <c r="D169" s="456">
        <v>1</v>
      </c>
      <c r="F169" s="1133" t="str">
        <f>Lang!$A$14</f>
        <v>5 days</v>
      </c>
      <c r="G169" s="1134"/>
      <c r="H169" s="399">
        <f ca="1">H171*420</f>
        <v>9660</v>
      </c>
      <c r="I169" s="456">
        <v>1</v>
      </c>
      <c r="K169" s="1133" t="str">
        <f>Lang!$A$14</f>
        <v>5 days</v>
      </c>
      <c r="L169" s="1134"/>
      <c r="M169" s="399">
        <f ca="1">M171*420</f>
        <v>10920</v>
      </c>
      <c r="N169" s="456">
        <v>1</v>
      </c>
      <c r="P169" s="1133" t="str">
        <f>Lang!$A$14</f>
        <v>5 days</v>
      </c>
      <c r="Q169" s="1134"/>
      <c r="R169" s="399">
        <f ca="1">R171*420</f>
        <v>10920</v>
      </c>
      <c r="S169" s="456">
        <v>1</v>
      </c>
      <c r="U169" s="1133" t="str">
        <f>Lang!$A$14</f>
        <v>5 days</v>
      </c>
      <c r="V169" s="1134"/>
      <c r="W169" s="399">
        <f ca="1">W171*420</f>
        <v>10080</v>
      </c>
      <c r="X169" s="456">
        <v>1</v>
      </c>
      <c r="Z169" s="3"/>
      <c r="AA169" s="3"/>
    </row>
    <row r="170" spans="1:27" ht="12.9" customHeight="1" x14ac:dyDescent="0.25">
      <c r="A170" s="1124" t="str">
        <f>Lang!$A$49</f>
        <v>Weeks of strike</v>
      </c>
      <c r="B170" s="1125"/>
      <c r="C170" s="454">
        <f>'52'!O20</f>
        <v>0</v>
      </c>
      <c r="D170" s="457">
        <f ca="1">C170*48*C171+AVERAGE(OFFSET(History!$E16:$E19,B253,))</f>
        <v>58</v>
      </c>
      <c r="F170" s="1124" t="str">
        <f>Lang!$A$49</f>
        <v>Weeks of strike</v>
      </c>
      <c r="G170" s="1125"/>
      <c r="H170" s="454">
        <f>'52'!O20</f>
        <v>0</v>
      </c>
      <c r="I170" s="457">
        <f ca="1">H170*48*H171+AVERAGE(OFFSET(History!$E16:$E19,G253,))</f>
        <v>99</v>
      </c>
      <c r="K170" s="1124" t="str">
        <f>Lang!$A$49</f>
        <v>Weeks of strike</v>
      </c>
      <c r="L170" s="1125"/>
      <c r="M170" s="454">
        <f>'52'!O20</f>
        <v>0</v>
      </c>
      <c r="N170" s="457">
        <f ca="1">M170*48*M171+AVERAGE(OFFSET(History!$E16:$E19,L253,))</f>
        <v>142.5</v>
      </c>
      <c r="P170" s="1124" t="str">
        <f>Lang!$A$49</f>
        <v>Weeks of strike</v>
      </c>
      <c r="Q170" s="1125"/>
      <c r="R170" s="454">
        <f>'52'!O20</f>
        <v>0</v>
      </c>
      <c r="S170" s="457">
        <f ca="1">R170*48*R171+AVERAGE(OFFSET(History!$E16:$E19,Q253,))</f>
        <v>232</v>
      </c>
      <c r="U170" s="1124" t="str">
        <f>Lang!$A$49</f>
        <v>Weeks of strike</v>
      </c>
      <c r="V170" s="1125"/>
      <c r="W170" s="454">
        <f>'52'!O20</f>
        <v>0</v>
      </c>
      <c r="X170" s="457">
        <f ca="1">W170*48*W171+AVERAGE(OFFSET(History!$E16:$E19,V253,))</f>
        <v>175.25</v>
      </c>
      <c r="Z170" s="3"/>
      <c r="AA170" s="3"/>
    </row>
    <row r="171" spans="1:27" ht="12.9" customHeight="1" x14ac:dyDescent="0.25">
      <c r="A171" s="1124" t="str">
        <f>Lang!$A$50</f>
        <v>Workers next quarter</v>
      </c>
      <c r="B171" s="1125"/>
      <c r="C171" s="474">
        <f>'52'!N12</f>
        <v>21</v>
      </c>
      <c r="D171" s="472">
        <f>(C171+C172)*0.055</f>
        <v>1.21</v>
      </c>
      <c r="F171" s="1124" t="str">
        <f>Lang!$A$50</f>
        <v>Workers next quarter</v>
      </c>
      <c r="G171" s="1125"/>
      <c r="H171" s="474">
        <f ca="1">IF(H203=1,'62'!N12,C171+C172+C173-D172)</f>
        <v>23</v>
      </c>
      <c r="I171" s="472">
        <f ca="1">(H171+H172)*0.055</f>
        <v>1.4850000000000001</v>
      </c>
      <c r="K171" s="1124" t="str">
        <f>Lang!$A$50</f>
        <v>Workers next quarter</v>
      </c>
      <c r="L171" s="1125"/>
      <c r="M171" s="474">
        <f ca="1">IF(M203=1,'72'!N12,H171+H172+H173-I172)</f>
        <v>26</v>
      </c>
      <c r="N171" s="472">
        <f ca="1">(M171+M172)*0.055</f>
        <v>1.54</v>
      </c>
      <c r="P171" s="1124" t="str">
        <f>Lang!$A$50</f>
        <v>Workers next quarter</v>
      </c>
      <c r="Q171" s="1125"/>
      <c r="R171" s="474">
        <f ca="1">IF(R203=1,'82'!N12,M171+M172+M173-N172)</f>
        <v>26</v>
      </c>
      <c r="S171" s="472">
        <f ca="1">(R171+R172)*0.055</f>
        <v>1.43</v>
      </c>
      <c r="U171" s="1124" t="str">
        <f>Lang!$A$50</f>
        <v>Workers next quarter</v>
      </c>
      <c r="V171" s="1125"/>
      <c r="W171" s="474">
        <f ca="1">IF(W203=1,'92'!N12,R171+R172+R173-S172)</f>
        <v>24</v>
      </c>
      <c r="X171" s="472">
        <f ca="1">(W171+W172)*0.055</f>
        <v>1.65</v>
      </c>
      <c r="Z171" s="3"/>
      <c r="AA171" s="3"/>
    </row>
    <row r="172" spans="1:27" ht="12.9" customHeight="1" x14ac:dyDescent="0.25">
      <c r="A172" s="1124" t="str">
        <f>Lang!$A$51</f>
        <v>Recruit workers</v>
      </c>
      <c r="B172" s="1125"/>
      <c r="C172" s="458">
        <v>1</v>
      </c>
      <c r="D172" s="472">
        <f ca="1">ROUNDUP((C171+C172)*AVERAGE(OFFSET(History!$C15:$C19,B253,)),0)</f>
        <v>0</v>
      </c>
      <c r="F172" s="1124" t="str">
        <f>Lang!$A$51</f>
        <v>Recruit workers</v>
      </c>
      <c r="G172" s="1125"/>
      <c r="H172" s="458">
        <v>4</v>
      </c>
      <c r="I172" s="472">
        <f ca="1">ROUNDUP((H171+H172)*AVERAGE(OFFSET(History!$C15:$C19,G253,)),0)</f>
        <v>1</v>
      </c>
      <c r="K172" s="1124" t="str">
        <f>Lang!$A$51</f>
        <v>Recruit workers</v>
      </c>
      <c r="L172" s="1125"/>
      <c r="M172" s="458">
        <v>2</v>
      </c>
      <c r="N172" s="472">
        <f ca="1">ROUNDUP((M171+M172)*AVERAGE(OFFSET(History!$C15:$C19,L253,)),0)</f>
        <v>2</v>
      </c>
      <c r="P172" s="1124" t="str">
        <f>Lang!$A$51</f>
        <v>Recruit workers</v>
      </c>
      <c r="Q172" s="1125"/>
      <c r="R172" s="458">
        <v>0</v>
      </c>
      <c r="S172" s="472">
        <f ca="1">ROUNDUP((R171+R172)*AVERAGE(OFFSET(History!$C15:$C19,Q253,)),0)</f>
        <v>2</v>
      </c>
      <c r="U172" s="1124" t="str">
        <f>Lang!$A$51</f>
        <v>Recruit workers</v>
      </c>
      <c r="V172" s="1125"/>
      <c r="W172" s="458">
        <v>6</v>
      </c>
      <c r="X172" s="472">
        <f ca="1">ROUNDUP((W171+W172)*AVERAGE(OFFSET(History!$C15:$C19,V253,)),0)</f>
        <v>2</v>
      </c>
      <c r="Z172" s="3"/>
      <c r="AA172" s="3"/>
    </row>
    <row r="173" spans="1:27" ht="12.9" customHeight="1" x14ac:dyDescent="0.25">
      <c r="A173" s="1124" t="str">
        <f>Lang!$A$55</f>
        <v>Train workers</v>
      </c>
      <c r="B173" s="1125"/>
      <c r="C173" s="458">
        <v>1</v>
      </c>
      <c r="D173" s="2"/>
      <c r="F173" s="1124" t="str">
        <f>Lang!$A$55</f>
        <v>Train workers</v>
      </c>
      <c r="G173" s="1125"/>
      <c r="H173" s="458">
        <v>0</v>
      </c>
      <c r="I173" s="2"/>
      <c r="K173" s="1124" t="str">
        <f>Lang!$A$55</f>
        <v>Train workers</v>
      </c>
      <c r="L173" s="1125"/>
      <c r="M173" s="458">
        <v>0</v>
      </c>
      <c r="N173" s="2"/>
      <c r="P173" s="1124" t="str">
        <f>Lang!$A$55</f>
        <v>Train workers</v>
      </c>
      <c r="Q173" s="1125"/>
      <c r="R173" s="458">
        <v>0</v>
      </c>
      <c r="S173" s="2"/>
      <c r="U173" s="1124" t="str">
        <f>Lang!$A$55</f>
        <v>Train workers</v>
      </c>
      <c r="V173" s="1125"/>
      <c r="W173" s="458">
        <v>0</v>
      </c>
      <c r="X173" s="2"/>
      <c r="Z173" s="3"/>
      <c r="AA173" s="3"/>
    </row>
    <row r="174" spans="1:27" ht="12.9" customHeight="1" x14ac:dyDescent="0.25">
      <c r="A174" s="1124" t="str">
        <f>Lang!$A$53</f>
        <v>Training</v>
      </c>
      <c r="B174" s="1125"/>
      <c r="C174" s="458">
        <v>2</v>
      </c>
      <c r="D174" s="2"/>
      <c r="F174" s="1124" t="str">
        <f>Lang!$A$53</f>
        <v>Training</v>
      </c>
      <c r="G174" s="1125"/>
      <c r="H174" s="837">
        <f>IF(I101=2,'71'!$W$26,MROUND(C174*0.5,5))</f>
        <v>0</v>
      </c>
      <c r="I174" s="2"/>
      <c r="K174" s="1124" t="str">
        <f>Lang!$A$53</f>
        <v>Training</v>
      </c>
      <c r="L174" s="1125"/>
      <c r="M174" s="837">
        <f>IF(N101=2,'81'!$W$26,MROUND(H174*0.75,5))</f>
        <v>0</v>
      </c>
      <c r="N174" s="2"/>
      <c r="P174" s="1124" t="str">
        <f>Lang!$A$53</f>
        <v>Training</v>
      </c>
      <c r="Q174" s="1125"/>
      <c r="R174" s="837">
        <f>IF(S101=2,'91'!$W$26,MROUND(M174*0.75,5))</f>
        <v>0</v>
      </c>
      <c r="S174" s="2"/>
      <c r="U174" s="1124" t="str">
        <f>Lang!$A$53</f>
        <v>Training</v>
      </c>
      <c r="V174" s="1125"/>
      <c r="W174" s="837">
        <f>IF(X101=2,'101'!$W$26,MROUND(R174*0.75,5))</f>
        <v>0</v>
      </c>
      <c r="X174" s="2"/>
      <c r="Z174" s="3"/>
      <c r="AA174" s="3"/>
    </row>
    <row r="175" spans="1:27" ht="12.9" customHeight="1" x14ac:dyDescent="0.25">
      <c r="A175" s="1124" t="str">
        <f>Lang!$A$56</f>
        <v>Mechanics next quarter</v>
      </c>
      <c r="B175" s="1125"/>
      <c r="C175" s="474">
        <f>'52'!O12-D175</f>
        <v>27</v>
      </c>
      <c r="D175" s="768">
        <f>CEILING(IF(C158*4*C162&lt;'52'!$O12,('52'!$O12-C158*4*C162)/2,0),1)</f>
        <v>0</v>
      </c>
      <c r="F175" s="1124" t="str">
        <f>Lang!$A$56</f>
        <v>Mechanics next quarter</v>
      </c>
      <c r="G175" s="1125"/>
      <c r="H175" s="503">
        <f ca="1">IF(H203=1,'62'!O12-I175,C175+C176-D176-I175)</f>
        <v>29</v>
      </c>
      <c r="I175" s="768">
        <f>IF(H203=1,CEILING(IF(H158*4*H162&lt;'62'!$O12,('62'!$O12-H158*4*H162)/2,0),1),CEILING(IF(H158*4*H162&lt;C175,(C175-H158*4*H162)/2,0),1))</f>
        <v>0</v>
      </c>
      <c r="K175" s="1124" t="str">
        <f>Lang!$A$56</f>
        <v>Mechanics next quarter</v>
      </c>
      <c r="L175" s="1125"/>
      <c r="M175" s="503">
        <f ca="1">IF(M203=1,'72'!O12-N175,H175+H176-I176-N175)</f>
        <v>44</v>
      </c>
      <c r="N175" s="768">
        <f ca="1">IF(M203=1,CEILING(IF(M158*4*M162&lt;'72'!$O12,('72'!$O12-M158*4*M162)/2,0),1),CEILING(IF(M158*4*M162&lt;H175,(H175-M158*4*M162)/2,0),1))</f>
        <v>0</v>
      </c>
      <c r="P175" s="1124" t="str">
        <f>Lang!$A$56</f>
        <v>Mechanics next quarter</v>
      </c>
      <c r="Q175" s="1125"/>
      <c r="R175" s="503">
        <f ca="1">IF(R203=1,'82'!O12-S175,M175+M176-N176-S175)</f>
        <v>37</v>
      </c>
      <c r="S175" s="768">
        <f ca="1">IF(R203=1,CEILING(IF(R158*4*R162&lt;'82'!$O12,('82'!$O12-R158*4*R162)/2,0),1),CEILING(IF(R158*4*R162&lt;M175,(M175-R158*4*R162)/2,0),1))</f>
        <v>2</v>
      </c>
      <c r="U175" s="1124" t="str">
        <f>Lang!$A$56</f>
        <v>Mechanics next quarter</v>
      </c>
      <c r="V175" s="1125"/>
      <c r="W175" s="503">
        <f ca="1">IF(W203=1,'92'!O12-X175,R175+R176-S176-X175)</f>
        <v>34</v>
      </c>
      <c r="X175" s="768">
        <f ca="1">IF(W203=1,CEILING(IF(W158*4*W162&lt;'92'!$O12,('92'!$O12-W158*4*W162)/2,0),1),CEILING(IF(W158*4*W162&lt;R175,(R175-W158*4*W162)/2,0),1))</f>
        <v>0</v>
      </c>
      <c r="Z175" s="3"/>
      <c r="AA175" s="3"/>
    </row>
    <row r="176" spans="1:27" ht="12.9" customHeight="1" x14ac:dyDescent="0.25">
      <c r="A176" s="1124" t="str">
        <f>Lang!$A$57</f>
        <v>Recruit mechanics</v>
      </c>
      <c r="B176" s="1125"/>
      <c r="C176" s="477">
        <f>IF(C158*4*C162-C175&lt;0,0,C158*4*C162-C175)</f>
        <v>5</v>
      </c>
      <c r="D176" s="768">
        <f ca="1">ROUNDUP((C175+C176)*AVERAGEIF(OFFSET(History!$C2:$C6,B253,),"&gt;0"),0)</f>
        <v>3</v>
      </c>
      <c r="F176" s="1124" t="str">
        <f>Lang!$A$57</f>
        <v>Recruit mechanics</v>
      </c>
      <c r="G176" s="1125"/>
      <c r="H176" s="477">
        <f ca="1">IF(H158*4*H162-H175&lt;0,0,H158*4*H162-H175)</f>
        <v>19</v>
      </c>
      <c r="I176" s="768">
        <f ca="1">ROUNDUP((H175+H176)*AVERAGEIF(OFFSET(History!$C2:$C6,G253,),"&gt;0"),0)</f>
        <v>4</v>
      </c>
      <c r="K176" s="1124" t="str">
        <f>Lang!$A$57</f>
        <v>Recruit mechanics</v>
      </c>
      <c r="L176" s="1125"/>
      <c r="M176" s="477">
        <f ca="1">IF(M158*4*M162-M175&lt;0,0,M158*4*M162-M175)</f>
        <v>0</v>
      </c>
      <c r="N176" s="768">
        <f ca="1">ROUNDUP((M175+M176)*AVERAGEIF(OFFSET(History!$C2:$C6,L253,),"&gt;0"),0)</f>
        <v>5</v>
      </c>
      <c r="P176" s="1124" t="str">
        <f>Lang!$A$57</f>
        <v>Recruit mechanics</v>
      </c>
      <c r="Q176" s="1125"/>
      <c r="R176" s="477">
        <f ca="1">IF(R158*4*R162-R175&lt;0,0,R158*4*R162-R175)</f>
        <v>3</v>
      </c>
      <c r="S176" s="768">
        <f ca="1">ROUNDUP((R175+R176)*AVERAGEIF(OFFSET(History!$C2:$C6,Q253,),"&gt;0"),0)</f>
        <v>6</v>
      </c>
      <c r="U176" s="1124" t="str">
        <f>Lang!$A$57</f>
        <v>Recruit mechanics</v>
      </c>
      <c r="V176" s="1125"/>
      <c r="W176" s="477">
        <f ca="1">IF(W158*4*W162-W175&lt;0,0,W158*4*W162-W175)</f>
        <v>6</v>
      </c>
      <c r="X176" s="768">
        <f ca="1">ROUNDUP((W175+W176)*AVERAGEIF(OFFSET(History!$C2:$C6,V253,),"&gt;0"),0)</f>
        <v>8</v>
      </c>
      <c r="Z176" s="3"/>
      <c r="AA176" s="3"/>
    </row>
    <row r="177" spans="1:27" ht="12.9" customHeight="1" x14ac:dyDescent="0.25">
      <c r="A177" s="1124" t="str">
        <f>Lang!$A$59</f>
        <v>Workers wage rate</v>
      </c>
      <c r="B177" s="1125"/>
      <c r="C177" s="478">
        <v>13</v>
      </c>
      <c r="D177" s="457">
        <f ca="1">IF(C166&gt;C168,C177*C169+C177*1.5*(C168-C169)+C177*2*(C166-C168),IF(C166&gt;C169,C177*C169+C177*1.5*(C166-C169),C177*C166))/C171</f>
        <v>6697.8094975959921</v>
      </c>
      <c r="F177" s="1124" t="str">
        <f>Lang!$A$59</f>
        <v>Workers wage rate</v>
      </c>
      <c r="G177" s="1125"/>
      <c r="H177" s="478">
        <v>13</v>
      </c>
      <c r="I177" s="457">
        <f ca="1">IF(H166&gt;H168,H177*H169+H177*1.5*(H168-H169)+H177*2*(H166-H168),IF(H166&gt;H169,H177*H169+H177*1.5*(H166-H169),H177*H166))/H171</f>
        <v>8451.6288745376369</v>
      </c>
      <c r="K177" s="1124" t="str">
        <f>Lang!$A$59</f>
        <v>Workers wage rate</v>
      </c>
      <c r="L177" s="1125"/>
      <c r="M177" s="478">
        <v>13</v>
      </c>
      <c r="N177" s="457">
        <f ca="1">IF(M166&gt;M168,M177*M169+M177*1.5*(M168-M169)+M177*2*(M166-M168),IF(M166&gt;M169,M177*M169+M177*1.5*(M166-M169),M177*M166))/M171</f>
        <v>8583.2324657638455</v>
      </c>
      <c r="P177" s="1124" t="str">
        <f>Lang!$A$59</f>
        <v>Workers wage rate</v>
      </c>
      <c r="Q177" s="1125"/>
      <c r="R177" s="478">
        <v>13</v>
      </c>
      <c r="S177" s="457">
        <f ca="1">IF(R166&gt;R168,R177*R169+R177*1.5*(R168-R169)+R177*2*(R166-R168),IF(R166&gt;R169,R177*R169+R177*1.5*(R166-R169),R177*R166))/R171</f>
        <v>9661.4348521579523</v>
      </c>
      <c r="U177" s="1124" t="str">
        <f>Lang!$A$59</f>
        <v>Workers wage rate</v>
      </c>
      <c r="V177" s="1125"/>
      <c r="W177" s="478">
        <v>13.25</v>
      </c>
      <c r="X177" s="457">
        <f ca="1">IF(W166&gt;W168,W177*W169+W177*1.5*(W168-W169)+W177*2*(W166-W168),IF(W166&gt;W169,W177*W169+W177*1.5*(W166-W169),W177*W166))/W171</f>
        <v>9751.9822087543598</v>
      </c>
      <c r="Z177" s="3"/>
      <c r="AA177" s="3"/>
    </row>
    <row r="178" spans="1:27" ht="12.9" customHeight="1" thickBot="1" x14ac:dyDescent="0.3">
      <c r="A178" s="1126" t="str">
        <f>Lang!$A$62</f>
        <v>Machinists wage rate</v>
      </c>
      <c r="B178" s="1127"/>
      <c r="C178" s="479">
        <f>C177*0.65</f>
        <v>8.4500000000000011</v>
      </c>
      <c r="D178" s="457">
        <f ca="1">IF(C175+C176=0,0,C292/(C175+C176))</f>
        <v>9003.6580102035514</v>
      </c>
      <c r="F178" s="1126" t="str">
        <f>Lang!$A$62</f>
        <v>Machinists wage rate</v>
      </c>
      <c r="G178" s="1127"/>
      <c r="H178" s="479">
        <f>H177*0.65</f>
        <v>8.4500000000000011</v>
      </c>
      <c r="I178" s="457">
        <f ca="1">IF(H175+H176=0,0,H292/(H175+H176))</f>
        <v>8696.189979010278</v>
      </c>
      <c r="K178" s="1126" t="str">
        <f>Lang!$A$62</f>
        <v>Machinists wage rate</v>
      </c>
      <c r="L178" s="1127"/>
      <c r="M178" s="479">
        <f>M177*0.65</f>
        <v>8.4500000000000011</v>
      </c>
      <c r="N178" s="457">
        <f ca="1">IF(M175+M176=0,0,M292/(M175+M176))</f>
        <v>11462.711955374391</v>
      </c>
      <c r="P178" s="1126" t="str">
        <f>Lang!$A$62</f>
        <v>Machinists wage rate</v>
      </c>
      <c r="Q178" s="1127"/>
      <c r="R178" s="479">
        <f>R177*0.65</f>
        <v>8.4500000000000011</v>
      </c>
      <c r="S178" s="457">
        <f ca="1">IF(R175+R176=0,0,R292/(R175+R176))</f>
        <v>13914.992193180737</v>
      </c>
      <c r="U178" s="1126" t="str">
        <f>Lang!$A$62</f>
        <v>Machinists wage rate</v>
      </c>
      <c r="V178" s="1127"/>
      <c r="W178" s="479">
        <f>W177*0.65</f>
        <v>8.6125000000000007</v>
      </c>
      <c r="X178" s="457" t="e">
        <f ca="1">IF(W175+W176=0,0,W292/(W175+W176))</f>
        <v>#DIV/0!</v>
      </c>
      <c r="Z178" s="3"/>
      <c r="AA178" s="3"/>
    </row>
    <row r="179" spans="1:27" ht="12.9" customHeight="1" thickBot="1" x14ac:dyDescent="0.3">
      <c r="A179" s="1115">
        <f ca="1">C306+C311</f>
        <v>-5017.4457967537455</v>
      </c>
      <c r="B179" s="1115"/>
      <c r="C179" s="1115"/>
      <c r="D179" s="2"/>
      <c r="F179" s="1115">
        <f ca="1">H306+H311</f>
        <v>114392.80570573096</v>
      </c>
      <c r="G179" s="1115"/>
      <c r="H179" s="1115"/>
      <c r="I179" s="2"/>
      <c r="K179" s="1115">
        <f ca="1">M306+M311</f>
        <v>155683.11360219138</v>
      </c>
      <c r="L179" s="1115"/>
      <c r="M179" s="1115"/>
      <c r="N179" s="2"/>
      <c r="P179" s="1115">
        <f ca="1">R306+R311</f>
        <v>217809.09213536125</v>
      </c>
      <c r="Q179" s="1115"/>
      <c r="R179" s="1115"/>
      <c r="S179" s="2"/>
      <c r="U179" s="1115" t="e">
        <f ca="1">W306+W311</f>
        <v>#DIV/0!</v>
      </c>
      <c r="V179" s="1115"/>
      <c r="W179" s="1115"/>
      <c r="X179" s="2"/>
      <c r="Z179" s="3"/>
      <c r="AA179" s="3"/>
    </row>
    <row r="180" spans="1:27" ht="12.9" customHeight="1" x14ac:dyDescent="0.25">
      <c r="A180" s="1080" t="str">
        <f>Lang!$A$63</f>
        <v>Raw materials</v>
      </c>
      <c r="B180" s="1081"/>
      <c r="C180" s="453">
        <f ca="1">IF(B253=1,B184,IF(B253=2,B185,B186))</f>
        <v>78498</v>
      </c>
      <c r="D180" s="2"/>
      <c r="F180" s="1080" t="str">
        <f>A180</f>
        <v>Raw materials</v>
      </c>
      <c r="G180" s="1081"/>
      <c r="H180" s="453">
        <f ca="1">IF(G253=1,G184,IF(G253=2,G185,G186))</f>
        <v>75192</v>
      </c>
      <c r="I180" s="2"/>
      <c r="K180" s="1080" t="str">
        <f>A180</f>
        <v>Raw materials</v>
      </c>
      <c r="L180" s="1081"/>
      <c r="M180" s="453">
        <f ca="1">IF(L253=1,L184,IF(L253=2,L185,L186))</f>
        <v>71403</v>
      </c>
      <c r="N180" s="2"/>
      <c r="P180" s="1080" t="str">
        <f>A180</f>
        <v>Raw materials</v>
      </c>
      <c r="Q180" s="1081"/>
      <c r="R180" s="453">
        <f ca="1">IF(Q253=1,Q184,IF(Q253=2,Q185,Q186))</f>
        <v>71410</v>
      </c>
      <c r="S180" s="2"/>
      <c r="U180" s="1080" t="str">
        <f>A180</f>
        <v>Raw materials</v>
      </c>
      <c r="V180" s="1081"/>
      <c r="W180" s="453">
        <f ca="1">IF(V253=1,V184,IF(V253=2,V185,V186))</f>
        <v>71410</v>
      </c>
      <c r="X180" s="2"/>
      <c r="Z180" s="3"/>
      <c r="AA180" s="3"/>
    </row>
    <row r="181" spans="1:27" ht="12.9" customHeight="1" x14ac:dyDescent="0.25">
      <c r="A181" s="1107" t="str">
        <f>Lang!$A$65</f>
        <v>Required materials</v>
      </c>
      <c r="B181" s="1108"/>
      <c r="C181" s="394">
        <f ca="1">SUM(B102:B105)*1+SUM(C102:C105)*2+SUM(D102:D105)*3-(IF(SUM(B102:B105)&lt;B107,SUM(B102:B105),B107)*1+IF(SUM(C102:C105)&lt;C107,SUM(C102:C105),C107)*2+IF(SUM(D102:D105)&lt;D107,SUM(D102:D105),D107)*3)</f>
        <v>6125.0720606631185</v>
      </c>
      <c r="D181" s="471">
        <f ca="1">C181/'52'!G34</f>
        <v>1.2505251246760143</v>
      </c>
      <c r="F181" s="1107" t="str">
        <f>Lang!$A$65</f>
        <v>Required materials</v>
      </c>
      <c r="G181" s="1108"/>
      <c r="H181" s="394">
        <f ca="1">SUM(G102:G105)*1+SUM(H102:H105)*2+SUM(I102:I105)*3-(IF(SUM(G102:G105)&lt;G107,SUM(G102:G105),G107)*1+IF(SUM(H102:H105)&lt;H107,SUM(H102:H105),H107)*2+IF(SUM(I102:I105)&lt;I107,SUM(I102:I105),I107)*3)</f>
        <v>7347.5580227876508</v>
      </c>
      <c r="I181" s="471">
        <f ca="1">H181/C181</f>
        <v>1.1995871966920471</v>
      </c>
      <c r="K181" s="1107" t="str">
        <f>Lang!$A$65</f>
        <v>Required materials</v>
      </c>
      <c r="L181" s="1108"/>
      <c r="M181" s="394">
        <f ca="1">SUM(L102:L105)*1+SUM(M102:M105)*2+SUM(N102:N105)*3-(IF(SUM(L102:L105)&lt;L107,SUM(L102:L105),L107)*1+IF(SUM(M102:M105)&lt;M107,SUM(M102:M105),M107)*2+IF(SUM(N102:N105)&lt;N107,SUM(N102:N105),N107)*3)</f>
        <v>8564.0404029220645</v>
      </c>
      <c r="N181" s="471">
        <f ca="1">M181/H181</f>
        <v>1.1655628137078504</v>
      </c>
      <c r="P181" s="1107" t="str">
        <f>Lang!$A$65</f>
        <v>Required materials</v>
      </c>
      <c r="Q181" s="1108"/>
      <c r="R181" s="394">
        <f ca="1">SUM(Q102:Q105)*1+SUM(R102:R105)*2+SUM(S102:S105)*3-(IF(SUM(Q102:Q105)&lt;Q107,SUM(Q102:Q105),Q107)*1+IF(SUM(R102:R105)&lt;R107,SUM(R102:R105),R107)*2+IF(SUM(S102:S105)&lt;S107,SUM(S102:S105),S107)*3)</f>
        <v>9377.2668626854756</v>
      </c>
      <c r="S181" s="471">
        <f ca="1">R181/M181</f>
        <v>1.0949582698706017</v>
      </c>
      <c r="U181" s="1107" t="str">
        <f>Lang!$A$65</f>
        <v>Required materials</v>
      </c>
      <c r="V181" s="1108"/>
      <c r="W181" s="394">
        <f ca="1">SUM(V102:V105)*1+SUM(W102:W105)*2+SUM(X102:X105)*3-(IF(SUM(V102:V105)&lt;V107,SUM(V102:V105),V107)*1+IF(SUM(W102:W105)&lt;W107,SUM(W102:W105),W107)*2+IF(SUM(X102:X105)&lt;X107,SUM(X102:X105),X107)*3)</f>
        <v>7593.9154774482904</v>
      </c>
      <c r="X181" s="471">
        <f ca="1">W181/R181</f>
        <v>0.80982183707135469</v>
      </c>
      <c r="Z181" s="3"/>
      <c r="AA181" s="3"/>
    </row>
    <row r="182" spans="1:27" ht="12.9" customHeight="1" x14ac:dyDescent="0.25">
      <c r="A182" s="1107" t="str">
        <f>Lang!$A$66</f>
        <v>Materials will remain</v>
      </c>
      <c r="B182" s="1108"/>
      <c r="C182" s="394">
        <f ca="1">D184+C183+C184-C181</f>
        <v>651.37407939599507</v>
      </c>
      <c r="D182" s="2"/>
      <c r="F182" s="1107" t="str">
        <f>Lang!$A$66</f>
        <v>Materials will remain</v>
      </c>
      <c r="G182" s="1108"/>
      <c r="H182" s="394">
        <f ca="1">I184+H183+H184-H181</f>
        <v>446.25766283494522</v>
      </c>
      <c r="I182" s="2"/>
      <c r="K182" s="1107" t="str">
        <f>Lang!$A$66</f>
        <v>Materials will remain</v>
      </c>
      <c r="L182" s="1108"/>
      <c r="M182" s="394">
        <f ca="1">N184+M183+M184-M181</f>
        <v>752.96294443525585</v>
      </c>
      <c r="N182" s="2"/>
      <c r="P182" s="1107" t="str">
        <f>Lang!$A$66</f>
        <v>Materials will remain</v>
      </c>
      <c r="Q182" s="1108"/>
      <c r="R182" s="394">
        <f ca="1">S184+R183+R184-R181</f>
        <v>688.0999864885016</v>
      </c>
      <c r="S182" s="2"/>
      <c r="U182" s="1107" t="str">
        <f>Lang!$A$66</f>
        <v>Materials will remain</v>
      </c>
      <c r="V182" s="1108"/>
      <c r="W182" s="394">
        <f ca="1">X184+W183+W184-W181</f>
        <v>561.50088228622644</v>
      </c>
      <c r="X182" s="2"/>
      <c r="Z182" s="3"/>
      <c r="AA182" s="3"/>
    </row>
    <row r="183" spans="1:27" ht="12.9" customHeight="1" x14ac:dyDescent="0.25">
      <c r="A183" s="1107" t="str">
        <f>Lang!$A$70</f>
        <v>Additional materials</v>
      </c>
      <c r="B183" s="1108"/>
      <c r="C183" s="394">
        <f ca="1">SUM(B102:B105)*1*B122+SUM(C102:C105)*2*C122+SUM(D102:D105)*3*D122-(IF(SUM(B102:B105)&lt;B107,SUM(B102:B105),B107)*1*B122+IF(SUM(C102:C105)&lt;C107,SUM(C102:C105),C107)*2*C122+IF(SUM(D102:D105)&lt;D107,SUM(D102:D105),D107)*3*D122)</f>
        <v>56.446140059113297</v>
      </c>
      <c r="D183" s="2"/>
      <c r="E183" s="23"/>
      <c r="F183" s="1107" t="str">
        <f>Lang!$A$70</f>
        <v>Additional materials</v>
      </c>
      <c r="G183" s="1108"/>
      <c r="H183" s="394">
        <f ca="1">SUM(G102:G105)*1*G122+SUM(H102:H105)*2*H122+SUM(I102:I105)*3*I122-(IF(SUM(G102:G105)&lt;G107,SUM(G102:G105),G107)*1*G122+IF(SUM(H102:H105)&lt;H107,SUM(H102:H105),H107)*2*H122+IF(SUM(I102:I105)&lt;I107,SUM(I102:I105),I107)*3*I122)</f>
        <v>142.44160622660101</v>
      </c>
      <c r="I183" s="2"/>
      <c r="K183" s="1107" t="str">
        <f>Lang!$A$70</f>
        <v>Additional materials</v>
      </c>
      <c r="L183" s="1108"/>
      <c r="M183" s="394">
        <f ca="1">SUM(L102:L105)*1*L122+SUM(M102:M105)*2*M122+SUM(N102:N105)*3*N122-(IF(SUM(L102:L105)&lt;L107,SUM(L102:L105),L107)*1*L122+IF(SUM(M102:M105)&lt;M107,SUM(M102:M105),M107)*2*M122+IF(SUM(N102:N105)&lt;N107,SUM(N102:N105),N107)*3*N122)</f>
        <v>870.74568452237554</v>
      </c>
      <c r="N183" s="2"/>
      <c r="P183" s="1107" t="str">
        <f>Lang!$A$70</f>
        <v>Additional materials</v>
      </c>
      <c r="Q183" s="1108"/>
      <c r="R183" s="394">
        <f ca="1">SUM(Q102:Q105)*1*Q122+SUM(R102:R105)*2*R122+SUM(S102:S105)*3*S122-(IF(SUM(Q102:Q105)&lt;Q107,SUM(Q102:Q105),Q107)*1*Q122+IF(SUM(R102:R105)&lt;R107,SUM(R102:R105),R107)*2*R122+IF(SUM(S102:S105)&lt;S107,SUM(S102:S105),S107)*3*S122)</f>
        <v>312.40390473872162</v>
      </c>
      <c r="S183" s="2"/>
      <c r="U183" s="1107" t="str">
        <f>Lang!$A$70</f>
        <v>Additional materials</v>
      </c>
      <c r="V183" s="1108"/>
      <c r="W183" s="394">
        <f ca="1">SUM(V102:V105)*1*V122+SUM(W102:W105)*2*W122+SUM(X102:X105)*3*X122-(IF(SUM(V102:V105)&lt;V107,SUM(V102:V105),V107)*1*V122+IF(SUM(W102:W105)&lt;W107,SUM(W102:W105),W107)*2*W122+IF(SUM(X102:X105)&lt;X107,SUM(X102:X105),X107)*3*X122)</f>
        <v>1467.3163732460152</v>
      </c>
      <c r="X183" s="2"/>
      <c r="Z183" s="3"/>
      <c r="AA183" s="3"/>
    </row>
    <row r="184" spans="1:27" x14ac:dyDescent="0.25">
      <c r="A184" s="897" t="str">
        <f>Lang!$A$71</f>
        <v>Spot - 1, 2, 3, 4, 5</v>
      </c>
      <c r="B184" s="62">
        <f ca="1">OFFSET(History!$N45,B253,)</f>
        <v>78498</v>
      </c>
      <c r="C184" s="392">
        <f ca="1">IF(D101=2,'61'!$P$19*1000,IF(C181-C183-D184&gt;0,CEILING(C181-C183-D184,1000),0))</f>
        <v>5000</v>
      </c>
      <c r="D184" s="457">
        <f>'52'!G35+'52'!G37+'52'!G38</f>
        <v>1720</v>
      </c>
      <c r="F184" s="897" t="str">
        <f>Lang!$A$71</f>
        <v>Spot - 1, 2, 3, 4, 5</v>
      </c>
      <c r="G184" s="62">
        <f ca="1">OFFSET(History!$N45,G253,)</f>
        <v>79567</v>
      </c>
      <c r="H184" s="392">
        <f ca="1">IF(I101=2,'71'!$P$19*1000,IF(H181-H183-I184&gt;0,CEILING(H181-H183-I184,1000),0))</f>
        <v>0</v>
      </c>
      <c r="I184" s="457">
        <f ca="1">IF(H203=1,'62'!$G35+'62'!$G37+'62'!$G38,C182+C185)</f>
        <v>7651.3740793959951</v>
      </c>
      <c r="K184" s="897" t="str">
        <f>Lang!$A$71</f>
        <v>Spot - 1, 2, 3, 4, 5</v>
      </c>
      <c r="L184" s="62">
        <f ca="1">OFFSET(History!$N45,L253,)</f>
        <v>79336</v>
      </c>
      <c r="M184" s="392">
        <f ca="1">IF(N101=2,'81'!$P$19*1000,IF(M181-M183-N184&gt;0,CEILING(M181-M183-N184,1000),0))</f>
        <v>0</v>
      </c>
      <c r="N184" s="457">
        <f ca="1">IF(M203=1,'72'!$G35+'72'!$G37+'72'!$G38,H182+H185+C186)</f>
        <v>8446.2576628349452</v>
      </c>
      <c r="P184" s="897" t="str">
        <f>Lang!$A$71</f>
        <v>Spot - 1, 2, 3, 4, 5</v>
      </c>
      <c r="Q184" s="62">
        <f ca="1">OFFSET(History!$N45,Q253,)</f>
        <v>79345</v>
      </c>
      <c r="R184" s="392">
        <f ca="1">IF(S101=2,'91'!$P$19*1000,IF(R181-R183-S184&gt;0,CEILING(R181-R183-S184,1000),0))</f>
        <v>0</v>
      </c>
      <c r="S184" s="457">
        <f ca="1">IF(R203=1,'82'!$G35+'82'!$G37+'82'!$G38,M182+M185+H186)</f>
        <v>9752.9629444352558</v>
      </c>
      <c r="U184" s="897" t="str">
        <f>Lang!$A$71</f>
        <v>Spot - 1, 2, 3, 4, 5</v>
      </c>
      <c r="V184" s="62">
        <f ca="1">OFFSET(History!$N45,V253,)</f>
        <v>78498</v>
      </c>
      <c r="W184" s="392">
        <f ca="1">IF(X101=2,'101'!$P$19*1000,IF(W181-W183-X184&gt;0,CEILING(W181-W183-X184,1000),0))</f>
        <v>0</v>
      </c>
      <c r="X184" s="457">
        <f ca="1">IF(W203=1,'92'!$G35+'92'!$G37+'92'!$G38,R182+R185+M186)</f>
        <v>6688.0999864885016</v>
      </c>
      <c r="Z184" s="3"/>
      <c r="AA184" s="3"/>
    </row>
    <row r="185" spans="1:27" x14ac:dyDescent="0.25">
      <c r="A185" s="13" t="str">
        <f>Lang!$A$72</f>
        <v>3 mth - 1, 2, 3, 4</v>
      </c>
      <c r="B185" s="62">
        <f ca="1">OFFSET(History!$O45,B253,)</f>
        <v>75387</v>
      </c>
      <c r="C185" s="392">
        <f ca="1">IF(D101=2,'61'!$T$19*1000,IF(H181-C182-H183-D185&gt;0,CEILING(H181-C182-H183-D185,1000),0))</f>
        <v>7000</v>
      </c>
      <c r="D185" s="457">
        <f>'52'!G39</f>
        <v>0</v>
      </c>
      <c r="F185" s="13" t="str">
        <f>Lang!$A$72</f>
        <v>3 mth - 1, 2, 3, 4</v>
      </c>
      <c r="G185" s="62">
        <f ca="1">OFFSET(History!$O45,G253,)</f>
        <v>75192</v>
      </c>
      <c r="H185" s="392">
        <f ca="1">IF(I101=2,'71'!$T$19*1000,IF(M181-H182-M183-I185&gt;0,CEILING(M181-H182-M183-I185,1000),0))</f>
        <v>0</v>
      </c>
      <c r="I185" s="457">
        <f ca="1">C186</f>
        <v>8000</v>
      </c>
      <c r="K185" s="13" t="str">
        <f>Lang!$A$72</f>
        <v>3 mth - 1, 2, 3, 4</v>
      </c>
      <c r="L185" s="62">
        <f ca="1">OFFSET(History!$O45,L253,)</f>
        <v>75369</v>
      </c>
      <c r="M185" s="392">
        <f ca="1">IF(N101=2,'81'!$T$19*1000,IF(R181-M182-R183-N185&gt;0,CEILING(R181-M182-R183-N185,1000),0))</f>
        <v>0</v>
      </c>
      <c r="N185" s="457">
        <f ca="1">H186</f>
        <v>9000</v>
      </c>
      <c r="P185" s="13" t="str">
        <f>Lang!$A$72</f>
        <v>3 mth - 1, 2, 3, 4</v>
      </c>
      <c r="Q185" s="62">
        <f ca="1">OFFSET(History!$O45,Q253,)</f>
        <v>75378</v>
      </c>
      <c r="R185" s="392">
        <f ca="1">IF(S101=2,'91'!$T$19*1000,IF(W181-R182-W183-S185&gt;0,CEILING(W181-R182-W183-S185,1000),0))</f>
        <v>0</v>
      </c>
      <c r="S185" s="457">
        <f ca="1">M186</f>
        <v>6000</v>
      </c>
      <c r="U185" s="13" t="str">
        <f>Lang!$A$72</f>
        <v>3 mth - 1, 2, 3, 4</v>
      </c>
      <c r="V185" s="62">
        <f ca="1">OFFSET(History!$O45,V253,)</f>
        <v>75378</v>
      </c>
      <c r="W185" s="392"/>
      <c r="X185" s="457">
        <f>R186</f>
        <v>0</v>
      </c>
      <c r="Z185" s="3"/>
      <c r="AA185" s="3"/>
    </row>
    <row r="186" spans="1:27" ht="13.8" thickBot="1" x14ac:dyDescent="0.3">
      <c r="A186" s="15" t="str">
        <f>Lang!$A$73</f>
        <v>6 mth - 1, 2, 3</v>
      </c>
      <c r="B186" s="651">
        <f ca="1">OFFSET(History!$P45,B253,)</f>
        <v>71419</v>
      </c>
      <c r="C186" s="550">
        <f ca="1">IF(D101=2,'61'!$W$19*1000,IF(M181-H182-M183&gt;0,CEILING(M181-H182-M183,1000),0))</f>
        <v>8000</v>
      </c>
      <c r="D186" s="2"/>
      <c r="F186" s="15" t="str">
        <f>Lang!$A$73</f>
        <v>6 mth - 1, 2, 3</v>
      </c>
      <c r="G186" s="651">
        <f ca="1">OFFSET(History!$P45,G253,)</f>
        <v>71611</v>
      </c>
      <c r="H186" s="550">
        <f ca="1">IF(I101=2,'71'!$W$19*1000,IF(R181-M182-R183&gt;0,CEILING(R181-M182-R183,1000),0))</f>
        <v>9000</v>
      </c>
      <c r="I186" s="2"/>
      <c r="K186" s="15" t="str">
        <f>Lang!$A$73</f>
        <v>6 mth - 1, 2, 3</v>
      </c>
      <c r="L186" s="651">
        <f ca="1">OFFSET(History!$P45,L253,)</f>
        <v>71403</v>
      </c>
      <c r="M186" s="550">
        <f ca="1">IF(N101=2,'81'!$W$19*1000,IF(W181-R182-W183&gt;0,CEILING(W181-R182-W183,1000),0))</f>
        <v>6000</v>
      </c>
      <c r="N186" s="2"/>
      <c r="P186" s="15" t="str">
        <f>Lang!$A$73</f>
        <v>6 mth - 1, 2, 3</v>
      </c>
      <c r="Q186" s="651">
        <f ca="1">OFFSET(History!$P45,Q253,)</f>
        <v>71410</v>
      </c>
      <c r="R186" s="550"/>
      <c r="S186" s="2"/>
      <c r="U186" s="15" t="str">
        <f>Lang!$A$73</f>
        <v>6 mth - 1, 2, 3</v>
      </c>
      <c r="V186" s="651">
        <f ca="1">OFFSET(History!$P45,V253,)</f>
        <v>71410</v>
      </c>
      <c r="W186" s="550"/>
      <c r="X186" s="2"/>
      <c r="Z186" s="3"/>
      <c r="AA186" s="3"/>
    </row>
    <row r="187" spans="1:27" ht="13.8" thickBot="1" x14ac:dyDescent="0.3">
      <c r="A187" s="1115">
        <f ca="1">A179+A244*A239+A245*A240+A246*A241+B244*B239+B245*B240+B246*B241+C244*C239+C245*C240+C246*C241</f>
        <v>187627.67150708527</v>
      </c>
      <c r="B187" s="1115"/>
      <c r="C187" s="1115"/>
      <c r="D187" s="2"/>
      <c r="F187" s="1115">
        <f ca="1">F179+F244*F239+F245*F240+F246*F241+G244*G239+G245*G240+G246*G241+H244*H239+H245*H240+H246*H241</f>
        <v>377708.29018216452</v>
      </c>
      <c r="G187" s="1115"/>
      <c r="H187" s="1115"/>
      <c r="I187" s="2"/>
      <c r="K187" s="1115">
        <f ca="1">K179+K244*K239+K245*K240+K246*K241+L244*L239+L245*L240+L246*L241+M244*M239+M245*M240+M246*M241</f>
        <v>484745.25176411722</v>
      </c>
      <c r="L187" s="1115"/>
      <c r="M187" s="1115"/>
      <c r="N187" s="2"/>
      <c r="P187" s="1115">
        <f ca="1">P179+P244*P239+P245*P240+P246*P241+Q244*Q239+Q245*Q240+Q246*Q241+R244*R239+R245*R240+R246*R241</f>
        <v>402929.46989511303</v>
      </c>
      <c r="Q187" s="1115"/>
      <c r="R187" s="1115"/>
      <c r="S187" s="2"/>
      <c r="U187" s="1115" t="e">
        <f ca="1">U179+U244*U239+U245*U240+U246*U241+V244*V239+V245*V240+V246*V241+W244*W239+W245*W240+W246*W241</f>
        <v>#DIV/0!</v>
      </c>
      <c r="V187" s="1115"/>
      <c r="W187" s="1115"/>
      <c r="X187" s="2"/>
      <c r="Z187" s="3"/>
      <c r="AA187" s="3"/>
    </row>
    <row r="188" spans="1:27" x14ac:dyDescent="0.25">
      <c r="A188" s="1100" t="str">
        <f>Lang!$A$39</f>
        <v>Assembly details</v>
      </c>
      <c r="B188" s="1101"/>
      <c r="C188" s="1102"/>
      <c r="D188" s="2"/>
      <c r="F188" s="1100" t="str">
        <f>A188</f>
        <v>Assembly details</v>
      </c>
      <c r="G188" s="1101"/>
      <c r="H188" s="1102"/>
      <c r="I188" s="2"/>
      <c r="K188" s="1100" t="str">
        <f>A188</f>
        <v>Assembly details</v>
      </c>
      <c r="L188" s="1101"/>
      <c r="M188" s="1102"/>
      <c r="N188" s="2"/>
      <c r="P188" s="1100" t="str">
        <f>A188</f>
        <v>Assembly details</v>
      </c>
      <c r="Q188" s="1101"/>
      <c r="R188" s="1102"/>
      <c r="S188" s="2"/>
      <c r="U188" s="1100" t="str">
        <f>A188</f>
        <v>Assembly details</v>
      </c>
      <c r="V188" s="1101"/>
      <c r="W188" s="1102"/>
      <c r="X188" s="2"/>
      <c r="Z188" s="3"/>
      <c r="AA188" s="3"/>
    </row>
    <row r="189" spans="1:27" x14ac:dyDescent="0.25">
      <c r="A189" s="1122" t="str">
        <f>Lang!$A$78</f>
        <v>Share price</v>
      </c>
      <c r="B189" s="1123"/>
      <c r="C189" s="484">
        <f ca="1">IF('51'!$L$5&gt;0,OFFSET('54'!E35,,'51'!$L$5),'54'!F35)</f>
        <v>104.37</v>
      </c>
      <c r="D189" s="483"/>
      <c r="F189" s="1122" t="str">
        <f>Lang!$A$78</f>
        <v>Share price</v>
      </c>
      <c r="G189" s="1123"/>
      <c r="H189" s="484">
        <f ca="1">IF('61'!$O$5&gt;0,OFFSET('64'!E35,,'61'!$O$5),'64'!F35)</f>
        <v>98.54</v>
      </c>
      <c r="I189" s="483"/>
      <c r="K189" s="1122" t="str">
        <f>Lang!$A$78</f>
        <v>Share price</v>
      </c>
      <c r="L189" s="1123"/>
      <c r="M189" s="484">
        <f ca="1">IF('71'!$O$5&gt;0,OFFSET('74'!E35,,'71'!$O$5),'74'!F35)</f>
        <v>94.55</v>
      </c>
      <c r="N189" s="483"/>
      <c r="P189" s="1122" t="str">
        <f>Lang!$A$78</f>
        <v>Share price</v>
      </c>
      <c r="Q189" s="1123"/>
      <c r="R189" s="484">
        <f ca="1">IF('81'!$O$5&gt;0,OFFSET('84'!E35,,'81'!$O$5),'84'!F35)</f>
        <v>105.38</v>
      </c>
      <c r="S189" s="483"/>
      <c r="U189" s="1122" t="str">
        <f>Lang!$A$78</f>
        <v>Share price</v>
      </c>
      <c r="V189" s="1123"/>
      <c r="W189" s="484">
        <f ca="1">IF('91'!$O$5&gt;0,OFFSET('94'!E35,,'91'!$O$5),'94'!F35)</f>
        <v>0</v>
      </c>
      <c r="X189" s="483"/>
      <c r="Z189" s="3"/>
      <c r="AA189" s="3"/>
    </row>
    <row r="190" spans="1:27" x14ac:dyDescent="0.25">
      <c r="A190" s="1096" t="str">
        <f>Lang!$A$79</f>
        <v>Exchange rate</v>
      </c>
      <c r="B190" s="1097"/>
      <c r="C190" s="485">
        <f ca="1">OFFSET(History!$Q45,B253,)</f>
        <v>0.83</v>
      </c>
      <c r="D190" s="483"/>
      <c r="F190" s="1096" t="str">
        <f>Lang!$A$79</f>
        <v>Exchange rate</v>
      </c>
      <c r="G190" s="1097"/>
      <c r="H190" s="485">
        <f ca="1">OFFSET(History!$Q45,G253,)</f>
        <v>0.83</v>
      </c>
      <c r="I190" s="483"/>
      <c r="K190" s="1096" t="str">
        <f>Lang!$A$79</f>
        <v>Exchange rate</v>
      </c>
      <c r="L190" s="1097"/>
      <c r="M190" s="485">
        <f ca="1">OFFSET(History!$Q45,L253,)</f>
        <v>0.82</v>
      </c>
      <c r="N190" s="483"/>
      <c r="P190" s="1096" t="str">
        <f>Lang!$A$79</f>
        <v>Exchange rate</v>
      </c>
      <c r="Q190" s="1097"/>
      <c r="R190" s="485">
        <f ca="1">OFFSET(History!$Q45,Q253,)</f>
        <v>0.83</v>
      </c>
      <c r="S190" s="483"/>
      <c r="U190" s="1096" t="str">
        <f>Lang!$A$79</f>
        <v>Exchange rate</v>
      </c>
      <c r="V190" s="1097"/>
      <c r="W190" s="485">
        <f ca="1">OFFSET(History!$Q45,V253,)</f>
        <v>0.84</v>
      </c>
      <c r="X190" s="483"/>
      <c r="Z190" s="3"/>
      <c r="AA190" s="3"/>
    </row>
    <row r="191" spans="1:27" x14ac:dyDescent="0.25">
      <c r="A191" s="1096" t="str">
        <f>Lang!$A$80</f>
        <v>Bank base rate</v>
      </c>
      <c r="B191" s="1097"/>
      <c r="C191" s="486">
        <f>'54'!G10</f>
        <v>0.5</v>
      </c>
      <c r="D191" s="483"/>
      <c r="F191" s="1096" t="str">
        <f>Lang!$A$80</f>
        <v>Bank base rate</v>
      </c>
      <c r="G191" s="1097"/>
      <c r="H191" s="486">
        <f>'64'!G10</f>
        <v>0.5</v>
      </c>
      <c r="I191" s="483"/>
      <c r="K191" s="1096" t="str">
        <f>Lang!$A$80</f>
        <v>Bank base rate</v>
      </c>
      <c r="L191" s="1097"/>
      <c r="M191" s="486">
        <f>'74'!G10</f>
        <v>0.5</v>
      </c>
      <c r="N191" s="483"/>
      <c r="P191" s="1096" t="str">
        <f>Lang!$A$80</f>
        <v>Bank base rate</v>
      </c>
      <c r="Q191" s="1097"/>
      <c r="R191" s="486">
        <f>'84'!G10</f>
        <v>0.6</v>
      </c>
      <c r="S191" s="483"/>
      <c r="U191" s="1096" t="str">
        <f>Lang!$A$80</f>
        <v>Bank base rate</v>
      </c>
      <c r="V191" s="1097"/>
      <c r="W191" s="486">
        <f>'94'!G10</f>
        <v>0</v>
      </c>
      <c r="X191" s="483"/>
      <c r="Z191" s="3"/>
      <c r="AA191" s="3"/>
    </row>
    <row r="192" spans="1:27" x14ac:dyDescent="0.25">
      <c r="A192" s="1096" t="str">
        <f>Lang!$A$81</f>
        <v>Issue/repurchase shares</v>
      </c>
      <c r="B192" s="1097"/>
      <c r="C192" s="392">
        <f ca="1">IF(D$101=2,OFFSET(History!$N$72,B$253,0),OFFSET(Config!$E$20,B$253,0)*OFFSET(History!$O$71,B$253-(D$253-1),0)/1000)</f>
        <v>400</v>
      </c>
      <c r="D192" s="483"/>
      <c r="F192" s="1096" t="str">
        <f>Lang!$A$81</f>
        <v>Issue/repurchase shares</v>
      </c>
      <c r="G192" s="1097"/>
      <c r="H192" s="392">
        <f ca="1">IF(I$101=2,OFFSET(History!$N$72,G$253,0),OFFSET(Config!$E$20,G$253,0)*OFFSET(History!$O$71,G$253-(I$253-1),0)/1000)</f>
        <v>0</v>
      </c>
      <c r="I192" s="483"/>
      <c r="K192" s="1096" t="str">
        <f>Lang!$A$81</f>
        <v>Issue/repurchase shares</v>
      </c>
      <c r="L192" s="1097"/>
      <c r="M192" s="392">
        <f ca="1">IF(N$101=2,OFFSET(History!$N$72,L$253,0),OFFSET(Config!$E$20,L$253,0)*OFFSET(History!$O$71,L$253-(N$253-1),0)/1000)</f>
        <v>0</v>
      </c>
      <c r="N192" s="483"/>
      <c r="P192" s="1096" t="str">
        <f>Lang!$A$81</f>
        <v>Issue/repurchase shares</v>
      </c>
      <c r="Q192" s="1097"/>
      <c r="R192" s="392">
        <f ca="1">IF(S$101=2,OFFSET(History!$N$72,Q$253,0),OFFSET(Config!$E$20,Q$253,0)*OFFSET(History!$O$71,Q$253-(S$253-1),0)/1000)</f>
        <v>0</v>
      </c>
      <c r="S192" s="483"/>
      <c r="U192" s="1096" t="str">
        <f>Lang!$A$81</f>
        <v>Issue/repurchase shares</v>
      </c>
      <c r="V192" s="1097"/>
      <c r="W192" s="392">
        <f ca="1">IF(X$101=2,OFFSET(History!$N$72,V$253,0),OFFSET(Config!$E$20,V$253,0)*OFFSET(History!$O$71,V$253-(X$253-1),0)/1000)</f>
        <v>400</v>
      </c>
      <c r="X192" s="483"/>
      <c r="Z192" s="3"/>
      <c r="AA192" s="3"/>
    </row>
    <row r="193" spans="1:29" x14ac:dyDescent="0.25">
      <c r="A193" s="1096" t="str">
        <f>Lang!$A$85</f>
        <v>Dividends</v>
      </c>
      <c r="B193" s="1097"/>
      <c r="C193" s="475">
        <v>0</v>
      </c>
      <c r="D193" s="455">
        <f ca="1">OFFSET(Config!$E$7,B253,0)</f>
        <v>0</v>
      </c>
      <c r="F193" s="1096" t="str">
        <f>Lang!$A$85</f>
        <v>Dividends</v>
      </c>
      <c r="G193" s="1097"/>
      <c r="H193" s="475">
        <v>0</v>
      </c>
      <c r="I193" s="455">
        <f ca="1">OFFSET(Config!$E$7,G253,0)</f>
        <v>0</v>
      </c>
      <c r="K193" s="1096" t="str">
        <f>Lang!$A$85</f>
        <v>Dividends</v>
      </c>
      <c r="L193" s="1097"/>
      <c r="M193" s="475">
        <v>0</v>
      </c>
      <c r="N193" s="455">
        <f ca="1">OFFSET(Config!$E$7,L253,0)</f>
        <v>0.02</v>
      </c>
      <c r="P193" s="1096" t="str">
        <f>Lang!$A$85</f>
        <v>Dividends</v>
      </c>
      <c r="Q193" s="1097"/>
      <c r="R193" s="475">
        <v>0</v>
      </c>
      <c r="S193" s="455">
        <f ca="1">OFFSET(Config!$E$7,Q253,0)</f>
        <v>0.06</v>
      </c>
      <c r="U193" s="1096" t="str">
        <f>Lang!$A$85</f>
        <v>Dividends</v>
      </c>
      <c r="V193" s="1097"/>
      <c r="W193" s="475">
        <v>0</v>
      </c>
      <c r="X193" s="455">
        <f ca="1">OFFSET(Config!$E$7,V253,0)</f>
        <v>0.1</v>
      </c>
      <c r="AA193" s="3"/>
      <c r="AB193" s="2"/>
      <c r="AC193" s="8"/>
    </row>
    <row r="194" spans="1:29" x14ac:dyDescent="0.25">
      <c r="A194" s="1096" t="str">
        <f>Lang!$A$86</f>
        <v>Term deposit</v>
      </c>
      <c r="B194" s="1097"/>
      <c r="C194" s="429">
        <v>0</v>
      </c>
      <c r="D194" s="483"/>
      <c r="F194" s="1096" t="str">
        <f>Lang!$A$86</f>
        <v>Term deposit</v>
      </c>
      <c r="G194" s="1097"/>
      <c r="H194" s="429">
        <v>-500</v>
      </c>
      <c r="I194" s="483"/>
      <c r="K194" s="1096" t="str">
        <f>Lang!$A$86</f>
        <v>Term deposit</v>
      </c>
      <c r="L194" s="1097"/>
      <c r="M194" s="429">
        <v>0</v>
      </c>
      <c r="N194" s="917"/>
      <c r="P194" s="1096" t="str">
        <f>Lang!$A$86</f>
        <v>Term deposit</v>
      </c>
      <c r="Q194" s="1097"/>
      <c r="R194" s="429">
        <v>0</v>
      </c>
      <c r="S194" s="483"/>
      <c r="U194" s="1096" t="str">
        <f>Lang!$A$86</f>
        <v>Term deposit</v>
      </c>
      <c r="V194" s="1097"/>
      <c r="W194" s="429">
        <v>-500</v>
      </c>
      <c r="X194" s="483"/>
      <c r="AA194" s="3"/>
      <c r="AB194" s="2"/>
      <c r="AC194" s="8"/>
    </row>
    <row r="195" spans="1:29" x14ac:dyDescent="0.25">
      <c r="A195" s="1096" t="str">
        <f>Lang!$A$87</f>
        <v>Term loans</v>
      </c>
      <c r="B195" s="1097"/>
      <c r="C195" s="429">
        <v>0</v>
      </c>
      <c r="D195" s="483"/>
      <c r="F195" s="1096" t="str">
        <f>Lang!$A$87</f>
        <v>Term loans</v>
      </c>
      <c r="G195" s="1097"/>
      <c r="H195" s="429">
        <v>0</v>
      </c>
      <c r="I195" s="483"/>
      <c r="K195" s="1096" t="str">
        <f>Lang!$A$87</f>
        <v>Term loans</v>
      </c>
      <c r="L195" s="1097"/>
      <c r="M195" s="429">
        <v>0</v>
      </c>
      <c r="N195" s="483"/>
      <c r="P195" s="1096" t="str">
        <f>Lang!$A$87</f>
        <v>Term loans</v>
      </c>
      <c r="Q195" s="1097"/>
      <c r="R195" s="429">
        <v>0</v>
      </c>
      <c r="S195" s="483"/>
      <c r="U195" s="1096" t="str">
        <f>Lang!$A$87</f>
        <v>Term loans</v>
      </c>
      <c r="V195" s="1097"/>
      <c r="W195" s="429">
        <v>0</v>
      </c>
      <c r="X195" s="483"/>
    </row>
    <row r="196" spans="1:29" x14ac:dyDescent="0.25">
      <c r="A196" s="1105" t="str">
        <f>Lang!$A$68</f>
        <v>Ports</v>
      </c>
      <c r="B196" s="1106"/>
      <c r="C196" s="567">
        <f>D196</f>
        <v>8</v>
      </c>
      <c r="D196" s="481">
        <f>CEILING(D200*0.0001+6,1)</f>
        <v>8</v>
      </c>
      <c r="F196" s="1105" t="str">
        <f>Lang!$A$68</f>
        <v>Ports</v>
      </c>
      <c r="G196" s="1106"/>
      <c r="H196" s="567">
        <f>I196</f>
        <v>8</v>
      </c>
      <c r="I196" s="481">
        <f>CEILING(I200*0.0001+6,1)</f>
        <v>8</v>
      </c>
      <c r="K196" s="1105" t="str">
        <f>Lang!$A$68</f>
        <v>Ports</v>
      </c>
      <c r="L196" s="1106"/>
      <c r="M196" s="567">
        <f>N196</f>
        <v>8</v>
      </c>
      <c r="N196" s="481">
        <f>CEILING(N200*0.0001+6,1)</f>
        <v>8</v>
      </c>
      <c r="P196" s="1105" t="str">
        <f>Lang!$A$68</f>
        <v>Ports</v>
      </c>
      <c r="Q196" s="1106"/>
      <c r="R196" s="567">
        <f>S196</f>
        <v>8</v>
      </c>
      <c r="S196" s="481">
        <f>CEILING(S200*0.0001+6,1)</f>
        <v>8</v>
      </c>
      <c r="U196" s="1105" t="str">
        <f>Lang!$A$68</f>
        <v>Ports</v>
      </c>
      <c r="V196" s="1106"/>
      <c r="W196" s="567">
        <f>X196*2</f>
        <v>16</v>
      </c>
      <c r="X196" s="481">
        <f>CEILING(X200*0.0001+6,1)</f>
        <v>8</v>
      </c>
    </row>
    <row r="197" spans="1:29" x14ac:dyDescent="0.25">
      <c r="A197" s="1107" t="str">
        <f>Lang!$A$75</f>
        <v>Web-site development</v>
      </c>
      <c r="B197" s="1108"/>
      <c r="C197" s="429">
        <v>16</v>
      </c>
      <c r="D197" s="487"/>
      <c r="F197" s="1107" t="str">
        <f>Lang!$A$75</f>
        <v>Web-site development</v>
      </c>
      <c r="G197" s="1108"/>
      <c r="H197" s="392">
        <f>IF(I101=2,'71'!$W$21,C197)</f>
        <v>16</v>
      </c>
      <c r="I197" s="487"/>
      <c r="K197" s="1107" t="str">
        <f>Lang!$A$75</f>
        <v>Web-site development</v>
      </c>
      <c r="L197" s="1108"/>
      <c r="M197" s="392">
        <f>IF(N101=2,'81'!$W$21,H197)</f>
        <v>16</v>
      </c>
      <c r="N197" s="487"/>
      <c r="P197" s="1107" t="str">
        <f>Lang!$A$75</f>
        <v>Web-site development</v>
      </c>
      <c r="Q197" s="1108"/>
      <c r="R197" s="392">
        <f>IF(S101=2,'91'!$W$21,M197)</f>
        <v>16</v>
      </c>
      <c r="S197" s="487"/>
      <c r="U197" s="1107" t="str">
        <f>Lang!$A$75</f>
        <v>Web-site development</v>
      </c>
      <c r="V197" s="1108"/>
      <c r="W197" s="392">
        <f>IF(X101=2,'101'!$W$21,R197)</f>
        <v>16</v>
      </c>
      <c r="X197" s="487"/>
    </row>
    <row r="198" spans="1:29" x14ac:dyDescent="0.25">
      <c r="A198" s="1096" t="str">
        <f>Lang!$A$115</f>
        <v>Management budget</v>
      </c>
      <c r="B198" s="1097"/>
      <c r="C198" s="429">
        <v>70</v>
      </c>
      <c r="D198" s="457">
        <f ca="1">(C272-C271)*0.14/1000</f>
        <v>72.402047258017305</v>
      </c>
      <c r="F198" s="1096" t="str">
        <f>Lang!$A$115</f>
        <v>Management budget</v>
      </c>
      <c r="G198" s="1097"/>
      <c r="H198" s="392">
        <f>IF(I101=2,'71'!$P$26,C198)</f>
        <v>70</v>
      </c>
      <c r="I198" s="457">
        <f ca="1">(H272-H271)*0.14/1000</f>
        <v>84.536910173501028</v>
      </c>
      <c r="K198" s="1096" t="str">
        <f>Lang!$A$115</f>
        <v>Management budget</v>
      </c>
      <c r="L198" s="1097"/>
      <c r="M198" s="392">
        <f>IF(N101=2,'81'!$P$26,H198)</f>
        <v>70</v>
      </c>
      <c r="N198" s="457">
        <f ca="1">(M272-M271)*0.14/1000</f>
        <v>86.852678073668102</v>
      </c>
      <c r="P198" s="1096" t="str">
        <f>Lang!$A$115</f>
        <v>Management budget</v>
      </c>
      <c r="Q198" s="1097"/>
      <c r="R198" s="392">
        <f>IF(S101=2,'91'!$P$26,M198)</f>
        <v>70</v>
      </c>
      <c r="S198" s="457">
        <f ca="1">(R272-R271)*0.14/1000</f>
        <v>83.415569393751397</v>
      </c>
      <c r="U198" s="1096" t="str">
        <f>Lang!$A$115</f>
        <v>Management budget</v>
      </c>
      <c r="V198" s="1097"/>
      <c r="W198" s="392">
        <f>IF(X101=2,'101'!$P$26,R198)</f>
        <v>70</v>
      </c>
      <c r="X198" s="457" t="e">
        <f ca="1">(W272-W271)*0.14/1000</f>
        <v>#DIV/0!</v>
      </c>
    </row>
    <row r="199" spans="1:29" x14ac:dyDescent="0.25">
      <c r="A199" s="1096" t="str">
        <f>Lang!$A$92</f>
        <v>Insurance plan</v>
      </c>
      <c r="B199" s="1097"/>
      <c r="C199" s="392">
        <f ca="1">IF(D$101=2,OFFSET(History!$O$33,B$253,0),IF(OFFSET(Config!$D$20,B$253,)&gt;('53'!R12+'53'!L18)*0.005,4,0))</f>
        <v>0</v>
      </c>
      <c r="D199" s="483"/>
      <c r="F199" s="1096" t="str">
        <f>Lang!$A$92</f>
        <v>Insurance plan</v>
      </c>
      <c r="G199" s="1097"/>
      <c r="H199" s="392">
        <f ca="1">IF(I$101=2,OFFSET(History!$O$33,G$253,0),IF(OFFSET(Config!$D$20,G$253,)&gt;(C296+C320)*0.005,4,0))</f>
        <v>4</v>
      </c>
      <c r="I199" s="483"/>
      <c r="K199" s="1096" t="str">
        <f>Lang!$A$92</f>
        <v>Insurance plan</v>
      </c>
      <c r="L199" s="1097"/>
      <c r="M199" s="392">
        <f ca="1">IF(N$101=2,OFFSET(History!$O$33,L$253,0),IF(OFFSET(Config!$D$20,L$253,)&gt;(H296+H320)*0.005,4,0))</f>
        <v>4</v>
      </c>
      <c r="N199" s="483"/>
      <c r="P199" s="1096" t="str">
        <f>Lang!$A$92</f>
        <v>Insurance plan</v>
      </c>
      <c r="Q199" s="1097"/>
      <c r="R199" s="392">
        <f ca="1">IF(S$101=2,OFFSET(History!$O$33,Q$253,0),IF(OFFSET(Config!$D$20,Q$253,)&gt;(M296+M320)*0.005,4,0))</f>
        <v>0</v>
      </c>
      <c r="S199" s="483"/>
      <c r="U199" s="1096" t="str">
        <f>Lang!$A$92</f>
        <v>Insurance plan</v>
      </c>
      <c r="V199" s="1097"/>
      <c r="W199" s="392">
        <f ca="1">IF(X$101=2,OFFSET(History!$O$33,V$253,0),IF(OFFSET(Config!$D$20,V$253,)&gt;(R296+R320)*0.005,4,0))</f>
        <v>0</v>
      </c>
      <c r="X199" s="483"/>
    </row>
    <row r="200" spans="1:29" x14ac:dyDescent="0.25">
      <c r="A200" s="1096" t="str">
        <f>Lang!$A$93</f>
        <v>Corporate activity</v>
      </c>
      <c r="B200" s="1097"/>
      <c r="C200" s="429">
        <v>1</v>
      </c>
      <c r="D200" s="457">
        <f>D201*0.85+A140*500</f>
        <v>11862.45</v>
      </c>
      <c r="F200" s="1096" t="str">
        <f>Lang!$A$93</f>
        <v>Corporate activity</v>
      </c>
      <c r="G200" s="1097"/>
      <c r="H200" s="429">
        <v>1</v>
      </c>
      <c r="I200" s="457">
        <f>I201*0.85+F140*500</f>
        <v>16083.0825</v>
      </c>
      <c r="K200" s="1096" t="str">
        <f>Lang!$A$93</f>
        <v>Corporate activity</v>
      </c>
      <c r="L200" s="1097"/>
      <c r="M200" s="429">
        <v>1</v>
      </c>
      <c r="N200" s="457">
        <f>N201*0.85+K140*500</f>
        <v>18670.620125000001</v>
      </c>
      <c r="P200" s="1096" t="str">
        <f>Lang!$A$93</f>
        <v>Corporate activity</v>
      </c>
      <c r="Q200" s="1097"/>
      <c r="R200" s="429">
        <v>1</v>
      </c>
      <c r="S200" s="457">
        <f>S201*0.85+P140*500</f>
        <v>18370.027106250003</v>
      </c>
      <c r="U200" s="1096" t="str">
        <f>Lang!$A$93</f>
        <v>Corporate activity</v>
      </c>
      <c r="V200" s="1097"/>
      <c r="W200" s="429">
        <v>1</v>
      </c>
      <c r="X200" s="457">
        <f>X201*0.85+U140*500</f>
        <v>15614.523040312502</v>
      </c>
    </row>
    <row r="201" spans="1:29" ht="13.8" thickBot="1" x14ac:dyDescent="0.3">
      <c r="A201" s="1098" t="str">
        <f>Lang!$A$84</f>
        <v>Market shares</v>
      </c>
      <c r="B201" s="1099"/>
      <c r="C201" s="550">
        <f>IF(D101=2,'61'!$P$35,1)</f>
        <v>1</v>
      </c>
      <c r="D201" s="473">
        <f>'52'!G43</f>
        <v>6897</v>
      </c>
      <c r="F201" s="1098" t="str">
        <f>Lang!$A$84</f>
        <v>Market shares</v>
      </c>
      <c r="G201" s="1099"/>
      <c r="H201" s="550">
        <f>IF(I101=2,'71'!$P$35,1)</f>
        <v>1</v>
      </c>
      <c r="I201" s="473">
        <f>IF($I$101=2,'62'!G43,D200)</f>
        <v>11862.45</v>
      </c>
      <c r="K201" s="1098" t="str">
        <f>Lang!$A$84</f>
        <v>Market shares</v>
      </c>
      <c r="L201" s="1099"/>
      <c r="M201" s="550">
        <f>IF(N101=2,'81'!$P$35,1)</f>
        <v>1</v>
      </c>
      <c r="N201" s="473">
        <f>IF($N$101=2,'72'!G43,I200)</f>
        <v>16083.0825</v>
      </c>
      <c r="P201" s="1098" t="str">
        <f>Lang!$A$84</f>
        <v>Market shares</v>
      </c>
      <c r="Q201" s="1099"/>
      <c r="R201" s="550">
        <f>IF(S101=2,'91'!$P$35,1)</f>
        <v>1</v>
      </c>
      <c r="S201" s="473">
        <f>IF($S$101=2,'82'!G43,N200)</f>
        <v>18670.620125000001</v>
      </c>
      <c r="U201" s="1098" t="str">
        <f>Lang!$A$84</f>
        <v>Market shares</v>
      </c>
      <c r="V201" s="1099"/>
      <c r="W201" s="550">
        <f>IF(X101=2,'101'!$P$35,1)</f>
        <v>1</v>
      </c>
      <c r="X201" s="473">
        <f>IF($X$101=2,'92'!G43,S200)</f>
        <v>18370.027106250003</v>
      </c>
    </row>
    <row r="202" spans="1:29" ht="13.8" thickBot="1" x14ac:dyDescent="0.3">
      <c r="K202" s="1201">
        <f ca="1">IF(ISNUMBER($Z$307),$Z$307,0)</f>
        <v>0</v>
      </c>
      <c r="L202" s="1201"/>
      <c r="M202" s="1201"/>
    </row>
    <row r="203" spans="1:29" x14ac:dyDescent="0.25">
      <c r="A203" s="1131" t="str">
        <f>Lang!$A$3</f>
        <v>Stocks previous quarter</v>
      </c>
      <c r="B203" s="1139"/>
      <c r="C203" s="502">
        <v>1</v>
      </c>
      <c r="D203" s="2"/>
      <c r="F203" s="1131" t="str">
        <f>A203</f>
        <v>Stocks previous quarter</v>
      </c>
      <c r="G203" s="1139"/>
      <c r="H203" s="502">
        <v>0</v>
      </c>
      <c r="I203" s="2"/>
      <c r="K203" s="1131" t="str">
        <f>A203</f>
        <v>Stocks previous quarter</v>
      </c>
      <c r="L203" s="1139"/>
      <c r="M203" s="502">
        <v>0</v>
      </c>
      <c r="N203" s="2"/>
      <c r="P203" s="1131" t="str">
        <f>A203</f>
        <v>Stocks previous quarter</v>
      </c>
      <c r="Q203" s="1139"/>
      <c r="R203" s="502">
        <v>0</v>
      </c>
      <c r="S203" s="2"/>
      <c r="U203" s="1131" t="str">
        <f>A203</f>
        <v>Stocks previous quarter</v>
      </c>
      <c r="V203" s="1139"/>
      <c r="W203" s="502">
        <v>0</v>
      </c>
      <c r="X203" s="2"/>
    </row>
    <row r="204" spans="1:29" x14ac:dyDescent="0.25">
      <c r="A204" s="397">
        <f>'52'!U31</f>
        <v>119</v>
      </c>
      <c r="B204" s="398">
        <f>'52'!W31</f>
        <v>0</v>
      </c>
      <c r="C204" s="399">
        <f>'52'!Y31</f>
        <v>0</v>
      </c>
      <c r="D204" s="482">
        <f ca="1">SUM(A204:C204)/SUM(A214:C214)</f>
        <v>6.1251334485448963E-2</v>
      </c>
      <c r="F204" s="397">
        <f ca="1">IF(H$203=1,'62'!$U31,IF(A239&gt;0,A239,0))</f>
        <v>32.131922497315713</v>
      </c>
      <c r="G204" s="398">
        <f ca="1">IF(H$203=1,'62'!$W31,IF(B239&gt;0,B239,0))</f>
        <v>23.815050477862087</v>
      </c>
      <c r="H204" s="399">
        <f ca="1">IF(H$203=1,'62'!$Y31,IF(C239&gt;0,C239,0))</f>
        <v>10.238213279499462</v>
      </c>
      <c r="I204" s="482">
        <f ca="1">SUM(F204:H204)/SUM(F214:H214)</f>
        <v>2.9955216969046624E-2</v>
      </c>
      <c r="K204" s="397">
        <f ca="1">IF(M$203=1,'72'!$U31,IF(F239&gt;0,F239,0))</f>
        <v>110.03652576691252</v>
      </c>
      <c r="L204" s="398">
        <f ca="1">IF(M$203=1,'72'!$W31,IF(G239&gt;0,G239,0))</f>
        <v>60.879824059951829</v>
      </c>
      <c r="M204" s="399">
        <f ca="1">IF(M$203=1,'72'!$Y31,IF(H239&gt;0,H239,0))</f>
        <v>23.665811682503261</v>
      </c>
      <c r="N204" s="482">
        <f ca="1">SUM(K204:M204)/SUM(K214:M214)</f>
        <v>7.4974891575769254E-2</v>
      </c>
      <c r="P204" s="397">
        <f ca="1">IF(R$203=1,'82'!$U31,IF(K239&gt;0,K239,0))</f>
        <v>154.66635829166967</v>
      </c>
      <c r="Q204" s="398">
        <f ca="1">IF(R$203=1,'82'!$W31,IF(L239&gt;0,L239,0))</f>
        <v>69.699373388623599</v>
      </c>
      <c r="R204" s="399">
        <f ca="1">IF(R$203=1,'82'!$Y31,IF(M239&gt;0,M239,0))</f>
        <v>29.882232804793489</v>
      </c>
      <c r="S204" s="482">
        <f ca="1">SUM(P204:R204)/SUM(P214:R214)</f>
        <v>8.5136126777086013E-2</v>
      </c>
      <c r="U204" s="397">
        <f ca="1">IF(W$203=1,'92'!$U31,IF(P239&gt;0,P239,0))</f>
        <v>97.416196843022817</v>
      </c>
      <c r="V204" s="398">
        <f ca="1">IF(W$203=1,'92'!$W31,IF(Q239&gt;0,Q239,0))</f>
        <v>8.1043612154771836</v>
      </c>
      <c r="W204" s="399">
        <f ca="1">IF(W$203=1,'92'!$Y31,IF(R239&gt;0,R239,0))</f>
        <v>2.7759228391653323</v>
      </c>
      <c r="X204" s="482">
        <f ca="1">SUM(U204:W204)/SUM(U214:W214)</f>
        <v>4.3466010431003829E-2</v>
      </c>
    </row>
    <row r="205" spans="1:29" x14ac:dyDescent="0.25">
      <c r="A205" s="397">
        <f>'52'!U32</f>
        <v>56</v>
      </c>
      <c r="B205" s="398">
        <f>'52'!W32</f>
        <v>30</v>
      </c>
      <c r="C205" s="399">
        <f>'52'!Y32</f>
        <v>12</v>
      </c>
      <c r="D205" s="482">
        <f ca="1">SUM(A205:C205)/SUM(A215:C215)</f>
        <v>0.17422851062414665</v>
      </c>
      <c r="F205" s="397">
        <f ca="1">IF(H$203=1,'62'!$U32,IF(A240&gt;0,A240,0))</f>
        <v>42.017745474399703</v>
      </c>
      <c r="G205" s="398">
        <f ca="1">IF(H$203=1,'62'!$W32,IF(B240&gt;0,B240,0))</f>
        <v>32.73238908018763</v>
      </c>
      <c r="H205" s="399">
        <f ca="1">IF(H$203=1,'62'!$Y32,IF(C240&gt;0,C240,0))</f>
        <v>11.770167668451933</v>
      </c>
      <c r="I205" s="482">
        <f ca="1">SUM(F205:H205)/SUM(F215:H215)</f>
        <v>6.4344540727889171E-2</v>
      </c>
      <c r="K205" s="397">
        <f ca="1">IF(M$203=1,'72'!$U32,IF(F240&gt;0,F240,0))</f>
        <v>84.594283311016625</v>
      </c>
      <c r="L205" s="398">
        <f ca="1">IF(M$203=1,'72'!$W32,IF(G240&gt;0,G240,0))</f>
        <v>48.42499973225847</v>
      </c>
      <c r="M205" s="399">
        <f ca="1">IF(M$203=1,'72'!$Y32,IF(H240&gt;0,H240,0))</f>
        <v>19.842357097837208</v>
      </c>
      <c r="N205" s="482">
        <f ca="1">SUM(K205:M205)/SUM(K215:M215)</f>
        <v>9.6164073069396089E-2</v>
      </c>
      <c r="P205" s="397">
        <f ca="1">IF(R$203=1,'82'!$U32,IF(K240&gt;0,K240,0))</f>
        <v>160.23930887909955</v>
      </c>
      <c r="Q205" s="398">
        <f ca="1">IF(R$203=1,'82'!$W32,IF(L240&gt;0,L240,0))</f>
        <v>72.774720551010546</v>
      </c>
      <c r="R205" s="399">
        <f ca="1">IF(R$203=1,'82'!$Y32,IF(M240&gt;0,M240,0))</f>
        <v>35.661338811889522</v>
      </c>
      <c r="S205" s="482">
        <f ca="1">SUM(P205:R205)/SUM(P215:R215)</f>
        <v>0.16156413623565824</v>
      </c>
      <c r="U205" s="397">
        <f ca="1">IF(W$203=1,'92'!$U32,IF(P240&gt;0,P240,0))</f>
        <v>63.214384303747465</v>
      </c>
      <c r="V205" s="398">
        <f ca="1">IF(W$203=1,'92'!$W32,IF(Q240&gt;0,Q240,0))</f>
        <v>16.668130118193517</v>
      </c>
      <c r="W205" s="399">
        <f ca="1">IF(W$203=1,'92'!$Y32,IF(R240&gt;0,R240,0))</f>
        <v>139.39263358603284</v>
      </c>
      <c r="X205" s="482">
        <f ca="1">SUM(U205:W205)/SUM(U215:W215)</f>
        <v>0.14216750776456361</v>
      </c>
    </row>
    <row r="206" spans="1:29" ht="13.8" thickBot="1" x14ac:dyDescent="0.3">
      <c r="A206" s="400">
        <f>'52'!U33</f>
        <v>7</v>
      </c>
      <c r="B206" s="401">
        <f>'52'!W33</f>
        <v>0</v>
      </c>
      <c r="C206" s="402">
        <f>'52'!Y33</f>
        <v>5</v>
      </c>
      <c r="D206" s="482">
        <f ca="1">SUM(A206:C206)/SUM(A216:C216)</f>
        <v>1.2951524910231247E-2</v>
      </c>
      <c r="F206" s="400">
        <f ca="1">IF(H$203=1,'62'!$U33,IF(A241&gt;0,A241,0))</f>
        <v>133.89300233593133</v>
      </c>
      <c r="G206" s="401">
        <f ca="1">IF(H$203=1,'62'!$W33,IF(B241&gt;0,B241,0))</f>
        <v>75.08007054456175</v>
      </c>
      <c r="H206" s="402">
        <f ca="1">IF(H$203=1,'62'!$Y33,IF(C241&gt;0,C241,0))</f>
        <v>33.495103015889299</v>
      </c>
      <c r="I206" s="482">
        <f ca="1">SUM(F206:H206)/SUM(F216:H216)</f>
        <v>0.29321107126533419</v>
      </c>
      <c r="K206" s="400">
        <f ca="1">IF(M$203=1,'72'!$U33,IF(F241&gt;0,F241,0))</f>
        <v>159.0550804574338</v>
      </c>
      <c r="L206" s="401">
        <f ca="1">IF(M$203=1,'72'!$W33,IF(G241&gt;0,G241,0))</f>
        <v>50.783395177450501</v>
      </c>
      <c r="M206" s="402">
        <f ca="1">IF(M$203=1,'72'!$Y33,IF(H241&gt;0,H241,0))</f>
        <v>27.795972768000283</v>
      </c>
      <c r="N206" s="482">
        <f ca="1">SUM(K206:M206)/SUM(K216:M216)</f>
        <v>0.28133587104345487</v>
      </c>
      <c r="P206" s="400">
        <f ca="1">IF(R$203=1,'82'!$U33,IF(K241&gt;0,K241,0))</f>
        <v>158.44916701752993</v>
      </c>
      <c r="Q206" s="401">
        <f ca="1">IF(R$203=1,'82'!$W33,IF(L241&gt;0,L241,0))</f>
        <v>42.426131866994353</v>
      </c>
      <c r="R206" s="402">
        <f ca="1">IF(R$203=1,'82'!$Y33,IF(M241&gt;0,M241,0))</f>
        <v>24.039478223237751</v>
      </c>
      <c r="S206" s="482">
        <f ca="1">SUM(P206:R206)/SUM(P216:R216)</f>
        <v>0.22909054244593605</v>
      </c>
      <c r="U206" s="400">
        <f ca="1">IF(W$203=1,'92'!$U33,IF(P241&gt;0,P241,0))</f>
        <v>38.909633988671771</v>
      </c>
      <c r="V206" s="401">
        <f ca="1">IF(W$203=1,'92'!$W33,IF(Q241&gt;0,Q241,0))</f>
        <v>3.5774960537576987</v>
      </c>
      <c r="W206" s="402">
        <f ca="1">IF(W$203=1,'92'!$Y33,IF(R241&gt;0,R241,0))</f>
        <v>2.1896132582177188</v>
      </c>
      <c r="X206" s="482">
        <f ca="1">SUM(U206:W206)/SUM(U216:W216)</f>
        <v>4.7763026845672428E-2</v>
      </c>
    </row>
    <row r="207" spans="1:29" ht="13.8" thickBot="1" x14ac:dyDescent="0.3">
      <c r="A207" s="108">
        <f ca="1">SUM(A204:A206)/SUM(A214:A216)</f>
        <v>0.100777574867178</v>
      </c>
      <c r="B207" s="108">
        <f ca="1">SUM(B204:B206)/SUM(B214:B216)</f>
        <v>2.6423046415992787E-2</v>
      </c>
      <c r="C207" s="108">
        <f ca="1">SUM(C204:C206)/SUM(C214:C216)</f>
        <v>3.4658757899815061E-2</v>
      </c>
      <c r="D207" s="2"/>
      <c r="F207" s="108">
        <f ca="1">SUM(F204:F206)/SUM(F214:F216)</f>
        <v>8.5992418019540051E-2</v>
      </c>
      <c r="G207" s="108">
        <f ca="1">SUM(G204:G206)/SUM(G214:G216)</f>
        <v>9.5622050856446247E-2</v>
      </c>
      <c r="H207" s="108">
        <f ca="1">SUM(H204:H206)/SUM(H214:H216)</f>
        <v>9.4845431190577825E-2</v>
      </c>
      <c r="I207" s="2"/>
      <c r="K207" s="108">
        <f ca="1">SUM(K204:K206)/SUM(K214:K216)</f>
        <v>0.11902022946900329</v>
      </c>
      <c r="L207" s="108">
        <f ca="1">SUM(L204:L206)/SUM(L214:L216)</f>
        <v>0.11400768255328179</v>
      </c>
      <c r="M207" s="108">
        <f ca="1">SUM(M204:M206)/SUM(M214:M216)</f>
        <v>0.10907425575331541</v>
      </c>
      <c r="N207" s="2"/>
      <c r="P207" s="108">
        <f ca="1">SUM(P204:P206)/SUM(P214:P216)</f>
        <v>0.15157954983951838</v>
      </c>
      <c r="Q207" s="108">
        <f ca="1">SUM(Q204:Q206)/SUM(Q214:Q216)</f>
        <v>0.10489900121044014</v>
      </c>
      <c r="R207" s="108">
        <f ca="1">SUM(R204:R206)/SUM(R214:R216)</f>
        <v>0.1201421999110292</v>
      </c>
      <c r="S207" s="2"/>
      <c r="U207" s="108">
        <f ca="1">SUM(U204:U206)/SUM(U214:U216)</f>
        <v>6.8935920950789695E-2</v>
      </c>
      <c r="V207" s="108">
        <f ca="1">SUM(V204:V206)/SUM(V214:V216)</f>
        <v>1.8850778469925018E-2</v>
      </c>
      <c r="W207" s="108">
        <f ca="1">SUM(W204:W206)/SUM(W214:W216)</f>
        <v>0.2529116722210511</v>
      </c>
      <c r="X207" s="2"/>
      <c r="Z207" s="3"/>
      <c r="AA207" s="3"/>
    </row>
    <row r="208" spans="1:29" x14ac:dyDescent="0.25">
      <c r="A208" s="1131" t="str">
        <f>Lang!$A$18</f>
        <v>Backlog of orders</v>
      </c>
      <c r="B208" s="1139"/>
      <c r="C208" s="1140"/>
      <c r="D208" s="2"/>
      <c r="F208" s="1131" t="str">
        <f>A208</f>
        <v>Backlog of orders</v>
      </c>
      <c r="G208" s="1139"/>
      <c r="H208" s="1140"/>
      <c r="I208" s="2"/>
      <c r="K208" s="1131" t="str">
        <f>A208</f>
        <v>Backlog of orders</v>
      </c>
      <c r="L208" s="1139"/>
      <c r="M208" s="1140"/>
      <c r="N208" s="2"/>
      <c r="P208" s="1131" t="str">
        <f>A208</f>
        <v>Backlog of orders</v>
      </c>
      <c r="Q208" s="1139"/>
      <c r="R208" s="1140"/>
      <c r="S208" s="2"/>
      <c r="U208" s="1131" t="str">
        <f>A208</f>
        <v>Backlog of orders</v>
      </c>
      <c r="V208" s="1139"/>
      <c r="W208" s="1140"/>
      <c r="X208" s="2"/>
      <c r="Z208" s="3"/>
      <c r="AA208" s="3"/>
    </row>
    <row r="209" spans="1:27" x14ac:dyDescent="0.25">
      <c r="A209" s="397">
        <f>'52'!U27</f>
        <v>0</v>
      </c>
      <c r="B209" s="398">
        <f>'52'!W27</f>
        <v>22</v>
      </c>
      <c r="C209" s="399">
        <f>'52'!Y27</f>
        <v>6</v>
      </c>
      <c r="D209" s="2"/>
      <c r="F209" s="397">
        <f ca="1">IF(H$203=1,'62'!$U27,IF(A239&lt;0,A239/-2,0))</f>
        <v>0</v>
      </c>
      <c r="G209" s="398">
        <f ca="1">IF(H$203=1,'62'!$W27,IF(B239&lt;0,B239/-2,0))</f>
        <v>0</v>
      </c>
      <c r="H209" s="399">
        <f ca="1">IF(H$203=1,'62'!$Y27,IF(C239&lt;0,C239/-2,0))</f>
        <v>0</v>
      </c>
      <c r="I209" s="2"/>
      <c r="K209" s="397">
        <f ca="1">IF(M$203=1,'72'!$U27,IF(F239&lt;0,F239/-2,0))</f>
        <v>0</v>
      </c>
      <c r="L209" s="398">
        <f ca="1">IF(M$203=1,'72'!$W27,IF(G239&lt;0,G239/-2,0))</f>
        <v>0</v>
      </c>
      <c r="M209" s="399">
        <f ca="1">IF(M$203=1,'72'!$Y27,IF(H239&lt;0,H239/-2,0))</f>
        <v>0</v>
      </c>
      <c r="N209" s="2"/>
      <c r="P209" s="397">
        <f ca="1">IF(R$203=1,'82'!$U27,IF(K239&lt;0,K239/-2,0))</f>
        <v>0</v>
      </c>
      <c r="Q209" s="398">
        <f ca="1">IF(R$203=1,'82'!$W27,IF(L239&lt;0,L239/-2,0))</f>
        <v>0</v>
      </c>
      <c r="R209" s="399">
        <f ca="1">IF(R$203=1,'82'!$Y27,IF(M239&lt;0,M239/-2,0))</f>
        <v>0</v>
      </c>
      <c r="S209" s="2"/>
      <c r="U209" s="397">
        <f ca="1">IF(W$203=1,'92'!$U27,IF(P239&lt;0,P239/-2,0))</f>
        <v>0</v>
      </c>
      <c r="V209" s="398">
        <f ca="1">IF(W$203=1,'92'!$W27,IF(Q239&lt;0,Q239/-2,0))</f>
        <v>0</v>
      </c>
      <c r="W209" s="399">
        <f ca="1">IF(W$203=1,'92'!$Y27,IF(R239&lt;0,R239/-2,0))</f>
        <v>0</v>
      </c>
      <c r="X209" s="2"/>
      <c r="Z209" s="3"/>
      <c r="AA209" s="3"/>
    </row>
    <row r="210" spans="1:27" x14ac:dyDescent="0.25">
      <c r="A210" s="397">
        <f>'52'!U28</f>
        <v>0</v>
      </c>
      <c r="B210" s="398">
        <f>'52'!W28</f>
        <v>0</v>
      </c>
      <c r="C210" s="399">
        <f>'52'!Y28</f>
        <v>0</v>
      </c>
      <c r="D210" s="2"/>
      <c r="F210" s="397">
        <f ca="1">IF(H$203=1,'62'!$U28,IF(A240&lt;0,A240/-2,0))</f>
        <v>0</v>
      </c>
      <c r="G210" s="398">
        <f ca="1">IF(H$203=1,'62'!$W28,IF(B240&lt;0,B240/-2,0))</f>
        <v>0</v>
      </c>
      <c r="H210" s="399">
        <f ca="1">IF(H$203=1,'62'!$Y28,IF(C240&lt;0,C240/-2,0))</f>
        <v>0</v>
      </c>
      <c r="I210" s="2"/>
      <c r="K210" s="397">
        <f ca="1">IF(M$203=1,'72'!$U28,IF(F240&lt;0,F240/-2,0))</f>
        <v>0</v>
      </c>
      <c r="L210" s="398">
        <f ca="1">IF(M$203=1,'72'!$W28,IF(G240&lt;0,G240/-2,0))</f>
        <v>0</v>
      </c>
      <c r="M210" s="399">
        <f ca="1">IF(M$203=1,'72'!$Y28,IF(H240&lt;0,H240/-2,0))</f>
        <v>0</v>
      </c>
      <c r="N210" s="2"/>
      <c r="P210" s="397">
        <f ca="1">IF(R$203=1,'82'!$U28,IF(K240&lt;0,K240/-2,0))</f>
        <v>0</v>
      </c>
      <c r="Q210" s="398">
        <f ca="1">IF(R$203=1,'82'!$W28,IF(L240&lt;0,L240/-2,0))</f>
        <v>0</v>
      </c>
      <c r="R210" s="399">
        <f ca="1">IF(R$203=1,'82'!$Y28,IF(M240&lt;0,M240/-2,0))</f>
        <v>0</v>
      </c>
      <c r="S210" s="2"/>
      <c r="U210" s="397">
        <f ca="1">IF(W$203=1,'92'!$U28,IF(P240&lt;0,P240/-2,0))</f>
        <v>0</v>
      </c>
      <c r="V210" s="398">
        <f ca="1">IF(W$203=1,'92'!$W28,IF(Q240&lt;0,Q240/-2,0))</f>
        <v>0</v>
      </c>
      <c r="W210" s="399">
        <f ca="1">IF(W$203=1,'92'!$Y28,IF(R240&lt;0,R240/-2,0))</f>
        <v>0</v>
      </c>
      <c r="X210" s="2"/>
      <c r="Y210" s="23"/>
      <c r="Z210" s="23"/>
      <c r="AA210" s="23"/>
    </row>
    <row r="211" spans="1:27" ht="13.8" thickBot="1" x14ac:dyDescent="0.3">
      <c r="A211" s="400">
        <f>'52'!U29</f>
        <v>0</v>
      </c>
      <c r="B211" s="401">
        <f>'52'!W29</f>
        <v>0</v>
      </c>
      <c r="C211" s="402">
        <f>'52'!Y29</f>
        <v>0</v>
      </c>
      <c r="D211" s="2"/>
      <c r="F211" s="400">
        <f ca="1">IF(H$203=1,'62'!$U29,IF(A241&lt;0,A241/-2,0))</f>
        <v>0</v>
      </c>
      <c r="G211" s="401">
        <f ca="1">IF(H$203=1,'62'!$W29,IF(B241&lt;0,B241/-2,0))</f>
        <v>0</v>
      </c>
      <c r="H211" s="402">
        <f ca="1">IF(H$203=1,'62'!$Y29,IF(C241&lt;0,C241/-2,0))</f>
        <v>0</v>
      </c>
      <c r="I211" s="2"/>
      <c r="K211" s="400">
        <f ca="1">IF(M$203=1,'72'!$U29,IF(F241&lt;0,F241/-2,0))</f>
        <v>0</v>
      </c>
      <c r="L211" s="401">
        <f ca="1">IF(M$203=1,'72'!$W29,IF(G241&lt;0,G241/-2,0))</f>
        <v>0</v>
      </c>
      <c r="M211" s="402">
        <f ca="1">IF(M$203=1,'72'!$Y29,IF(H241&lt;0,H241/-2,0))</f>
        <v>0</v>
      </c>
      <c r="N211" s="2"/>
      <c r="P211" s="400">
        <f ca="1">IF(R$203=1,'82'!$U29,IF(K241&lt;0,K241/-2,0))</f>
        <v>0</v>
      </c>
      <c r="Q211" s="401">
        <f ca="1">IF(R$203=1,'82'!$W29,IF(L241&lt;0,L241/-2,0))</f>
        <v>0</v>
      </c>
      <c r="R211" s="402">
        <f ca="1">IF(R$203=1,'82'!$Y29,IF(M241&lt;0,M241/-2,0))</f>
        <v>0</v>
      </c>
      <c r="S211" s="2"/>
      <c r="U211" s="400">
        <f ca="1">IF(W$203=1,'92'!$U29,IF(P241&lt;0,P241/-2,0))</f>
        <v>0</v>
      </c>
      <c r="V211" s="401">
        <f ca="1">IF(W$203=1,'92'!$W29,IF(Q241&lt;0,Q241/-2,0))</f>
        <v>0</v>
      </c>
      <c r="W211" s="402">
        <f ca="1">IF(W$203=1,'92'!$Y29,IF(R241&lt;0,R241/-2,0))</f>
        <v>0</v>
      </c>
      <c r="X211" s="2"/>
      <c r="Z211" s="3"/>
      <c r="AA211" s="3"/>
    </row>
    <row r="212" spans="1:27" ht="13.8" thickBot="1" x14ac:dyDescent="0.3">
      <c r="A212" s="8"/>
      <c r="B212" s="8"/>
      <c r="C212" s="8"/>
      <c r="D212" s="2"/>
      <c r="F212" s="8"/>
      <c r="G212" s="8"/>
      <c r="H212" s="8"/>
      <c r="I212" s="2"/>
      <c r="K212" s="8"/>
      <c r="L212" s="8"/>
      <c r="M212" s="8"/>
      <c r="N212" s="2"/>
      <c r="P212" s="8"/>
      <c r="Q212" s="8"/>
      <c r="R212" s="8"/>
      <c r="S212" s="2"/>
      <c r="U212" s="8"/>
      <c r="V212" s="8"/>
      <c r="W212" s="8"/>
      <c r="X212" s="2"/>
      <c r="Z212" s="3"/>
      <c r="AA212" s="3"/>
    </row>
    <row r="213" spans="1:27" x14ac:dyDescent="0.25">
      <c r="A213" s="1078" t="str">
        <f>Lang!$A$30</f>
        <v>Orders next quarter</v>
      </c>
      <c r="B213" s="1079"/>
      <c r="C213" s="1088"/>
      <c r="D213" s="2"/>
      <c r="F213" s="1078" t="str">
        <f>A213</f>
        <v>Orders next quarter</v>
      </c>
      <c r="G213" s="1079"/>
      <c r="H213" s="1088"/>
      <c r="I213" s="2"/>
      <c r="K213" s="1078" t="str">
        <f>A213</f>
        <v>Orders next quarter</v>
      </c>
      <c r="L213" s="1079"/>
      <c r="M213" s="1088"/>
      <c r="N213" s="2"/>
      <c r="P213" s="1078" t="str">
        <f>A213</f>
        <v>Orders next quarter</v>
      </c>
      <c r="Q213" s="1079"/>
      <c r="R213" s="1088"/>
      <c r="S213" s="2"/>
      <c r="U213" s="1078" t="str">
        <f>A213</f>
        <v>Orders next quarter</v>
      </c>
      <c r="V213" s="1079"/>
      <c r="W213" s="1088"/>
      <c r="X213" s="2"/>
      <c r="Z213" s="3"/>
      <c r="AA213" s="3"/>
    </row>
    <row r="214" spans="1:27" x14ac:dyDescent="0.25">
      <c r="A214" s="385">
        <f ca="1">MAX('52'!U17*(1+A2+IF($C$96=1,A97,0)),0)</f>
        <v>1014.8680775026843</v>
      </c>
      <c r="B214" s="386">
        <f ca="1">MAX('52'!W17*(1+B2+IF($C$96=1,B97,0)),0)</f>
        <v>649.18494952213791</v>
      </c>
      <c r="C214" s="387">
        <f ca="1">MAX('52'!Y17*(1+C2+IF($C$96=1,C97,0)),0)</f>
        <v>278.76178672050054</v>
      </c>
      <c r="D214" s="2"/>
      <c r="F214" s="385">
        <f ca="1">MAX(IF($H$203=1,'62'!U17,A214)*(1+F2+IF($H$96=1,F97,0)),0)</f>
        <v>1223.9634742330875</v>
      </c>
      <c r="G214" s="386">
        <f ca="1">MAX(IF($H$203=1,'62'!W17,B214)*(1+G2+IF($H$96=1,G97,0)),0)</f>
        <v>703.93522641791026</v>
      </c>
      <c r="H214" s="387">
        <f ca="1">MAX(IF($H$203=1,'62'!Y17,C214)*(1+H2+IF($H$96=1,H97,0)),0)</f>
        <v>281.5724015969962</v>
      </c>
      <c r="I214" s="2"/>
      <c r="K214" s="385">
        <f ca="1">MAX(IF($M$203=1,'72'!U17,F214)*(1+K2+IF($M$96=1,K97,0)),0)</f>
        <v>1527.3336417083303</v>
      </c>
      <c r="L214" s="386">
        <f ca="1">MAX(IF($M$203=1,'72'!W17,G214)*(1+L2+IF($M$96=1,L97,0)),0)</f>
        <v>749.18045067132823</v>
      </c>
      <c r="M214" s="387">
        <f ca="1">MAX(IF($M$203=1,'72'!Y17,H214)*(1+M2+IF($M$96=1,M97,0)),0)</f>
        <v>318.78357887770977</v>
      </c>
      <c r="N214" s="2"/>
      <c r="P214" s="385">
        <f ca="1">MAX(IF($R$203=1,'82'!U17,K214)*(1+P2+IF($R$96=1,P97,0)),0)</f>
        <v>1671.2501614486468</v>
      </c>
      <c r="Q214" s="386">
        <f ca="1">MAX(IF($R$203=1,'82'!W17,L214)*(1+Q2+IF($R$96=1,Q97,0)),0)</f>
        <v>951.89563878452282</v>
      </c>
      <c r="R214" s="387">
        <f ca="1">MAX(IF($R$203=1,'82'!Y17,M214)*(1+R2+IF($R$96=1,R97,0)),0)</f>
        <v>363.22407716083467</v>
      </c>
      <c r="S214" s="2"/>
      <c r="U214" s="385">
        <f ca="1">MAX(IF($W$203=1,'92'!U17,P214)*(1+U2+IF($W$96=1,U97,0)),0)</f>
        <v>1472.1003138197191</v>
      </c>
      <c r="V214" s="386">
        <f ca="1">MAX(IF($W$203=1,'92'!W17,Q214)*(1+V2+IF($W$96=1,V97,0)),0)</f>
        <v>761.2419732610299</v>
      </c>
      <c r="W214" s="387">
        <f ca="1">MAX(IF($W$203=1,'92'!Y17,R214)*(1+W2+IF($W$96=1,W97,0)),0)</f>
        <v>258.17878475929825</v>
      </c>
      <c r="X214" s="2"/>
      <c r="Z214" s="3"/>
      <c r="AA214" s="3"/>
    </row>
    <row r="215" spans="1:27" x14ac:dyDescent="0.25">
      <c r="A215" s="385">
        <f ca="1">MAX('52'!U18*(1+A3+IF($C$96=1,A98,0)),0)</f>
        <v>278.9822545256003</v>
      </c>
      <c r="B215" s="386">
        <f ca="1">MAX('52'!W18*(1+B3+IF($C$96=1,B98,0)),0)</f>
        <v>204.26761091981237</v>
      </c>
      <c r="C215" s="387">
        <f ca="1">MAX('52'!Y18*(1+C3+IF($C$96=1,C98,0)),0)</f>
        <v>79.229832331548067</v>
      </c>
      <c r="D215" s="32"/>
      <c r="F215" s="385">
        <f ca="1">MAX(IF($H$203=1,'62'!U18,A215)*(1+F3+IF($H$96=1,F98,0)),0)</f>
        <v>715.40571668898338</v>
      </c>
      <c r="G215" s="386">
        <f ca="1">MAX(IF($H$203=1,'62'!W18,B215)*(1+G3+IF($H$96=1,G98,0)),0)</f>
        <v>443.30738934792919</v>
      </c>
      <c r="H215" s="387">
        <f ca="1">MAX(IF($H$203=1,'62'!Y18,C215)*(1+H3+IF($H$96=1,H98,0)),0)</f>
        <v>185.92781057061472</v>
      </c>
      <c r="I215" s="32"/>
      <c r="K215" s="385">
        <f ca="1">MAX(IF($M$203=1,'72'!U18,F215)*(1+K3+IF($M$96=1,K98,0)),0)</f>
        <v>905.76069112090045</v>
      </c>
      <c r="L215" s="386">
        <f ca="1">MAX(IF($M$203=1,'72'!W18,G215)*(1+L3+IF($M$96=1,L98,0)),0)</f>
        <v>458.65027918124792</v>
      </c>
      <c r="M215" s="387">
        <f ca="1">MAX(IF($M$203=1,'72'!Y18,H215)*(1+M3+IF($M$96=1,M98,0)),0)</f>
        <v>225.18101828594766</v>
      </c>
      <c r="N215" s="32"/>
      <c r="P215" s="385">
        <f ca="1">MAX(IF($R$203=1,'82'!U18,K215)*(1+P3+IF($R$96=1,P98,0)),0)</f>
        <v>837.02492457535209</v>
      </c>
      <c r="Q215" s="386">
        <f ca="1">MAX(IF($R$203=1,'82'!W18,L215)*(1+Q3+IF($R$96=1,Q98,0)),0)</f>
        <v>569.33186988180648</v>
      </c>
      <c r="R215" s="387">
        <f ca="1">MAX(IF($R$203=1,'82'!Y18,M215)*(1+R3+IF($R$96=1,R98,0)),0)</f>
        <v>256.60736641396716</v>
      </c>
      <c r="S215" s="32"/>
      <c r="U215" s="385">
        <f ca="1">MAX(IF($W$203=1,'92'!U18,P215)*(1+U3+IF($W$96=1,U98,0)),0)</f>
        <v>829.56843714274692</v>
      </c>
      <c r="V215" s="386">
        <f ca="1">MAX(IF($W$203=1,'92'!W18,Q215)*(1+V3+IF($W$96=1,V98,0)),0)</f>
        <v>510.26877714891805</v>
      </c>
      <c r="W215" s="387">
        <f ca="1">MAX(IF($W$203=1,'92'!Y18,R215)*(1+W3+IF($W$96=1,W98,0)),0)</f>
        <v>202.53453756533639</v>
      </c>
      <c r="X215" s="32"/>
      <c r="Y215" s="23"/>
      <c r="Z215" s="23"/>
      <c r="AA215" s="23"/>
    </row>
    <row r="216" spans="1:27" ht="13.8" thickBot="1" x14ac:dyDescent="0.3">
      <c r="A216" s="388">
        <f ca="1">MAX('52'!U19*(1+A4+IF($C$96=1,A99,0)),0)</f>
        <v>512.10699766406867</v>
      </c>
      <c r="B216" s="389">
        <f ca="1">MAX('52'!W19*(1+B4+IF($C$96=1,B99,0)),0)</f>
        <v>281.91992945543825</v>
      </c>
      <c r="C216" s="390">
        <f ca="1">MAX('52'!Y19*(1+C4+IF($C$96=1,C99,0)),0)</f>
        <v>132.5048969841107</v>
      </c>
      <c r="D216" s="128"/>
      <c r="F216" s="388">
        <f ca="1">MAX(IF($H$203=1,'62'!U19,A216)*(1+F4+IF($H$96=1,F99,0)),0)</f>
        <v>479.9449195425662</v>
      </c>
      <c r="G216" s="389">
        <f ca="1">MAX(IF($H$203=1,'62'!W19,B216)*(1+G4+IF($H$96=1,G99,0)),0)</f>
        <v>229.29667536711125</v>
      </c>
      <c r="H216" s="390">
        <f ca="1">MAX(IF($H$203=1,'62'!Y19,C216)*(1+H4+IF($H$96=1,H99,0)),0)</f>
        <v>117.69913024788902</v>
      </c>
      <c r="I216" s="128"/>
      <c r="K216" s="388">
        <f ca="1">MAX(IF($M$203=1,'72'!U19,F216)*(1+K4+IF($M$96=1,K99,0)),0)</f>
        <v>538.55083298247007</v>
      </c>
      <c r="L216" s="389">
        <f ca="1">MAX(IF($M$203=1,'72'!W19,G216)*(1+L4+IF($M$96=1,L99,0)),0)</f>
        <v>196.35726331045615</v>
      </c>
      <c r="M216" s="390">
        <f ca="1">MAX(IF($M$203=1,'72'!Y19,H216)*(1+M4+IF($M$96=1,M99,0)),0)</f>
        <v>109.75649454476255</v>
      </c>
      <c r="N216" s="128"/>
      <c r="P216" s="388">
        <f ca="1">MAX(IF($R$203=1,'82'!U19,K216)*(1+P4+IF($R$96=1,P99,0)),0)</f>
        <v>614.53953302885816</v>
      </c>
      <c r="Q216" s="389">
        <f ca="1">MAX(IF($R$203=1,'82'!W19,L216)*(1+Q4+IF($R$96=1,Q99,0)),0)</f>
        <v>241.4225039462423</v>
      </c>
      <c r="R216" s="390">
        <f ca="1">MAX(IF($R$203=1,'82'!Y19,M216)*(1+R4+IF($R$96=1,R99,0)),0)</f>
        <v>125.81038674178228</v>
      </c>
      <c r="S216" s="128"/>
      <c r="U216" s="388">
        <f ca="1">MAX(IF($W$203=1,'92'!U19,P216)*(1+U4+IF($W$96=1,U99,0)),0)</f>
        <v>592.90656453792417</v>
      </c>
      <c r="V216" s="389">
        <f ca="1">MAX(IF($W$203=1,'92'!W19,Q216)*(1+V4+IF($W$96=1,V99,0)),0)</f>
        <v>232.40525139648415</v>
      </c>
      <c r="W216" s="390">
        <f ca="1">MAX(IF($W$203=1,'92'!Y19,R216)*(1+W4+IF($W$96=1,W99,0)),0)</f>
        <v>110.07160197590632</v>
      </c>
      <c r="X216" s="128"/>
      <c r="Z216" s="3"/>
      <c r="AA216" s="3"/>
    </row>
    <row r="217" spans="1:27" ht="13.8" thickBot="1" x14ac:dyDescent="0.3">
      <c r="D217" s="2"/>
      <c r="I217" s="2"/>
      <c r="N217" s="2"/>
      <c r="S217" s="2"/>
      <c r="X217" s="2"/>
      <c r="Z217" s="3"/>
      <c r="AA217" s="3"/>
    </row>
    <row r="218" spans="1:27" x14ac:dyDescent="0.25">
      <c r="A218" s="1078" t="str">
        <f>Lang!$A$43</f>
        <v>Sales next quarter</v>
      </c>
      <c r="B218" s="1079"/>
      <c r="C218" s="1088"/>
      <c r="D218" s="2"/>
      <c r="F218" s="1078" t="str">
        <f>A218</f>
        <v>Sales next quarter</v>
      </c>
      <c r="G218" s="1079"/>
      <c r="H218" s="1088"/>
      <c r="I218" s="2"/>
      <c r="K218" s="1078" t="str">
        <f>A218</f>
        <v>Sales next quarter</v>
      </c>
      <c r="L218" s="1079"/>
      <c r="M218" s="1088"/>
      <c r="N218" s="2"/>
      <c r="P218" s="1078" t="str">
        <f>A218</f>
        <v>Sales next quarter</v>
      </c>
      <c r="Q218" s="1079"/>
      <c r="R218" s="1088"/>
      <c r="S218" s="2"/>
      <c r="U218" s="1078" t="str">
        <f>A218</f>
        <v>Sales next quarter</v>
      </c>
      <c r="V218" s="1079"/>
      <c r="W218" s="1088"/>
      <c r="X218" s="2"/>
      <c r="Z218" s="3"/>
      <c r="AA218" s="3"/>
    </row>
    <row r="219" spans="1:27" x14ac:dyDescent="0.25">
      <c r="A219" s="385">
        <f t="shared" ref="A219:C221" ca="1" si="11">A209+A214+IF(A239&lt;0,A239,0)</f>
        <v>1014.8680775026843</v>
      </c>
      <c r="B219" s="386">
        <f t="shared" ca="1" si="11"/>
        <v>671.18494952213791</v>
      </c>
      <c r="C219" s="387">
        <f t="shared" ca="1" si="11"/>
        <v>284.76178672050054</v>
      </c>
      <c r="D219" s="2"/>
      <c r="F219" s="385">
        <f t="shared" ref="F219:H221" ca="1" si="12">F209+F214+IF(F239&lt;0,F239,0)</f>
        <v>1223.9634742330875</v>
      </c>
      <c r="G219" s="386">
        <f t="shared" ca="1" si="12"/>
        <v>703.93522641791026</v>
      </c>
      <c r="H219" s="387">
        <f t="shared" ca="1" si="12"/>
        <v>281.5724015969962</v>
      </c>
      <c r="I219" s="2"/>
      <c r="K219" s="385">
        <f t="shared" ref="K219:M221" ca="1" si="13">K209+K214+IF(K239&lt;0,K239,0)</f>
        <v>1527.3336417083303</v>
      </c>
      <c r="L219" s="386">
        <f t="shared" ca="1" si="13"/>
        <v>749.18045067132823</v>
      </c>
      <c r="M219" s="387">
        <f t="shared" ca="1" si="13"/>
        <v>318.78357887770977</v>
      </c>
      <c r="N219" s="2"/>
      <c r="P219" s="385">
        <f t="shared" ref="P219:R221" ca="1" si="14">P209+P214+IF(P239&lt;0,P239,0)</f>
        <v>1671.2501614486468</v>
      </c>
      <c r="Q219" s="386">
        <f t="shared" ca="1" si="14"/>
        <v>951.89563878452282</v>
      </c>
      <c r="R219" s="387">
        <f t="shared" ca="1" si="14"/>
        <v>363.22407716083467</v>
      </c>
      <c r="S219" s="2"/>
      <c r="U219" s="385">
        <f t="shared" ref="U219:W221" ca="1" si="15">U209+U214+IF(U239&lt;0,U239,0)</f>
        <v>1472.1003138197191</v>
      </c>
      <c r="V219" s="386">
        <f t="shared" ca="1" si="15"/>
        <v>761.2419732610299</v>
      </c>
      <c r="W219" s="387">
        <f t="shared" ca="1" si="15"/>
        <v>258.17878475929825</v>
      </c>
      <c r="X219" s="2"/>
      <c r="Z219" s="3"/>
      <c r="AA219" s="3"/>
    </row>
    <row r="220" spans="1:27" x14ac:dyDescent="0.25">
      <c r="A220" s="385">
        <f t="shared" ca="1" si="11"/>
        <v>278.9822545256003</v>
      </c>
      <c r="B220" s="386">
        <f t="shared" ca="1" si="11"/>
        <v>204.26761091981237</v>
      </c>
      <c r="C220" s="387">
        <f t="shared" ca="1" si="11"/>
        <v>79.229832331548067</v>
      </c>
      <c r="D220" s="2"/>
      <c r="F220" s="385">
        <f t="shared" ca="1" si="12"/>
        <v>715.40571668898338</v>
      </c>
      <c r="G220" s="386">
        <f t="shared" ca="1" si="12"/>
        <v>443.30738934792919</v>
      </c>
      <c r="H220" s="387">
        <f t="shared" ca="1" si="12"/>
        <v>185.92781057061472</v>
      </c>
      <c r="I220" s="2"/>
      <c r="K220" s="385">
        <f t="shared" ca="1" si="13"/>
        <v>905.76069112090045</v>
      </c>
      <c r="L220" s="386">
        <f t="shared" ca="1" si="13"/>
        <v>458.65027918124792</v>
      </c>
      <c r="M220" s="387">
        <f t="shared" ca="1" si="13"/>
        <v>225.18101828594766</v>
      </c>
      <c r="N220" s="2"/>
      <c r="P220" s="385">
        <f t="shared" ca="1" si="14"/>
        <v>837.02492457535209</v>
      </c>
      <c r="Q220" s="386">
        <f t="shared" ca="1" si="14"/>
        <v>569.33186988180648</v>
      </c>
      <c r="R220" s="387">
        <f t="shared" ca="1" si="14"/>
        <v>256.60736641396716</v>
      </c>
      <c r="S220" s="2"/>
      <c r="U220" s="385">
        <f t="shared" ca="1" si="15"/>
        <v>829.56843714274692</v>
      </c>
      <c r="V220" s="386">
        <f t="shared" ca="1" si="15"/>
        <v>510.26877714891805</v>
      </c>
      <c r="W220" s="387">
        <f t="shared" ca="1" si="15"/>
        <v>202.53453756533639</v>
      </c>
      <c r="X220" s="2"/>
      <c r="Y220" s="23"/>
      <c r="Z220" s="23"/>
      <c r="AA220" s="23"/>
    </row>
    <row r="221" spans="1:27" ht="13.8" thickBot="1" x14ac:dyDescent="0.3">
      <c r="A221" s="388">
        <f t="shared" ca="1" si="11"/>
        <v>512.10699766406867</v>
      </c>
      <c r="B221" s="389">
        <f t="shared" ca="1" si="11"/>
        <v>281.91992945543825</v>
      </c>
      <c r="C221" s="390">
        <f t="shared" ca="1" si="11"/>
        <v>132.5048969841107</v>
      </c>
      <c r="D221" s="2"/>
      <c r="F221" s="388">
        <f t="shared" ca="1" si="12"/>
        <v>479.9449195425662</v>
      </c>
      <c r="G221" s="389">
        <f t="shared" ca="1" si="12"/>
        <v>229.29667536711125</v>
      </c>
      <c r="H221" s="390">
        <f t="shared" ca="1" si="12"/>
        <v>117.69913024788902</v>
      </c>
      <c r="I221" s="2"/>
      <c r="K221" s="388">
        <f t="shared" ca="1" si="13"/>
        <v>538.55083298247007</v>
      </c>
      <c r="L221" s="389">
        <f t="shared" ca="1" si="13"/>
        <v>196.35726331045615</v>
      </c>
      <c r="M221" s="390">
        <f t="shared" ca="1" si="13"/>
        <v>109.75649454476255</v>
      </c>
      <c r="N221" s="2"/>
      <c r="P221" s="388">
        <f t="shared" ca="1" si="14"/>
        <v>614.53953302885816</v>
      </c>
      <c r="Q221" s="389">
        <f t="shared" ca="1" si="14"/>
        <v>241.4225039462423</v>
      </c>
      <c r="R221" s="390">
        <f t="shared" ca="1" si="14"/>
        <v>125.81038674178228</v>
      </c>
      <c r="S221" s="2"/>
      <c r="U221" s="388">
        <f t="shared" ca="1" si="15"/>
        <v>592.90656453792417</v>
      </c>
      <c r="V221" s="389">
        <f t="shared" ca="1" si="15"/>
        <v>232.40525139648415</v>
      </c>
      <c r="W221" s="390">
        <f t="shared" ca="1" si="15"/>
        <v>110.07160197590632</v>
      </c>
      <c r="X221" s="2"/>
      <c r="Z221" s="3"/>
      <c r="AA221" s="3"/>
    </row>
    <row r="222" spans="1:27" ht="13.8" thickBot="1" x14ac:dyDescent="0.3">
      <c r="D222" s="2"/>
      <c r="I222" s="2"/>
      <c r="N222" s="2"/>
      <c r="S222" s="2"/>
      <c r="X222" s="2"/>
      <c r="Z222" s="3"/>
      <c r="AA222" s="3"/>
    </row>
    <row r="223" spans="1:27" x14ac:dyDescent="0.25">
      <c r="A223" s="1078" t="str">
        <f>Lang!$A$52</f>
        <v>Production plan next quarter</v>
      </c>
      <c r="B223" s="1079"/>
      <c r="C223" s="1088"/>
      <c r="D223" s="2"/>
      <c r="F223" s="1078" t="str">
        <f>A223</f>
        <v>Production plan next quarter</v>
      </c>
      <c r="G223" s="1079"/>
      <c r="H223" s="1088"/>
      <c r="I223" s="2"/>
      <c r="K223" s="1078" t="str">
        <f>A223</f>
        <v>Production plan next quarter</v>
      </c>
      <c r="L223" s="1079"/>
      <c r="M223" s="1088"/>
      <c r="N223" s="2"/>
      <c r="P223" s="1078" t="str">
        <f>A223</f>
        <v>Production plan next quarter</v>
      </c>
      <c r="Q223" s="1079"/>
      <c r="R223" s="1088"/>
      <c r="S223" s="2"/>
      <c r="U223" s="1078" t="str">
        <f>A223</f>
        <v>Production plan next quarter</v>
      </c>
      <c r="V223" s="1079"/>
      <c r="W223" s="1088"/>
      <c r="X223" s="2"/>
      <c r="Z223" s="3"/>
      <c r="AA223" s="3"/>
    </row>
    <row r="224" spans="1:27" x14ac:dyDescent="0.25">
      <c r="A224" s="385">
        <f t="shared" ref="A224:C225" ca="1" si="16">A209+A214+A229-A204*(1-B$118)</f>
        <v>895.86807750268429</v>
      </c>
      <c r="B224" s="386">
        <f t="shared" ca="1" si="16"/>
        <v>671.18494952213791</v>
      </c>
      <c r="C224" s="387">
        <f t="shared" ca="1" si="16"/>
        <v>284.76178672050054</v>
      </c>
      <c r="D224" s="446">
        <f ca="1">A224/500+B224/250+C224/125</f>
        <v>6.7545702468579245</v>
      </c>
      <c r="F224" s="385">
        <f t="shared" ref="F224:H225" ca="1" si="17">F209+F214+F229-F204*(1-G$118)</f>
        <v>1223.9634742330875</v>
      </c>
      <c r="G224" s="386">
        <f t="shared" ca="1" si="17"/>
        <v>680.12017594004817</v>
      </c>
      <c r="H224" s="387">
        <f t="shared" ca="1" si="17"/>
        <v>271.33418831749674</v>
      </c>
      <c r="I224" s="446">
        <f ca="1">F224/500+G224/250+H224/125</f>
        <v>7.3390811587663407</v>
      </c>
      <c r="K224" s="385">
        <f t="shared" ref="K224:M225" ca="1" si="18">K209+K214+K229-K204*(1-L$118)</f>
        <v>1527.3336417083303</v>
      </c>
      <c r="L224" s="386">
        <f t="shared" ca="1" si="18"/>
        <v>688.3006266113764</v>
      </c>
      <c r="M224" s="387">
        <f t="shared" ca="1" si="18"/>
        <v>295.11776719520651</v>
      </c>
      <c r="N224" s="446">
        <f ca="1">K224/500+L224/250+M224/125</f>
        <v>8.1688119274238176</v>
      </c>
      <c r="P224" s="385">
        <f t="shared" ref="P224:R225" ca="1" si="19">P209+P214+P229-P204*(1-Q$118)</f>
        <v>1600.1463112294095</v>
      </c>
      <c r="Q224" s="386">
        <f t="shared" ca="1" si="19"/>
        <v>951.89563878452282</v>
      </c>
      <c r="R224" s="387">
        <f t="shared" ca="1" si="19"/>
        <v>363.22407716083467</v>
      </c>
      <c r="S224" s="446">
        <f ca="1">P224/500+Q224/250+R224/125</f>
        <v>9.9136677948835867</v>
      </c>
      <c r="U224" s="385">
        <f t="shared" ref="U224:W225" ca="1" si="20">U209+U214+U229-U204*(1-V$118)</f>
        <v>1418.8471263912879</v>
      </c>
      <c r="V224" s="386">
        <f t="shared" ca="1" si="20"/>
        <v>775.97487124338363</v>
      </c>
      <c r="W224" s="387">
        <f t="shared" ca="1" si="20"/>
        <v>265.92414830207719</v>
      </c>
      <c r="X224" s="446">
        <f ca="1">U224/500+V224/250+W224/125</f>
        <v>8.0689869241727266</v>
      </c>
      <c r="Z224" s="3"/>
      <c r="AA224" s="3"/>
    </row>
    <row r="225" spans="1:27" x14ac:dyDescent="0.25">
      <c r="A225" s="385">
        <f t="shared" ca="1" si="16"/>
        <v>222.9822545256003</v>
      </c>
      <c r="B225" s="386">
        <f t="shared" ca="1" si="16"/>
        <v>174.26761091981237</v>
      </c>
      <c r="C225" s="387">
        <f t="shared" ca="1" si="16"/>
        <v>67.229832331548067</v>
      </c>
      <c r="D225" s="446">
        <f ca="1">A225/500+B225/250+C225/125</f>
        <v>1.6808736113828346</v>
      </c>
      <c r="F225" s="385">
        <f t="shared" ca="1" si="17"/>
        <v>715.40571668898338</v>
      </c>
      <c r="G225" s="386">
        <f t="shared" ca="1" si="17"/>
        <v>410.57500026774153</v>
      </c>
      <c r="H225" s="387">
        <f t="shared" ca="1" si="17"/>
        <v>174.15764290216279</v>
      </c>
      <c r="I225" s="446">
        <f ca="1">F225/500+G225/250+H225/125</f>
        <v>4.4663725776662346</v>
      </c>
      <c r="K225" s="385">
        <f t="shared" ca="1" si="18"/>
        <v>905.76069112090045</v>
      </c>
      <c r="L225" s="386">
        <f t="shared" ca="1" si="18"/>
        <v>410.22527944898945</v>
      </c>
      <c r="M225" s="387">
        <f t="shared" ca="1" si="18"/>
        <v>205.33866118811045</v>
      </c>
      <c r="N225" s="446">
        <f ca="1">K225/500+L225/250+M225/125</f>
        <v>5.0951317895426422</v>
      </c>
      <c r="P225" s="385">
        <f t="shared" ca="1" si="19"/>
        <v>718.63686192502018</v>
      </c>
      <c r="Q225" s="386">
        <f t="shared" ca="1" si="19"/>
        <v>569.33186988180648</v>
      </c>
      <c r="R225" s="387">
        <f t="shared" ca="1" si="19"/>
        <v>384.91104962095073</v>
      </c>
      <c r="S225" s="446">
        <f ca="1">P225/500+Q225/250+R225/125</f>
        <v>6.7938896003448725</v>
      </c>
      <c r="U225" s="385">
        <f t="shared" ca="1" si="20"/>
        <v>791.24110595328182</v>
      </c>
      <c r="V225" s="386">
        <f t="shared" ca="1" si="20"/>
        <v>508.90871034519205</v>
      </c>
      <c r="W225" s="387">
        <f t="shared" ca="1" si="20"/>
        <v>208.6105736922965</v>
      </c>
      <c r="X225" s="446">
        <f ca="1">U225/500+V225/250+W225/125</f>
        <v>5.2870016428257038</v>
      </c>
      <c r="Z225" s="3"/>
      <c r="AA225" s="3"/>
    </row>
    <row r="226" spans="1:27" ht="13.8" thickBot="1" x14ac:dyDescent="0.3">
      <c r="A226" s="388">
        <f ca="1">A216+A231-A206*(1-B$118)</f>
        <v>505.10699766406867</v>
      </c>
      <c r="B226" s="389">
        <f ca="1">B216+B231-B206*(1-C$118)</f>
        <v>281.91992945543825</v>
      </c>
      <c r="C226" s="390">
        <f ca="1">C216+C231-C206*(1-D$118)</f>
        <v>127.5048969841107</v>
      </c>
      <c r="D226" s="446">
        <f ca="1">A226/500+B226/250+C226/125</f>
        <v>3.157932889022776</v>
      </c>
      <c r="F226" s="388">
        <f ca="1">F216+F231-F206*(1-G$118)</f>
        <v>479.9449195425662</v>
      </c>
      <c r="G226" s="389">
        <f ca="1">G216+G231-G206*(1-H$118)</f>
        <v>154.2166048225495</v>
      </c>
      <c r="H226" s="390">
        <f ca="1">H216+H231-H206*(1-I$118)</f>
        <v>84.204027231999717</v>
      </c>
      <c r="I226" s="446">
        <f ca="1">F226/500+G226/250+H226/125</f>
        <v>2.2503884762313282</v>
      </c>
      <c r="K226" s="388">
        <f ca="1">K216+K231-K206*(1-L$118)</f>
        <v>538.55083298247007</v>
      </c>
      <c r="L226" s="389">
        <f ca="1">L216+L231-L206*(1-M$118)</f>
        <v>145.57386813300565</v>
      </c>
      <c r="M226" s="390">
        <f ca="1">M216+M231-M206*(1-N$118)</f>
        <v>81.960521776762263</v>
      </c>
      <c r="N226" s="446">
        <f ca="1">K226/500+L226/250+M226/125</f>
        <v>2.3150813127110608</v>
      </c>
      <c r="P226" s="388">
        <f ca="1">P216+P231-P206*(1-Q$118)</f>
        <v>486.81734266277113</v>
      </c>
      <c r="Q226" s="389">
        <f ca="1">Q216+Q231-Q206*(1-R$118)</f>
        <v>241.4225039462423</v>
      </c>
      <c r="R226" s="390">
        <f ca="1">R216+R231-R206*(1-S$118)</f>
        <v>125.81038674178228</v>
      </c>
      <c r="S226" s="446">
        <f ca="1">P226/500+Q226/250+R226/125</f>
        <v>2.9458077950447699</v>
      </c>
      <c r="U226" s="388">
        <f ca="1">U216+U231-U206*(1-V$118)</f>
        <v>571.78412748539017</v>
      </c>
      <c r="V226" s="389">
        <f ca="1">V216+V231-V206*(1-W$118)</f>
        <v>235.79991288462097</v>
      </c>
      <c r="W226" s="390">
        <f ca="1">W216+W231-W206*(1-X$118)</f>
        <v>113.37375003518351</v>
      </c>
      <c r="X226" s="446">
        <f ca="1">U226/500+V226/250+W226/125</f>
        <v>2.9937579067907323</v>
      </c>
      <c r="Z226" s="3"/>
      <c r="AA226" s="3"/>
    </row>
    <row r="227" spans="1:27" ht="13.8" thickBot="1" x14ac:dyDescent="0.3">
      <c r="D227" s="2"/>
      <c r="I227" s="2"/>
      <c r="N227" s="2"/>
      <c r="S227" s="2"/>
      <c r="X227" s="2"/>
      <c r="Z227" s="3"/>
      <c r="AA227" s="3"/>
    </row>
    <row r="228" spans="1:27" x14ac:dyDescent="0.25">
      <c r="A228" s="1078" t="str">
        <f>Lang!$A$60</f>
        <v>Stocks next quarter</v>
      </c>
      <c r="B228" s="1079"/>
      <c r="C228" s="1088"/>
      <c r="D228" s="2"/>
      <c r="F228" s="1078" t="str">
        <f>A228</f>
        <v>Stocks next quarter</v>
      </c>
      <c r="G228" s="1079"/>
      <c r="H228" s="1088"/>
      <c r="I228" s="2"/>
      <c r="K228" s="1078" t="str">
        <f>A228</f>
        <v>Stocks next quarter</v>
      </c>
      <c r="L228" s="1079"/>
      <c r="M228" s="1088"/>
      <c r="N228" s="2"/>
      <c r="P228" s="1078" t="str">
        <f>A228</f>
        <v>Stocks next quarter</v>
      </c>
      <c r="Q228" s="1079"/>
      <c r="R228" s="1088"/>
      <c r="S228" s="2"/>
      <c r="U228" s="1078" t="str">
        <f>A228</f>
        <v>Stocks next quarter</v>
      </c>
      <c r="V228" s="1079"/>
      <c r="W228" s="1088"/>
      <c r="X228" s="2"/>
      <c r="Z228" s="3"/>
      <c r="AA228" s="3"/>
    </row>
    <row r="229" spans="1:27" x14ac:dyDescent="0.25">
      <c r="A229" s="404">
        <f t="shared" ref="A229:C231" ca="1" si="21">A214*$D234+A214*A$237+A214*A234</f>
        <v>0</v>
      </c>
      <c r="B229" s="405">
        <f t="shared" ca="1" si="21"/>
        <v>0</v>
      </c>
      <c r="C229" s="408">
        <f t="shared" ca="1" si="21"/>
        <v>0</v>
      </c>
      <c r="D229" s="2"/>
      <c r="F229" s="404">
        <f t="shared" ref="F229:H231" ca="1" si="22">F214*$I234+F214*F$237+F214*F234</f>
        <v>0</v>
      </c>
      <c r="G229" s="405">
        <f t="shared" ca="1" si="22"/>
        <v>0</v>
      </c>
      <c r="H229" s="408">
        <f t="shared" ca="1" si="22"/>
        <v>0</v>
      </c>
      <c r="I229" s="2"/>
      <c r="K229" s="404">
        <f t="shared" ref="K229:M231" ca="1" si="23">K214*$N234+K214*K$237+K214*K234</f>
        <v>0</v>
      </c>
      <c r="L229" s="405">
        <f t="shared" ca="1" si="23"/>
        <v>0</v>
      </c>
      <c r="M229" s="408">
        <f t="shared" ca="1" si="23"/>
        <v>0</v>
      </c>
      <c r="N229" s="2"/>
      <c r="P229" s="404">
        <f t="shared" ref="P229:R231" ca="1" si="24">P214*$S234+P214*P$237+P214*P234</f>
        <v>83.562508072432351</v>
      </c>
      <c r="Q229" s="405">
        <f t="shared" ca="1" si="24"/>
        <v>0</v>
      </c>
      <c r="R229" s="408">
        <f t="shared" ca="1" si="24"/>
        <v>0</v>
      </c>
      <c r="S229" s="2"/>
      <c r="U229" s="404">
        <f t="shared" ref="U229:W231" ca="1" si="25">U214*$X234+U214*U$237+U214*U234</f>
        <v>44.163009414591571</v>
      </c>
      <c r="V229" s="405">
        <f t="shared" ca="1" si="25"/>
        <v>22.837259197830896</v>
      </c>
      <c r="W229" s="408">
        <f t="shared" ca="1" si="25"/>
        <v>7.7453635427789473</v>
      </c>
      <c r="X229" s="2"/>
      <c r="Z229" s="3"/>
      <c r="AA229" s="3"/>
    </row>
    <row r="230" spans="1:27" x14ac:dyDescent="0.25">
      <c r="A230" s="404">
        <f t="shared" ca="1" si="21"/>
        <v>0</v>
      </c>
      <c r="B230" s="405">
        <f t="shared" ca="1" si="21"/>
        <v>0</v>
      </c>
      <c r="C230" s="408">
        <f t="shared" ca="1" si="21"/>
        <v>0</v>
      </c>
      <c r="D230" s="2"/>
      <c r="F230" s="404">
        <f t="shared" ca="1" si="22"/>
        <v>0</v>
      </c>
      <c r="G230" s="405">
        <f t="shared" ca="1" si="22"/>
        <v>0</v>
      </c>
      <c r="H230" s="408">
        <f t="shared" ca="1" si="22"/>
        <v>0</v>
      </c>
      <c r="I230" s="2"/>
      <c r="K230" s="404">
        <f t="shared" ca="1" si="23"/>
        <v>0</v>
      </c>
      <c r="L230" s="405">
        <f t="shared" ca="1" si="23"/>
        <v>0</v>
      </c>
      <c r="M230" s="408">
        <f t="shared" ca="1" si="23"/>
        <v>0</v>
      </c>
      <c r="N230" s="2"/>
      <c r="P230" s="404">
        <f t="shared" ca="1" si="24"/>
        <v>41.851246228767607</v>
      </c>
      <c r="Q230" s="405">
        <f t="shared" ca="1" si="24"/>
        <v>0</v>
      </c>
      <c r="R230" s="408">
        <f t="shared" ca="1" si="24"/>
        <v>128.30368320698358</v>
      </c>
      <c r="S230" s="2"/>
      <c r="U230" s="404">
        <f t="shared" ca="1" si="25"/>
        <v>24.887053114282406</v>
      </c>
      <c r="V230" s="405">
        <f t="shared" ca="1" si="25"/>
        <v>15.308063314467541</v>
      </c>
      <c r="W230" s="408">
        <f t="shared" ca="1" si="25"/>
        <v>6.0760361269600915</v>
      </c>
      <c r="X230" s="2"/>
      <c r="Z230" s="3"/>
      <c r="AA230" s="3"/>
    </row>
    <row r="231" spans="1:27" ht="13.8" thickBot="1" x14ac:dyDescent="0.3">
      <c r="A231" s="407">
        <f t="shared" ca="1" si="21"/>
        <v>0</v>
      </c>
      <c r="B231" s="406">
        <f t="shared" ca="1" si="21"/>
        <v>0</v>
      </c>
      <c r="C231" s="403">
        <f t="shared" ca="1" si="21"/>
        <v>0</v>
      </c>
      <c r="D231" s="2"/>
      <c r="F231" s="407">
        <f t="shared" ca="1" si="22"/>
        <v>0</v>
      </c>
      <c r="G231" s="406">
        <f t="shared" ca="1" si="22"/>
        <v>0</v>
      </c>
      <c r="H231" s="403">
        <f t="shared" ca="1" si="22"/>
        <v>0</v>
      </c>
      <c r="I231" s="2"/>
      <c r="K231" s="407">
        <f t="shared" ca="1" si="23"/>
        <v>0</v>
      </c>
      <c r="L231" s="406">
        <f t="shared" ca="1" si="23"/>
        <v>0</v>
      </c>
      <c r="M231" s="403">
        <f t="shared" ca="1" si="23"/>
        <v>0</v>
      </c>
      <c r="N231" s="2"/>
      <c r="P231" s="407">
        <f t="shared" ca="1" si="24"/>
        <v>30.726976651442911</v>
      </c>
      <c r="Q231" s="406">
        <f t="shared" ca="1" si="24"/>
        <v>0</v>
      </c>
      <c r="R231" s="403">
        <f t="shared" ca="1" si="24"/>
        <v>0</v>
      </c>
      <c r="S231" s="2"/>
      <c r="U231" s="407">
        <f t="shared" ca="1" si="25"/>
        <v>17.787196936137725</v>
      </c>
      <c r="V231" s="406">
        <f t="shared" ca="1" si="25"/>
        <v>6.9721575418945241</v>
      </c>
      <c r="W231" s="403">
        <f t="shared" ca="1" si="25"/>
        <v>3.3021480592771892</v>
      </c>
      <c r="X231" s="2"/>
      <c r="Z231" s="3"/>
      <c r="AA231" s="3"/>
    </row>
    <row r="232" spans="1:27" ht="13.8" thickBot="1" x14ac:dyDescent="0.3">
      <c r="D232" s="2"/>
      <c r="I232" s="2"/>
      <c r="N232" s="2"/>
      <c r="S232" s="2"/>
      <c r="X232" s="2"/>
      <c r="Z232" s="3"/>
      <c r="AA232" s="3"/>
    </row>
    <row r="233" spans="1:27" x14ac:dyDescent="0.25">
      <c r="A233" s="1119" t="str">
        <f>Lang!$A$60</f>
        <v>Stocks next quarter</v>
      </c>
      <c r="B233" s="1120"/>
      <c r="C233" s="1121"/>
      <c r="D233" s="2"/>
      <c r="F233" s="1078" t="str">
        <f>A233</f>
        <v>Stocks next quarter</v>
      </c>
      <c r="G233" s="1079"/>
      <c r="H233" s="1088"/>
      <c r="I233" s="2"/>
      <c r="K233" s="1078" t="str">
        <f>A233</f>
        <v>Stocks next quarter</v>
      </c>
      <c r="L233" s="1079"/>
      <c r="M233" s="1088"/>
      <c r="N233" s="2"/>
      <c r="P233" s="1078" t="str">
        <f>A233</f>
        <v>Stocks next quarter</v>
      </c>
      <c r="Q233" s="1079"/>
      <c r="R233" s="1088"/>
      <c r="S233" s="2"/>
      <c r="U233" s="1078" t="str">
        <f>A233</f>
        <v>Stocks next quarter</v>
      </c>
      <c r="V233" s="1079"/>
      <c r="W233" s="1088"/>
      <c r="X233" s="2"/>
      <c r="Z233" s="3"/>
      <c r="AA233" s="3"/>
    </row>
    <row r="234" spans="1:27" x14ac:dyDescent="0.25">
      <c r="A234" s="439">
        <v>0</v>
      </c>
      <c r="B234" s="440">
        <v>0</v>
      </c>
      <c r="C234" s="441">
        <v>0</v>
      </c>
      <c r="D234" s="445">
        <v>0</v>
      </c>
      <c r="F234" s="439">
        <v>0</v>
      </c>
      <c r="G234" s="440">
        <v>0</v>
      </c>
      <c r="H234" s="441">
        <v>0</v>
      </c>
      <c r="I234" s="445">
        <v>0</v>
      </c>
      <c r="K234" s="439">
        <v>0</v>
      </c>
      <c r="L234" s="440">
        <v>0</v>
      </c>
      <c r="M234" s="441">
        <v>0</v>
      </c>
      <c r="N234" s="445">
        <v>0</v>
      </c>
      <c r="P234" s="439">
        <v>0</v>
      </c>
      <c r="Q234" s="440">
        <v>0</v>
      </c>
      <c r="R234" s="441">
        <v>0</v>
      </c>
      <c r="S234" s="445">
        <v>0</v>
      </c>
      <c r="U234" s="439">
        <v>0</v>
      </c>
      <c r="V234" s="440">
        <v>0</v>
      </c>
      <c r="W234" s="441">
        <v>0</v>
      </c>
      <c r="X234" s="445">
        <v>0.03</v>
      </c>
      <c r="Z234" s="3"/>
      <c r="AA234" s="3"/>
    </row>
    <row r="235" spans="1:27" x14ac:dyDescent="0.25">
      <c r="A235" s="439">
        <v>0</v>
      </c>
      <c r="B235" s="440">
        <v>0</v>
      </c>
      <c r="C235" s="441">
        <v>0</v>
      </c>
      <c r="D235" s="445">
        <v>0</v>
      </c>
      <c r="F235" s="439">
        <v>0</v>
      </c>
      <c r="G235" s="440">
        <v>0</v>
      </c>
      <c r="H235" s="441">
        <v>0</v>
      </c>
      <c r="I235" s="445">
        <v>0</v>
      </c>
      <c r="K235" s="439">
        <v>0</v>
      </c>
      <c r="L235" s="440">
        <v>0</v>
      </c>
      <c r="M235" s="441">
        <v>0</v>
      </c>
      <c r="N235" s="445">
        <v>0</v>
      </c>
      <c r="P235" s="439">
        <v>0</v>
      </c>
      <c r="Q235" s="440">
        <v>0</v>
      </c>
      <c r="R235" s="441">
        <v>0.5</v>
      </c>
      <c r="S235" s="445">
        <v>0</v>
      </c>
      <c r="U235" s="439">
        <v>0</v>
      </c>
      <c r="V235" s="440">
        <v>0</v>
      </c>
      <c r="W235" s="441">
        <v>0</v>
      </c>
      <c r="X235" s="445">
        <v>0.03</v>
      </c>
      <c r="Z235" s="3"/>
      <c r="AA235" s="3"/>
    </row>
    <row r="236" spans="1:27" ht="13.8" thickBot="1" x14ac:dyDescent="0.3">
      <c r="A236" s="442">
        <v>0</v>
      </c>
      <c r="B236" s="443">
        <v>0</v>
      </c>
      <c r="C236" s="444">
        <v>0</v>
      </c>
      <c r="D236" s="445">
        <v>0</v>
      </c>
      <c r="F236" s="442">
        <v>0</v>
      </c>
      <c r="G236" s="443">
        <v>0</v>
      </c>
      <c r="H236" s="444">
        <v>0</v>
      </c>
      <c r="I236" s="445">
        <v>0</v>
      </c>
      <c r="K236" s="442">
        <v>0</v>
      </c>
      <c r="L236" s="443">
        <v>0</v>
      </c>
      <c r="M236" s="444">
        <v>0</v>
      </c>
      <c r="N236" s="445">
        <v>0</v>
      </c>
      <c r="P236" s="442">
        <v>0</v>
      </c>
      <c r="Q236" s="443">
        <v>0</v>
      </c>
      <c r="R236" s="444">
        <v>0</v>
      </c>
      <c r="S236" s="445">
        <v>0</v>
      </c>
      <c r="U236" s="442">
        <v>0</v>
      </c>
      <c r="V236" s="443">
        <v>0</v>
      </c>
      <c r="W236" s="444">
        <v>0</v>
      </c>
      <c r="X236" s="445">
        <v>0.03</v>
      </c>
      <c r="Z236" s="3"/>
      <c r="AA236" s="3"/>
    </row>
    <row r="237" spans="1:27" ht="13.8" thickBot="1" x14ac:dyDescent="0.3">
      <c r="A237" s="445">
        <v>0</v>
      </c>
      <c r="B237" s="445">
        <v>0</v>
      </c>
      <c r="C237" s="445">
        <v>0</v>
      </c>
      <c r="D237" s="2"/>
      <c r="F237" s="445">
        <v>0</v>
      </c>
      <c r="G237" s="445">
        <v>0</v>
      </c>
      <c r="H237" s="445">
        <v>0</v>
      </c>
      <c r="I237" s="2"/>
      <c r="K237" s="445">
        <v>0</v>
      </c>
      <c r="L237" s="445">
        <v>0</v>
      </c>
      <c r="M237" s="445">
        <v>0</v>
      </c>
      <c r="N237" s="2"/>
      <c r="P237" s="445">
        <v>0.05</v>
      </c>
      <c r="Q237" s="445">
        <v>0</v>
      </c>
      <c r="R237" s="445">
        <v>0</v>
      </c>
      <c r="S237" s="2"/>
      <c r="U237" s="445">
        <v>0</v>
      </c>
      <c r="V237" s="445">
        <v>0</v>
      </c>
      <c r="W237" s="445">
        <v>0</v>
      </c>
      <c r="X237" s="2"/>
      <c r="Z237" s="3"/>
      <c r="AA237" s="3"/>
    </row>
    <row r="238" spans="1:27" x14ac:dyDescent="0.25">
      <c r="A238" s="1080" t="str">
        <f>Lang!$A$60</f>
        <v>Stocks next quarter</v>
      </c>
      <c r="B238" s="1081"/>
      <c r="C238" s="1103"/>
      <c r="D238" s="2"/>
      <c r="F238" s="1100" t="str">
        <f>A238</f>
        <v>Stocks next quarter</v>
      </c>
      <c r="G238" s="1101"/>
      <c r="H238" s="1102"/>
      <c r="I238" s="2"/>
      <c r="K238" s="1100" t="str">
        <f>A238</f>
        <v>Stocks next quarter</v>
      </c>
      <c r="L238" s="1101"/>
      <c r="M238" s="1102"/>
      <c r="N238" s="2"/>
      <c r="P238" s="1100" t="str">
        <f>A238</f>
        <v>Stocks next quarter</v>
      </c>
      <c r="Q238" s="1101"/>
      <c r="R238" s="1102"/>
      <c r="S238" s="2"/>
      <c r="U238" s="1100" t="str">
        <f>A238</f>
        <v>Stocks next quarter</v>
      </c>
      <c r="V238" s="1101"/>
      <c r="W238" s="1102"/>
      <c r="X238" s="2"/>
      <c r="Z238" s="3"/>
      <c r="AA238" s="3"/>
    </row>
    <row r="239" spans="1:27" x14ac:dyDescent="0.25">
      <c r="A239" s="385">
        <f t="shared" ref="A239:C241" ca="1" si="26">B102+A204*(1-B$118)-A209-A214</f>
        <v>32.131922497315713</v>
      </c>
      <c r="B239" s="386">
        <f t="shared" ca="1" si="26"/>
        <v>23.815050477862087</v>
      </c>
      <c r="C239" s="387">
        <f t="shared" ca="1" si="26"/>
        <v>10.238213279499462</v>
      </c>
      <c r="D239" s="448">
        <f ca="1">SUM(A239:C239)/SUM(A214:C214)</f>
        <v>3.4066646901403159E-2</v>
      </c>
      <c r="F239" s="385">
        <f t="shared" ref="F239:H241" ca="1" si="27">G102+F204*(1-G$118)-F209-F214</f>
        <v>110.03652576691252</v>
      </c>
      <c r="G239" s="386">
        <f t="shared" ca="1" si="27"/>
        <v>60.879824059951829</v>
      </c>
      <c r="H239" s="387">
        <f t="shared" ca="1" si="27"/>
        <v>23.665811682503261</v>
      </c>
      <c r="I239" s="448">
        <f ca="1">SUM(F239:H239)/SUM(F214:H214)</f>
        <v>8.8067303216318518E-2</v>
      </c>
      <c r="K239" s="385">
        <f t="shared" ref="K239:M241" ca="1" si="28">L102+K204*(1-L$118)-K209-K214</f>
        <v>154.66635829166967</v>
      </c>
      <c r="L239" s="386">
        <f t="shared" ca="1" si="28"/>
        <v>69.699373388623599</v>
      </c>
      <c r="M239" s="387">
        <f t="shared" ca="1" si="28"/>
        <v>29.882232804793489</v>
      </c>
      <c r="N239" s="448">
        <f ca="1">SUM(K239:M239)/SUM(K214:M214)</f>
        <v>9.7964856710216541E-2</v>
      </c>
      <c r="P239" s="385">
        <f t="shared" ref="P239:R241" ca="1" si="29">Q102+P204*(1-Q$118)-P209-P214</f>
        <v>97.416196843022817</v>
      </c>
      <c r="Q239" s="386">
        <f t="shared" ca="1" si="29"/>
        <v>8.1043612154771836</v>
      </c>
      <c r="R239" s="387">
        <f t="shared" ca="1" si="29"/>
        <v>2.7759228391653323</v>
      </c>
      <c r="S239" s="448">
        <f ca="1">SUM(P239:R239)/SUM(P214:R214)</f>
        <v>3.6263586007024722E-2</v>
      </c>
      <c r="U239" s="385">
        <f t="shared" ref="U239:W241" ca="1" si="30">V102+U204*(1-V$118)-U209-U214</f>
        <v>207.31588302330374</v>
      </c>
      <c r="V239" s="386">
        <f t="shared" ca="1" si="30"/>
        <v>111.86238795444729</v>
      </c>
      <c r="W239" s="387">
        <f t="shared" ca="1" si="30"/>
        <v>37.821215240701747</v>
      </c>
      <c r="X239" s="448">
        <f ca="1">SUM(U239:W239)/SUM(U214:W214)</f>
        <v>0.1432857583479317</v>
      </c>
      <c r="Z239" s="3"/>
      <c r="AA239" s="3"/>
    </row>
    <row r="240" spans="1:27" x14ac:dyDescent="0.25">
      <c r="A240" s="385">
        <f t="shared" ca="1" si="26"/>
        <v>42.017745474399703</v>
      </c>
      <c r="B240" s="386">
        <f t="shared" ca="1" si="26"/>
        <v>32.73238908018763</v>
      </c>
      <c r="C240" s="387">
        <f t="shared" ca="1" si="26"/>
        <v>11.770167668451933</v>
      </c>
      <c r="D240" s="448">
        <f ca="1">SUM(A240:C240)/SUM(A215:C215)</f>
        <v>0.15381942239868546</v>
      </c>
      <c r="F240" s="385">
        <f t="shared" ca="1" si="27"/>
        <v>84.594283311016625</v>
      </c>
      <c r="G240" s="386">
        <f t="shared" ca="1" si="27"/>
        <v>48.42499973225847</v>
      </c>
      <c r="H240" s="387">
        <f t="shared" ca="1" si="27"/>
        <v>19.842357097837208</v>
      </c>
      <c r="I240" s="448">
        <f ca="1">SUM(F240:H240)/SUM(F215:H215)</f>
        <v>0.11368212751310276</v>
      </c>
      <c r="K240" s="385">
        <f t="shared" ca="1" si="28"/>
        <v>160.23930887909955</v>
      </c>
      <c r="L240" s="386">
        <f t="shared" ca="1" si="28"/>
        <v>72.774720551010546</v>
      </c>
      <c r="M240" s="387">
        <f t="shared" ca="1" si="28"/>
        <v>35.661338811889522</v>
      </c>
      <c r="N240" s="448">
        <f ca="1">SUM(K240:M240)/SUM(K215:M215)</f>
        <v>0.16902159181152007</v>
      </c>
      <c r="P240" s="385">
        <f t="shared" ca="1" si="29"/>
        <v>63.214384303747465</v>
      </c>
      <c r="Q240" s="386">
        <f t="shared" ca="1" si="29"/>
        <v>16.668130118193517</v>
      </c>
      <c r="R240" s="387">
        <f t="shared" ca="1" si="29"/>
        <v>139.39263358603284</v>
      </c>
      <c r="S240" s="448">
        <f ca="1">SUM(P240:R240)/SUM(P215:R215)</f>
        <v>0.13185801183659238</v>
      </c>
      <c r="U240" s="385">
        <f t="shared" ca="1" si="30"/>
        <v>130.64594716100055</v>
      </c>
      <c r="V240" s="386">
        <f t="shared" ca="1" si="30"/>
        <v>83.399352969275469</v>
      </c>
      <c r="W240" s="387">
        <f t="shared" ca="1" si="30"/>
        <v>33.465462434663607</v>
      </c>
      <c r="X240" s="448">
        <f ca="1">SUM(U240:W240)/SUM(U215:W215)</f>
        <v>0.16047412841096118</v>
      </c>
      <c r="Y240" s="23"/>
      <c r="Z240" s="23"/>
      <c r="AA240" s="23"/>
    </row>
    <row r="241" spans="1:38" ht="13.8" thickBot="1" x14ac:dyDescent="0.3">
      <c r="A241" s="388">
        <f t="shared" ca="1" si="26"/>
        <v>133.89300233593133</v>
      </c>
      <c r="B241" s="389">
        <f t="shared" ca="1" si="26"/>
        <v>75.08007054456175</v>
      </c>
      <c r="C241" s="390">
        <f t="shared" ca="1" si="26"/>
        <v>33.495103015889299</v>
      </c>
      <c r="D241" s="448">
        <f ca="1">SUM(A241:C241)/SUM(A216:C216)</f>
        <v>0.26169438500502734</v>
      </c>
      <c r="F241" s="388">
        <f t="shared" ca="1" si="27"/>
        <v>159.0550804574338</v>
      </c>
      <c r="G241" s="389">
        <f t="shared" ca="1" si="27"/>
        <v>50.783395177450501</v>
      </c>
      <c r="H241" s="390">
        <f t="shared" ca="1" si="27"/>
        <v>27.795972768000283</v>
      </c>
      <c r="I241" s="448">
        <f ca="1">SUM(F241:H241)/SUM(F216:H216)</f>
        <v>0.28736575811719195</v>
      </c>
      <c r="K241" s="388">
        <f t="shared" ca="1" si="28"/>
        <v>158.44916701752993</v>
      </c>
      <c r="L241" s="389">
        <f t="shared" ca="1" si="28"/>
        <v>42.426131866994353</v>
      </c>
      <c r="M241" s="390">
        <f t="shared" ca="1" si="28"/>
        <v>24.039478223237751</v>
      </c>
      <c r="N241" s="448">
        <f ca="1">SUM(K241:M241)/SUM(K216:M216)</f>
        <v>0.26627702823993699</v>
      </c>
      <c r="P241" s="388">
        <f t="shared" ca="1" si="29"/>
        <v>38.909633988671771</v>
      </c>
      <c r="Q241" s="389">
        <f t="shared" ca="1" si="29"/>
        <v>3.5774960537576987</v>
      </c>
      <c r="R241" s="390">
        <f t="shared" ca="1" si="29"/>
        <v>2.1896132582177188</v>
      </c>
      <c r="S241" s="448">
        <f ca="1">SUM(P241:R241)/SUM(P216:R216)</f>
        <v>4.5506211237331291E-2</v>
      </c>
      <c r="U241" s="388">
        <f t="shared" ca="1" si="30"/>
        <v>18.003069450747603</v>
      </c>
      <c r="V241" s="389">
        <f t="shared" ca="1" si="30"/>
        <v>7.1722446572735521</v>
      </c>
      <c r="W241" s="390">
        <f t="shared" ca="1" si="30"/>
        <v>2.9283980240936813</v>
      </c>
      <c r="X241" s="448">
        <f ca="1">SUM(U241:W241)/SUM(U216:W216)</f>
        <v>3.0045125446952755E-2</v>
      </c>
      <c r="Z241" s="3"/>
      <c r="AA241" s="3"/>
    </row>
    <row r="242" spans="1:38" ht="13.8" thickBot="1" x14ac:dyDescent="0.3">
      <c r="A242" s="448">
        <f ca="1">SUM(A239:A241)/SUM(A214:A216)</f>
        <v>0.11519799880492583</v>
      </c>
      <c r="B242" s="448">
        <f ca="1">SUM(B239:B241)/SUM(B214:B216)</f>
        <v>0.11593332696876209</v>
      </c>
      <c r="C242" s="448">
        <f ca="1">SUM(C239:C241)/SUM(C214:C216)</f>
        <v>0.11315775372347189</v>
      </c>
      <c r="D242" s="2"/>
      <c r="F242" s="448">
        <f ca="1">SUM(F239:F241)/SUM(F214:F216)</f>
        <v>0.14619262873122185</v>
      </c>
      <c r="G242" s="448">
        <f ca="1">SUM(G239:G241)/SUM(G214:G216)</f>
        <v>0.11629760225580002</v>
      </c>
      <c r="H242" s="448">
        <f ca="1">SUM(H239:H241)/SUM(H214:H216)</f>
        <v>0.12184590169568883</v>
      </c>
      <c r="I242" s="2"/>
      <c r="K242" s="448">
        <f ca="1">SUM(K239:K241)/SUM(K214:K216)</f>
        <v>0.15929049660241079</v>
      </c>
      <c r="L242" s="448">
        <f ca="1">SUM(L239:L241)/SUM(L214:L216)</f>
        <v>0.13167768611247541</v>
      </c>
      <c r="M242" s="448">
        <f ca="1">SUM(M239:M241)/SUM(M214:M216)</f>
        <v>0.13703558134525909</v>
      </c>
      <c r="N242" s="2"/>
      <c r="P242" s="448">
        <f ca="1">SUM(P239:P241)/SUM(P214:P216)</f>
        <v>6.3897553802268983E-2</v>
      </c>
      <c r="Q242" s="448">
        <f ca="1">SUM(Q239:Q241)/SUM(Q214:Q216)</f>
        <v>1.6083730283704193E-2</v>
      </c>
      <c r="R242" s="448">
        <f ca="1">SUM(R239:R241)/SUM(R214:R216)</f>
        <v>0.19360256334079917</v>
      </c>
      <c r="S242" s="2"/>
      <c r="U242" s="448">
        <f ca="1">SUM(U239:U241)/SUM(U214:U216)</f>
        <v>0.12297655470523337</v>
      </c>
      <c r="V242" s="448">
        <f ca="1">SUM(V239:V241)/SUM(V214:V216)</f>
        <v>0.1346045825284406</v>
      </c>
      <c r="W242" s="448">
        <f ca="1">SUM(W239:W241)/SUM(W214:W216)</f>
        <v>0.13002283791991298</v>
      </c>
      <c r="X242" s="2"/>
      <c r="Z242" s="3"/>
      <c r="AA242" s="3"/>
    </row>
    <row r="243" spans="1:38" x14ac:dyDescent="0.25">
      <c r="A243" s="1100" t="str">
        <f>Lang!$A$74</f>
        <v>Prices</v>
      </c>
      <c r="B243" s="1101"/>
      <c r="C243" s="1102"/>
      <c r="D243" s="2"/>
      <c r="F243" s="1100" t="str">
        <f>A243</f>
        <v>Prices</v>
      </c>
      <c r="G243" s="1101"/>
      <c r="H243" s="1102"/>
      <c r="I243" s="2"/>
      <c r="K243" s="1100" t="str">
        <f>A243</f>
        <v>Prices</v>
      </c>
      <c r="L243" s="1101"/>
      <c r="M243" s="1102"/>
      <c r="N243" s="2"/>
      <c r="P243" s="1100" t="str">
        <f>A243</f>
        <v>Prices</v>
      </c>
      <c r="Q243" s="1101"/>
      <c r="R243" s="1102"/>
      <c r="S243" s="2"/>
      <c r="U243" s="1100" t="str">
        <f>A243</f>
        <v>Prices</v>
      </c>
      <c r="V243" s="1101"/>
      <c r="W243" s="1102"/>
      <c r="X243" s="2"/>
      <c r="Z243" s="3"/>
      <c r="AA243" s="3"/>
    </row>
    <row r="244" spans="1:38" x14ac:dyDescent="0.25">
      <c r="A244" s="409">
        <v>335</v>
      </c>
      <c r="B244" s="410">
        <v>500</v>
      </c>
      <c r="C244" s="411">
        <v>710</v>
      </c>
      <c r="D244" s="448">
        <f>AVERAGE(A244:C244)/AVERAGE(A47:C47)-1</f>
        <v>1.980198019801982E-2</v>
      </c>
      <c r="F244" s="409">
        <v>330</v>
      </c>
      <c r="G244" s="410">
        <v>495</v>
      </c>
      <c r="H244" s="411">
        <v>705</v>
      </c>
      <c r="I244" s="448">
        <f>AVERAGE(F244:H244)/AVERAGE(F47:H47)-1</f>
        <v>8.6645319269165189E-3</v>
      </c>
      <c r="K244" s="409">
        <v>330</v>
      </c>
      <c r="L244" s="410">
        <v>492</v>
      </c>
      <c r="M244" s="411">
        <v>712</v>
      </c>
      <c r="N244" s="448">
        <f>AVERAGE(K244:M244)/AVERAGE(K47:M47)-1</f>
        <v>1.1587376354215584E-2</v>
      </c>
      <c r="P244" s="409">
        <v>335</v>
      </c>
      <c r="Q244" s="410">
        <v>492</v>
      </c>
      <c r="R244" s="411">
        <v>712</v>
      </c>
      <c r="S244" s="448">
        <f>AVERAGE(P244:R244)/AVERAGE(P47:R47)-1</f>
        <v>5.5725828921704412E-4</v>
      </c>
      <c r="U244" s="409">
        <v>330</v>
      </c>
      <c r="V244" s="410">
        <v>488</v>
      </c>
      <c r="W244" s="411">
        <v>708</v>
      </c>
      <c r="X244" s="448" t="e">
        <f>AVERAGE(U244:W244)/AVERAGE(U47:W47)-1</f>
        <v>#DIV/0!</v>
      </c>
      <c r="Z244" s="3"/>
      <c r="AA244" s="3"/>
    </row>
    <row r="245" spans="1:38" x14ac:dyDescent="0.25">
      <c r="A245" s="409">
        <v>335</v>
      </c>
      <c r="B245" s="410">
        <v>500</v>
      </c>
      <c r="C245" s="411">
        <v>725</v>
      </c>
      <c r="D245" s="448">
        <f>AVERAGE(A245:C245)/AVERAGE(A48:C48)-1</f>
        <v>6.4516129032259339E-3</v>
      </c>
      <c r="F245" s="409">
        <v>335</v>
      </c>
      <c r="G245" s="410">
        <v>495</v>
      </c>
      <c r="H245" s="411">
        <v>725</v>
      </c>
      <c r="I245" s="448">
        <f>AVERAGE(F245:H245)/AVERAGE(F48:H48)-1</f>
        <v>6.0073937153419799E-3</v>
      </c>
      <c r="K245" s="409">
        <v>340</v>
      </c>
      <c r="L245" s="410">
        <v>500</v>
      </c>
      <c r="M245" s="411">
        <v>735</v>
      </c>
      <c r="N245" s="448">
        <f>AVERAGE(K245:M245)/AVERAGE(K48:M48)-1</f>
        <v>1.2396694214876103E-2</v>
      </c>
      <c r="P245" s="409">
        <v>345</v>
      </c>
      <c r="Q245" s="410">
        <v>500</v>
      </c>
      <c r="R245" s="411">
        <v>700</v>
      </c>
      <c r="S245" s="448">
        <f>AVERAGE(P245:R245)/AVERAGE(P48:R48)-1</f>
        <v>-1.4219305441618868E-2</v>
      </c>
      <c r="U245" s="409">
        <v>340</v>
      </c>
      <c r="V245" s="410">
        <v>490</v>
      </c>
      <c r="W245" s="411">
        <v>705</v>
      </c>
      <c r="X245" s="448" t="e">
        <f>AVERAGE(U245:W245)/AVERAGE(U48:W48)-1</f>
        <v>#DIV/0!</v>
      </c>
      <c r="Z245" s="3"/>
      <c r="AA245" s="3"/>
    </row>
    <row r="246" spans="1:38" ht="13.8" thickBot="1" x14ac:dyDescent="0.3">
      <c r="A246" s="412">
        <v>375</v>
      </c>
      <c r="B246" s="413">
        <v>600</v>
      </c>
      <c r="C246" s="414">
        <v>850</v>
      </c>
      <c r="D246" s="448">
        <f>AVERAGE(A246:C246)/AVERAGE(A49:C49)-1</f>
        <v>5.5096418732782926E-3</v>
      </c>
      <c r="F246" s="412">
        <v>375</v>
      </c>
      <c r="G246" s="413">
        <v>595</v>
      </c>
      <c r="H246" s="414">
        <v>850</v>
      </c>
      <c r="I246" s="448">
        <f>AVERAGE(F246:H246)/AVERAGE(F49:H49)-1</f>
        <v>2.0016012810248229E-2</v>
      </c>
      <c r="K246" s="412">
        <v>376</v>
      </c>
      <c r="L246" s="413">
        <v>595</v>
      </c>
      <c r="M246" s="414">
        <v>855</v>
      </c>
      <c r="N246" s="448">
        <f>AVERAGE(K246:M246)/AVERAGE(K49:M49)-1</f>
        <v>3.3724221593206538E-2</v>
      </c>
      <c r="P246" s="412">
        <v>380</v>
      </c>
      <c r="Q246" s="413">
        <v>600</v>
      </c>
      <c r="R246" s="414">
        <v>855</v>
      </c>
      <c r="S246" s="448">
        <f>AVERAGE(P246:R246)/AVERAGE(P49:R49)-1</f>
        <v>3.4552190721649279E-2</v>
      </c>
      <c r="U246" s="412">
        <v>378</v>
      </c>
      <c r="V246" s="413">
        <v>598</v>
      </c>
      <c r="W246" s="414">
        <v>850</v>
      </c>
      <c r="X246" s="448" t="e">
        <f>AVERAGE(U246:W246)/AVERAGE(U49:W49)-1</f>
        <v>#DIV/0!</v>
      </c>
      <c r="Z246" s="3"/>
      <c r="AA246" s="3"/>
    </row>
    <row r="247" spans="1:38" ht="13.8" thickBot="1" x14ac:dyDescent="0.3">
      <c r="A247" s="448">
        <f>AVERAGE(A244:A246)/AVERAGE(A47:A49)-1</f>
        <v>9.6618357487923134E-3</v>
      </c>
      <c r="B247" s="448">
        <f>AVERAGE(B244:B246)/AVERAGE(B47:B49)-1</f>
        <v>1.9108280254777066E-2</v>
      </c>
      <c r="C247" s="448">
        <f>AVERAGE(C244:C246)/AVERAGE(C47:C49)-1</f>
        <v>4.39560439560438E-3</v>
      </c>
      <c r="D247" s="2"/>
      <c r="F247" s="448">
        <f>AVERAGE(F244:F246)/AVERAGE(F47:F49)-1</f>
        <v>1.2095092450993938E-2</v>
      </c>
      <c r="G247" s="448">
        <f>AVERAGE(G244:G246)/AVERAGE(G47:G49)-1</f>
        <v>1.2317518248175174E-2</v>
      </c>
      <c r="H247" s="448">
        <f>AVERAGE(H244:H246)/AVERAGE(H47:H49)-1</f>
        <v>1.1727416798732238E-2</v>
      </c>
      <c r="I247" s="2"/>
      <c r="K247" s="448">
        <f>AVERAGE(K244:K246)/AVERAGE(K47:K49)-1</f>
        <v>1.977715877437336E-2</v>
      </c>
      <c r="L247" s="448">
        <f>AVERAGE(L244:L246)/AVERAGE(L47:L49)-1</f>
        <v>4.4303797468354666E-3</v>
      </c>
      <c r="M247" s="448">
        <f>AVERAGE(M244:M246)/AVERAGE(M47:M49)-1</f>
        <v>3.0966090850927719E-2</v>
      </c>
      <c r="N247" s="2"/>
      <c r="P247" s="448">
        <f>AVERAGE(P244:P246)/AVERAGE(P47:P49)-1</f>
        <v>1.9230769230769162E-2</v>
      </c>
      <c r="Q247" s="448">
        <f>AVERAGE(Q244:Q246)/AVERAGE(Q47:Q49)-1</f>
        <v>7.5038423289033318E-3</v>
      </c>
      <c r="R247" s="448">
        <f>AVERAGE(R244:R246)/AVERAGE(R47:R49)-1</f>
        <v>3.5413899955731853E-3</v>
      </c>
      <c r="S247" s="2"/>
      <c r="U247" s="448" t="e">
        <f>AVERAGE(U244:U246)/AVERAGE(U47:U49)-1</f>
        <v>#DIV/0!</v>
      </c>
      <c r="V247" s="448" t="e">
        <f>AVERAGE(V244:V246)/AVERAGE(V47:V49)-1</f>
        <v>#DIV/0!</v>
      </c>
      <c r="W247" s="448" t="e">
        <f>AVERAGE(W244:W246)/AVERAGE(W47:W49)-1</f>
        <v>#DIV/0!</v>
      </c>
      <c r="X247" s="2"/>
      <c r="Z247" s="3"/>
      <c r="AA247" s="3"/>
    </row>
    <row r="248" spans="1:38" x14ac:dyDescent="0.25">
      <c r="A248" s="1109" t="str">
        <f>Lang!$A$88</f>
        <v>Prices previous quarter</v>
      </c>
      <c r="B248" s="1110"/>
      <c r="C248" s="1111"/>
      <c r="D248" s="2"/>
      <c r="F248" s="1131" t="str">
        <f>A248</f>
        <v>Prices previous quarter</v>
      </c>
      <c r="G248" s="1139"/>
      <c r="H248" s="1140"/>
      <c r="I248" s="2"/>
      <c r="K248" s="1131" t="str">
        <f>A248</f>
        <v>Prices previous quarter</v>
      </c>
      <c r="L248" s="1139"/>
      <c r="M248" s="1140"/>
      <c r="N248" s="2"/>
      <c r="P248" s="1131" t="str">
        <f>A248</f>
        <v>Prices previous quarter</v>
      </c>
      <c r="Q248" s="1139"/>
      <c r="R248" s="1140"/>
      <c r="S248" s="2"/>
      <c r="U248" s="1131" t="str">
        <f>A248</f>
        <v>Prices previous quarter</v>
      </c>
      <c r="V248" s="1139"/>
      <c r="W248" s="1140"/>
      <c r="X248" s="2"/>
      <c r="Z248" s="3"/>
      <c r="AA248" s="3"/>
    </row>
    <row r="249" spans="1:38" x14ac:dyDescent="0.25">
      <c r="A249" s="415">
        <f>'51'!F19</f>
        <v>325</v>
      </c>
      <c r="B249" s="416">
        <f>'51'!H19</f>
        <v>490</v>
      </c>
      <c r="C249" s="417">
        <f>'51'!J19</f>
        <v>700</v>
      </c>
      <c r="D249" s="2"/>
      <c r="F249" s="421">
        <f>A244</f>
        <v>335</v>
      </c>
      <c r="G249" s="422">
        <f t="shared" ref="G249:H251" si="31">B244</f>
        <v>500</v>
      </c>
      <c r="H249" s="423">
        <f t="shared" si="31"/>
        <v>710</v>
      </c>
      <c r="I249" s="2"/>
      <c r="K249" s="421">
        <f>F244</f>
        <v>330</v>
      </c>
      <c r="L249" s="422">
        <f t="shared" ref="L249:M251" si="32">G244</f>
        <v>495</v>
      </c>
      <c r="M249" s="423">
        <f t="shared" si="32"/>
        <v>705</v>
      </c>
      <c r="N249" s="2"/>
      <c r="P249" s="421">
        <f>K244</f>
        <v>330</v>
      </c>
      <c r="Q249" s="422">
        <f t="shared" ref="Q249:R251" si="33">L244</f>
        <v>492</v>
      </c>
      <c r="R249" s="423">
        <f t="shared" si="33"/>
        <v>712</v>
      </c>
      <c r="S249" s="2"/>
      <c r="U249" s="421">
        <f>P244</f>
        <v>335</v>
      </c>
      <c r="V249" s="422">
        <f t="shared" ref="V249:W251" si="34">Q244</f>
        <v>492</v>
      </c>
      <c r="W249" s="423">
        <f t="shared" si="34"/>
        <v>712</v>
      </c>
      <c r="X249" s="2"/>
      <c r="Z249" s="3"/>
      <c r="AA249" s="3"/>
    </row>
    <row r="250" spans="1:38" x14ac:dyDescent="0.25">
      <c r="A250" s="415">
        <f>'51'!F20</f>
        <v>335</v>
      </c>
      <c r="B250" s="416">
        <f>'51'!H20</f>
        <v>490</v>
      </c>
      <c r="C250" s="417">
        <f>'51'!J20</f>
        <v>725</v>
      </c>
      <c r="D250" s="2"/>
      <c r="F250" s="421">
        <f>A245</f>
        <v>335</v>
      </c>
      <c r="G250" s="422">
        <f t="shared" si="31"/>
        <v>500</v>
      </c>
      <c r="H250" s="423">
        <f t="shared" si="31"/>
        <v>725</v>
      </c>
      <c r="I250" s="2"/>
      <c r="K250" s="421">
        <f>F245</f>
        <v>335</v>
      </c>
      <c r="L250" s="422">
        <f t="shared" si="32"/>
        <v>495</v>
      </c>
      <c r="M250" s="423">
        <f t="shared" si="32"/>
        <v>725</v>
      </c>
      <c r="N250" s="2"/>
      <c r="P250" s="421">
        <f>K245</f>
        <v>340</v>
      </c>
      <c r="Q250" s="422">
        <f t="shared" si="33"/>
        <v>500</v>
      </c>
      <c r="R250" s="423">
        <f t="shared" si="33"/>
        <v>735</v>
      </c>
      <c r="S250" s="2"/>
      <c r="U250" s="421">
        <f>P245</f>
        <v>345</v>
      </c>
      <c r="V250" s="422">
        <f t="shared" si="34"/>
        <v>500</v>
      </c>
      <c r="W250" s="423">
        <f t="shared" si="34"/>
        <v>700</v>
      </c>
      <c r="X250" s="2"/>
      <c r="Z250" s="3"/>
      <c r="AA250" s="3"/>
    </row>
    <row r="251" spans="1:38" ht="13.8" thickBot="1" x14ac:dyDescent="0.3">
      <c r="A251" s="418">
        <f>'51'!F21</f>
        <v>375</v>
      </c>
      <c r="B251" s="419">
        <f>'51'!H21</f>
        <v>590</v>
      </c>
      <c r="C251" s="420">
        <f>'51'!J21</f>
        <v>850</v>
      </c>
      <c r="D251" s="2"/>
      <c r="F251" s="424">
        <f>A246</f>
        <v>375</v>
      </c>
      <c r="G251" s="425">
        <f t="shared" si="31"/>
        <v>600</v>
      </c>
      <c r="H251" s="426">
        <f t="shared" si="31"/>
        <v>850</v>
      </c>
      <c r="I251" s="2"/>
      <c r="K251" s="424">
        <f>F246</f>
        <v>375</v>
      </c>
      <c r="L251" s="425">
        <f t="shared" si="32"/>
        <v>595</v>
      </c>
      <c r="M251" s="426">
        <f t="shared" si="32"/>
        <v>850</v>
      </c>
      <c r="N251" s="2"/>
      <c r="P251" s="424">
        <f>K246</f>
        <v>376</v>
      </c>
      <c r="Q251" s="425">
        <f t="shared" si="33"/>
        <v>595</v>
      </c>
      <c r="R251" s="426">
        <f t="shared" si="33"/>
        <v>855</v>
      </c>
      <c r="S251" s="2"/>
      <c r="U251" s="424">
        <f>P246</f>
        <v>380</v>
      </c>
      <c r="V251" s="425">
        <f t="shared" si="34"/>
        <v>600</v>
      </c>
      <c r="W251" s="426">
        <f t="shared" si="34"/>
        <v>855</v>
      </c>
      <c r="X251" s="2"/>
      <c r="Z251" s="3"/>
      <c r="AA251" s="3"/>
    </row>
    <row r="252" spans="1:38" x14ac:dyDescent="0.25">
      <c r="K252" s="1202">
        <f ca="1">IF(ISNUMBER($Z$307),$Z$307,0)</f>
        <v>0</v>
      </c>
      <c r="L252" s="1202"/>
      <c r="M252" s="1202"/>
      <c r="Z252" s="3"/>
      <c r="AA252" s="3"/>
    </row>
    <row r="253" spans="1:38" s="20" customFormat="1" x14ac:dyDescent="0.25">
      <c r="A253" s="20" t="str">
        <f>Lang!$A$94</f>
        <v>Decision</v>
      </c>
      <c r="B253" s="499">
        <v>1</v>
      </c>
      <c r="C253" s="20" t="str">
        <f>Lang!$A$95</f>
        <v>Quarter</v>
      </c>
      <c r="D253" s="500">
        <f>IF('51'!S9=4,1,'51'!S9+1)</f>
        <v>3</v>
      </c>
      <c r="F253" s="20" t="str">
        <f>Lang!$A$94</f>
        <v>Decision</v>
      </c>
      <c r="G253" s="499">
        <v>2</v>
      </c>
      <c r="H253" s="20" t="str">
        <f>Lang!$A$95</f>
        <v>Quarter</v>
      </c>
      <c r="I253" s="500">
        <f>IF(D253=4,1,D253+1)</f>
        <v>4</v>
      </c>
      <c r="J253" s="3"/>
      <c r="K253" s="20" t="str">
        <f>Lang!$A$94</f>
        <v>Decision</v>
      </c>
      <c r="L253" s="499">
        <v>3</v>
      </c>
      <c r="M253" s="20" t="str">
        <f>Lang!$A$95</f>
        <v>Quarter</v>
      </c>
      <c r="N253" s="500">
        <f>IF(I253=4,1,I253+1)</f>
        <v>1</v>
      </c>
      <c r="P253" s="20" t="str">
        <f>Lang!$A$94</f>
        <v>Decision</v>
      </c>
      <c r="Q253" s="499">
        <v>4</v>
      </c>
      <c r="R253" s="20" t="str">
        <f>Lang!$A$95</f>
        <v>Quarter</v>
      </c>
      <c r="S253" s="500">
        <f>IF(N253=4,1,N253+1)</f>
        <v>2</v>
      </c>
      <c r="U253" s="20" t="str">
        <f>Lang!$A$94</f>
        <v>Decision</v>
      </c>
      <c r="V253" s="499">
        <v>5</v>
      </c>
      <c r="W253" s="20" t="str">
        <f>Lang!$A$95</f>
        <v>Quarter</v>
      </c>
      <c r="X253" s="500">
        <f>IF(S253=4,1,S253+1)</f>
        <v>3</v>
      </c>
      <c r="Z253" s="3"/>
      <c r="AA253" s="3"/>
      <c r="AB253" s="3"/>
      <c r="AC253" s="3"/>
      <c r="AD253" s="3"/>
    </row>
    <row r="254" spans="1:38" s="20" customFormat="1" x14ac:dyDescent="0.25">
      <c r="AD254" s="3"/>
      <c r="AE254" s="3"/>
      <c r="AF254" s="3"/>
      <c r="AJ254" s="3"/>
      <c r="AK254" s="3"/>
      <c r="AL254" s="3"/>
    </row>
    <row r="255" spans="1:38" s="20" customFormat="1" x14ac:dyDescent="0.25">
      <c r="A255" s="327" t="str">
        <f>Lang!$A$96</f>
        <v>ADMINISTRATIVE EXPENSES</v>
      </c>
      <c r="B255" s="501"/>
      <c r="C255" s="501"/>
      <c r="D255" s="501"/>
      <c r="F255" s="501" t="str">
        <f>Lang!$A$96</f>
        <v>ADMINISTRATIVE EXPENSES</v>
      </c>
      <c r="G255" s="501"/>
      <c r="H255" s="501"/>
      <c r="I255" s="501"/>
      <c r="K255" s="501" t="str">
        <f>Lang!$A$96</f>
        <v>ADMINISTRATIVE EXPENSES</v>
      </c>
      <c r="L255" s="501"/>
      <c r="M255" s="501"/>
      <c r="N255" s="501"/>
      <c r="P255" s="501" t="str">
        <f>Lang!$A$96</f>
        <v>ADMINISTRATIVE EXPENSES</v>
      </c>
      <c r="Q255" s="501"/>
      <c r="R255" s="501"/>
      <c r="S255" s="501"/>
      <c r="U255" s="501" t="str">
        <f>Lang!$A$96</f>
        <v>ADMINISTRATIVE EXPENSES</v>
      </c>
      <c r="V255" s="501"/>
      <c r="W255" s="501"/>
      <c r="X255" s="501"/>
      <c r="AD255" s="3"/>
      <c r="AE255" s="3"/>
      <c r="AF255" s="3"/>
      <c r="AJ255" s="3"/>
      <c r="AK255" s="3"/>
      <c r="AL255" s="3"/>
    </row>
    <row r="256" spans="1:38" s="20" customFormat="1" x14ac:dyDescent="0.25">
      <c r="A256" s="20" t="str">
        <f>Lang!$A$38</f>
        <v>Advertising</v>
      </c>
      <c r="C256" s="19">
        <f>SUM(A138:D140)*1000</f>
        <v>108000</v>
      </c>
      <c r="D256" s="810">
        <f>'1'!$C55</f>
        <v>93000</v>
      </c>
      <c r="F256" s="20" t="str">
        <f>Lang!$A$38</f>
        <v>Advertising</v>
      </c>
      <c r="H256" s="19">
        <f>SUM(F138:I140)*1000</f>
        <v>113000</v>
      </c>
      <c r="I256" s="891">
        <f>'2'!$C55</f>
        <v>107000</v>
      </c>
      <c r="K256" s="20" t="str">
        <f>Lang!$A$38</f>
        <v>Advertising</v>
      </c>
      <c r="M256" s="19">
        <f>SUM(K138:N140)*1000</f>
        <v>105000</v>
      </c>
      <c r="N256" s="891">
        <f>'3'!$C55</f>
        <v>113000</v>
      </c>
      <c r="P256" s="20" t="str">
        <f>Lang!$A$38</f>
        <v>Advertising</v>
      </c>
      <c r="R256" s="19">
        <f>SUM(P138:S140)*1000</f>
        <v>99000</v>
      </c>
      <c r="S256" s="891">
        <f>'4'!$C55</f>
        <v>162000</v>
      </c>
      <c r="U256" s="20" t="str">
        <f>Lang!$A$38</f>
        <v>Advertising</v>
      </c>
      <c r="W256" s="19">
        <f>SUM(U138:X140)*1000</f>
        <v>106000</v>
      </c>
      <c r="X256" s="810">
        <f>'5'!$C55</f>
        <v>106000</v>
      </c>
      <c r="Z256" s="801">
        <f t="shared" ref="Z256:Z270" si="35">C256+H256+M256+R256+W256</f>
        <v>531000</v>
      </c>
      <c r="AA256" s="801"/>
      <c r="AB256" s="801"/>
    </row>
    <row r="257" spans="1:28" s="20" customFormat="1" x14ac:dyDescent="0.25">
      <c r="A257" s="20" t="str">
        <f>Lang!$A$47</f>
        <v>Internet distributor</v>
      </c>
      <c r="C257" s="19">
        <f ca="1">(A221*A246+B221*B246+C221*C246)*D130+C130*1000</f>
        <v>38429.274654026973</v>
      </c>
      <c r="D257" s="810">
        <f ca="1">'1'!$C56</f>
        <v>46019.941069503562</v>
      </c>
      <c r="F257" s="20" t="str">
        <f>Lang!$A$47</f>
        <v>Internet distributor</v>
      </c>
      <c r="H257" s="19">
        <f ca="1">(F221*F246+G221*G246+H221*H246)*I130+H130*1000</f>
        <v>34987.307642955944</v>
      </c>
      <c r="I257" s="891">
        <f ca="1">'2'!$C56</f>
        <v>55770.9</v>
      </c>
      <c r="K257" s="20" t="str">
        <f>Lang!$A$47</f>
        <v>Internet distributor</v>
      </c>
      <c r="M257" s="19">
        <f ca="1">(K221*K246+L221*L246+M221*M246)*N130+M130*1000</f>
        <v>34790.169262414129</v>
      </c>
      <c r="N257" s="891">
        <f ca="1">'3'!$C56</f>
        <v>78696.800000000003</v>
      </c>
      <c r="P257" s="20" t="str">
        <f>Lang!$A$47</f>
        <v>Internet distributor</v>
      </c>
      <c r="R257" s="19">
        <f ca="1">(P221*P246+Q221*Q246+R221*R246)*S130+R130*1000</f>
        <v>39156.784334976124</v>
      </c>
      <c r="S257" s="891">
        <f ca="1">'4'!$C56</f>
        <v>91779.029306530792</v>
      </c>
      <c r="U257" s="20" t="str">
        <f>Lang!$A$47</f>
        <v>Internet distributor</v>
      </c>
      <c r="W257" s="19">
        <f ca="1">(U221*U246+V221*V246+W221*W246)*X130+W130*1000</f>
        <v>37399.473004597196</v>
      </c>
      <c r="X257" s="810" t="e">
        <f ca="1">'5'!$C56</f>
        <v>#VALUE!</v>
      </c>
      <c r="Z257" s="801">
        <f ca="1">C257+H257+M257+R257+W257</f>
        <v>184763.00889897038</v>
      </c>
      <c r="AA257" s="801"/>
      <c r="AB257" s="801"/>
    </row>
    <row r="258" spans="1:28" s="20" customFormat="1" x14ac:dyDescent="0.25">
      <c r="A258" s="20" t="str">
        <f>Lang!$A$54</f>
        <v>Internet service provider</v>
      </c>
      <c r="C258" s="19">
        <f ca="1">(A221*A246+B221*B246+C221*C246)*0.03+'52'!G42*1000</f>
        <v>19214.637327013486</v>
      </c>
      <c r="D258" s="810">
        <f ca="1">'1'!$C57</f>
        <v>20437.11760121581</v>
      </c>
      <c r="F258" s="20" t="str">
        <f>Lang!$A$54</f>
        <v>Internet service provider</v>
      </c>
      <c r="H258" s="19">
        <f ca="1">(F221*F246+G221*G246+H221*H246)*0.03+C196*1000</f>
        <v>20493.653821477972</v>
      </c>
      <c r="I258" s="891">
        <f ca="1">'2'!$C57</f>
        <v>24616.1</v>
      </c>
      <c r="K258" s="20" t="str">
        <f>Lang!$A$54</f>
        <v>Internet service provider</v>
      </c>
      <c r="M258" s="19">
        <f ca="1">(K221*K246+L221*L246+M221*M246)*0.03+H196*1000</f>
        <v>20395.084631207064</v>
      </c>
      <c r="N258" s="891">
        <f ca="1">'3'!$C57</f>
        <v>31011.3</v>
      </c>
      <c r="P258" s="20" t="str">
        <f>Lang!$A$54</f>
        <v>Internet service provider</v>
      </c>
      <c r="R258" s="19">
        <f ca="1">(P221*P246+Q221*Q246+R221*R246)*0.03+M196*1000</f>
        <v>22578.392167488062</v>
      </c>
      <c r="S258" s="891">
        <f ca="1">'4'!$C57</f>
        <v>38542.135989949049</v>
      </c>
      <c r="U258" s="20" t="str">
        <f>Lang!$A$54</f>
        <v>Internet service provider</v>
      </c>
      <c r="W258" s="19">
        <f ca="1">(U221*U246+V221*V246+W221*W246)*0.03+R196*1000</f>
        <v>21699.736502298598</v>
      </c>
      <c r="X258" s="810" t="e">
        <f ca="1">'5'!$C57</f>
        <v>#VALUE!</v>
      </c>
      <c r="Z258" s="801">
        <f ca="1">C258+H258+M258+R258+W258</f>
        <v>104381.50444948519</v>
      </c>
      <c r="AA258" s="801"/>
      <c r="AB258" s="801"/>
    </row>
    <row r="259" spans="1:28" s="20" customFormat="1" x14ac:dyDescent="0.25">
      <c r="A259" s="2" t="str">
        <f>Lang!$A$58</f>
        <v>Agents and distributors</v>
      </c>
      <c r="C259" s="19">
        <f ca="1">(A214*A244+B214*B244+C214*C244)*MAX('51'!W14/100,D128)+(A220*A245+B220*B245+C220*C245)*MAX('51'!W15/100,D129)+(E128*MAX('51'!T14,C128)+E129*MAX('51'!T15,C129))*1000+((B128+B129)-(E128+E129))*7500</f>
        <v>139711.94618532673</v>
      </c>
      <c r="D259" s="810">
        <f ca="1">'1'!$C58</f>
        <v>91223.111088570004</v>
      </c>
      <c r="F259" s="2" t="str">
        <f>Lang!$A$58</f>
        <v>Agents and distributors</v>
      </c>
      <c r="H259" s="19">
        <f ca="1">(F214*F244+G214*G244+H214*H244)*MAX(D128,I128)+(F220*F245+G220*G245+H220*H245)*MAX(D129,I129)+(J128*MAX(C128,H128)+J129*MAX(C129,H129))*1000+((G128+G129)-(J128+J129))*7500</f>
        <v>182641.85561969446</v>
      </c>
      <c r="I259" s="891">
        <f ca="1">'2'!$C58</f>
        <v>136578.48000000001</v>
      </c>
      <c r="K259" s="2" t="str">
        <f>Lang!$A$58</f>
        <v>Agents and distributors</v>
      </c>
      <c r="M259" s="19">
        <f ca="1">(K214*K244+L214*L244+M214*M244)*MAX(I128,N128)+(K220*K245+L220*L245+M220*M245)*MAX(I129,N129)+(O128*MAX(H128,M128)+O129*MAX(H129,M129))*1000+((L128+L129)-(O128+O129))*7500</f>
        <v>189662.69094323087</v>
      </c>
      <c r="N259" s="891">
        <f ca="1">'3'!$C58</f>
        <v>219102.16</v>
      </c>
      <c r="P259" s="2" t="str">
        <f>Lang!$A$58</f>
        <v>Agents and distributors</v>
      </c>
      <c r="R259" s="19">
        <f ca="1">(P214*P244+Q214*Q244+R214*R244)*MAX(N128,S128)+(P220*P245+Q220*Q245+R220*R245)*MAX(N129,S129)+(T128*MAX(M128,R128)+T129*MAX(M129,R129))*1000+((Q128+Q129)-(T128+T129))*7500</f>
        <v>208159.88843310607</v>
      </c>
      <c r="S259" s="891">
        <f ca="1">'4'!$C58</f>
        <v>341887.71492040588</v>
      </c>
      <c r="U259" s="2" t="str">
        <f>Lang!$A$58</f>
        <v>Agents and distributors</v>
      </c>
      <c r="W259" s="19">
        <f ca="1">(U214*U244+V214*V244+W214*W244)*MAX(S128,X128)+(U220*U245+V220*V245+W220*W245)*MAX(S129,X129)+(Y128*MAX(R128,W128)+Y129*MAX(R129,W129))*1000+((V128+V129)-(Y128+Y129))*7500</f>
        <v>194446.60857877246</v>
      </c>
      <c r="X259" s="810" t="e">
        <f ca="1">'5'!$C58</f>
        <v>#VALUE!</v>
      </c>
      <c r="Z259" s="801">
        <f ca="1">C259+H259+M259+R259+W259</f>
        <v>914622.98976013064</v>
      </c>
      <c r="AA259" s="801"/>
      <c r="AB259" s="801"/>
    </row>
    <row r="260" spans="1:28" s="20" customFormat="1" x14ac:dyDescent="0.25">
      <c r="A260" s="20" t="str">
        <f>Lang!$A$64</f>
        <v>Sales office</v>
      </c>
      <c r="C260" s="19">
        <f ca="1">MAX(C285,C286)*0.01</f>
        <v>16046.09882696161</v>
      </c>
      <c r="D260" s="810">
        <f ca="1">'1'!$C59</f>
        <v>16298.765321006986</v>
      </c>
      <c r="F260" s="20" t="str">
        <f>Lang!$A$64</f>
        <v>Sales office</v>
      </c>
      <c r="H260" s="19">
        <f ca="1">MAX(H285,H286)*0.01</f>
        <v>19877.719364287674</v>
      </c>
      <c r="I260" s="891">
        <f ca="1">'2'!$C59</f>
        <v>18548.34</v>
      </c>
      <c r="K260" s="20" t="str">
        <f>Lang!$A$64</f>
        <v>Sales office</v>
      </c>
      <c r="M260" s="19">
        <f ca="1">MAX(M285,M286)*0.01</f>
        <v>22614.605308354654</v>
      </c>
      <c r="N260" s="891">
        <f ca="1">'3'!$C59</f>
        <v>24500.269700000004</v>
      </c>
      <c r="P260" s="20" t="str">
        <f>Lang!$A$64</f>
        <v>Sales office</v>
      </c>
      <c r="R260" s="19">
        <f ca="1">MAX(R285,R286)*0.01</f>
        <v>25928.588474991084</v>
      </c>
      <c r="S260" s="891">
        <f ca="1">'4'!$C59</f>
        <v>31862.96902836709</v>
      </c>
      <c r="U260" s="20" t="str">
        <f>Lang!$A$64</f>
        <v>Sales office</v>
      </c>
      <c r="W260" s="19">
        <f ca="1">MAX(W285,W286)*0.01</f>
        <v>22187.90153616001</v>
      </c>
      <c r="X260" s="810" t="e">
        <f ca="1">'5'!$C59</f>
        <v>#VALUE!</v>
      </c>
      <c r="Z260" s="801">
        <f ca="1">C260+H260+M260+R260+W260</f>
        <v>106654.91351075502</v>
      </c>
      <c r="AA260" s="801"/>
      <c r="AB260" s="801"/>
    </row>
    <row r="261" spans="1:28" s="20" customFormat="1" x14ac:dyDescent="0.25">
      <c r="A261" s="20" t="str">
        <f>Lang!$A$223</f>
        <v>Guarantee servicing</v>
      </c>
      <c r="C261" s="19">
        <f ca="1">B106*60+C106*150+D106*250</f>
        <v>3240</v>
      </c>
      <c r="D261" s="810">
        <f ca="1">'1'!$C60</f>
        <v>3240</v>
      </c>
      <c r="F261" s="20" t="str">
        <f>Lang!$A$223</f>
        <v>Guarantee servicing</v>
      </c>
      <c r="H261" s="19">
        <f ca="1">G106*60+H106*150+I106*250</f>
        <v>5262</v>
      </c>
      <c r="I261" s="891">
        <f ca="1">'2'!$C60</f>
        <v>5262</v>
      </c>
      <c r="K261" s="20" t="str">
        <f>Lang!$A$223</f>
        <v>Guarantee servicing</v>
      </c>
      <c r="M261" s="19">
        <f ca="1">L106*60+M106*150+N106*250</f>
        <v>7448</v>
      </c>
      <c r="N261" s="891">
        <f ca="1">'3'!$C60</f>
        <v>7448</v>
      </c>
      <c r="P261" s="20" t="str">
        <f>Lang!$A$223</f>
        <v>Guarantee servicing</v>
      </c>
      <c r="R261" s="19">
        <f ca="1">Q106*60+R106*150+S106*250</f>
        <v>9822</v>
      </c>
      <c r="S261" s="891">
        <f ca="1">'4'!$C60</f>
        <v>9822</v>
      </c>
      <c r="U261" s="20" t="str">
        <f>Lang!$A$223</f>
        <v>Guarantee servicing</v>
      </c>
      <c r="W261" s="19">
        <f ca="1">V106*60+W106*150+X106*250</f>
        <v>8964</v>
      </c>
      <c r="X261" s="810">
        <f ca="1">'5'!$C60</f>
        <v>8964</v>
      </c>
      <c r="Z261" s="801">
        <f ca="1">C261+H261+M261+R261+W261</f>
        <v>34736</v>
      </c>
      <c r="AA261" s="801"/>
      <c r="AB261" s="801"/>
    </row>
    <row r="262" spans="1:28" s="20" customFormat="1" x14ac:dyDescent="0.25">
      <c r="A262" s="20" t="str">
        <f>Lang!$A$294</f>
        <v>Product development</v>
      </c>
      <c r="C262" s="19">
        <f ca="1">SUM(B119:D119)*1000</f>
        <v>57000</v>
      </c>
      <c r="D262" s="810">
        <f ca="1">'1'!$C61</f>
        <v>57000</v>
      </c>
      <c r="F262" s="20" t="str">
        <f>Lang!$A$294</f>
        <v>Product development</v>
      </c>
      <c r="H262" s="19">
        <f ca="1">SUM(G119:I119)*1000</f>
        <v>78000</v>
      </c>
      <c r="I262" s="891">
        <f ca="1">'2'!$C61</f>
        <v>78000</v>
      </c>
      <c r="K262" s="20" t="str">
        <f>Lang!$A$294</f>
        <v>Product development</v>
      </c>
      <c r="M262" s="19">
        <f ca="1">SUM(L119:N119)*1000</f>
        <v>110000</v>
      </c>
      <c r="N262" s="891">
        <f ca="1">'3'!$C61</f>
        <v>110000</v>
      </c>
      <c r="P262" s="20" t="str">
        <f>Lang!$A$294</f>
        <v>Product development</v>
      </c>
      <c r="R262" s="19">
        <f ca="1">SUM(Q119:S119)*1000</f>
        <v>60000</v>
      </c>
      <c r="S262" s="891">
        <f ca="1">'4'!$C61</f>
        <v>60000</v>
      </c>
      <c r="U262" s="20" t="str">
        <f>Lang!$A$294</f>
        <v>Product development</v>
      </c>
      <c r="W262" s="19">
        <f ca="1">SUM(V119:X119)*1000</f>
        <v>52000</v>
      </c>
      <c r="X262" s="810">
        <f ca="1">'5'!$C61</f>
        <v>52000</v>
      </c>
      <c r="Z262" s="801">
        <f t="shared" ca="1" si="35"/>
        <v>357000</v>
      </c>
      <c r="AA262" s="801"/>
      <c r="AB262" s="801"/>
    </row>
    <row r="263" spans="1:28" s="20" customFormat="1" x14ac:dyDescent="0.25">
      <c r="A263" s="20" t="str">
        <f>Lang!$A$75</f>
        <v>Web-site development</v>
      </c>
      <c r="C263" s="19">
        <f>C197*1000</f>
        <v>16000</v>
      </c>
      <c r="D263" s="810">
        <f>'1'!$C62</f>
        <v>17000</v>
      </c>
      <c r="F263" s="20" t="str">
        <f>Lang!$A$75</f>
        <v>Web-site development</v>
      </c>
      <c r="H263" s="19">
        <f>H197*1000</f>
        <v>16000</v>
      </c>
      <c r="I263" s="891">
        <f>'2'!$C62</f>
        <v>15000</v>
      </c>
      <c r="K263" s="20" t="str">
        <f>Lang!$A$75</f>
        <v>Web-site development</v>
      </c>
      <c r="M263" s="19">
        <f>M197*1000</f>
        <v>16000</v>
      </c>
      <c r="N263" s="891">
        <f>'3'!$C62</f>
        <v>18000</v>
      </c>
      <c r="P263" s="20" t="str">
        <f>Lang!$A$75</f>
        <v>Web-site development</v>
      </c>
      <c r="R263" s="19">
        <f>R197*1000</f>
        <v>16000</v>
      </c>
      <c r="S263" s="891">
        <f>'4'!$C62</f>
        <v>27000</v>
      </c>
      <c r="U263" s="20" t="str">
        <f>Lang!$A$75</f>
        <v>Web-site development</v>
      </c>
      <c r="W263" s="19">
        <f>W197*1000</f>
        <v>16000</v>
      </c>
      <c r="X263" s="810">
        <f>'5'!$C62</f>
        <v>30000</v>
      </c>
      <c r="Z263" s="801">
        <f t="shared" si="35"/>
        <v>80000</v>
      </c>
      <c r="AA263" s="801"/>
      <c r="AB263" s="801"/>
    </row>
    <row r="264" spans="1:28" s="20" customFormat="1" x14ac:dyDescent="0.25">
      <c r="A264" s="20" t="str">
        <f>Lang!$A$106</f>
        <v>Personnel department</v>
      </c>
      <c r="C264" s="19">
        <f>C172*2000+C173*8500+C174*1000+D175*2000+IF(C176&gt;0,C176*1000)</f>
        <v>17500</v>
      </c>
      <c r="D264" s="810">
        <f>'1'!$C63</f>
        <v>14000</v>
      </c>
      <c r="F264" s="20" t="str">
        <f>Lang!$A$106</f>
        <v>Personnel department</v>
      </c>
      <c r="H264" s="19">
        <f ca="1">H172*2000+H173*8500+H174*1000+I175*2000+IF(H176&gt;0,H176*1000)</f>
        <v>27000</v>
      </c>
      <c r="I264" s="891">
        <f>'2'!$C63</f>
        <v>106500</v>
      </c>
      <c r="K264" s="20" t="str">
        <f>Lang!$A$106</f>
        <v>Personnel department</v>
      </c>
      <c r="M264" s="19">
        <f ca="1">M172*2000+M173*8500+M174*1000+N175*2000+IF(M176&gt;0,M176*1000)</f>
        <v>4000</v>
      </c>
      <c r="N264" s="891">
        <f>'3'!$C63</f>
        <v>61500</v>
      </c>
      <c r="P264" s="20" t="str">
        <f>Lang!$A$106</f>
        <v>Personnel department</v>
      </c>
      <c r="R264" s="19">
        <f ca="1">R172*2000+R173*8500+R174*1000+S175*2000+IF(R176&gt;0,R176*1000)</f>
        <v>7000</v>
      </c>
      <c r="S264" s="891">
        <f>'4'!$C63</f>
        <v>63500</v>
      </c>
      <c r="U264" s="20" t="str">
        <f>Lang!$A$106</f>
        <v>Personnel department</v>
      </c>
      <c r="W264" s="19">
        <f ca="1">W172*2000+W173*8500+W174*1000+X175*2000+IF(W176&gt;0,W176*1000)</f>
        <v>18000</v>
      </c>
      <c r="X264" s="810">
        <f>'5'!$C63</f>
        <v>24000</v>
      </c>
      <c r="Z264" s="801">
        <f ca="1">C264+H264+M264+R264+W264</f>
        <v>73500</v>
      </c>
      <c r="AA264" s="801"/>
      <c r="AB264" s="801"/>
    </row>
    <row r="265" spans="1:28" s="20" customFormat="1" x14ac:dyDescent="0.25">
      <c r="A265" s="20" t="str">
        <f>Lang!$A$224</f>
        <v>Machine maintenance</v>
      </c>
      <c r="C265" s="19">
        <f ca="1">85*C163*C158+IF(C157&gt;C163*C158,175*(C157-C163*C158),0)</f>
        <v>7480</v>
      </c>
      <c r="D265" s="549">
        <f ca="1">'1'!$C64</f>
        <v>6800</v>
      </c>
      <c r="F265" s="20" t="str">
        <f>Lang!$A$224</f>
        <v>Machine maintenance</v>
      </c>
      <c r="H265" s="19">
        <f ca="1">85*H163*H158+IF(H157&gt;H163*H158,175*(H157-H163*H158),0)</f>
        <v>8500</v>
      </c>
      <c r="I265" s="549">
        <f ca="1">'2'!$C64</f>
        <v>10625</v>
      </c>
      <c r="K265" s="20" t="str">
        <f>Lang!$A$224</f>
        <v>Machine maintenance</v>
      </c>
      <c r="M265" s="19">
        <f ca="1">85*M163*M158+IF(M157&gt;M163*M158,175*(M157-M163*M158),0)</f>
        <v>10625</v>
      </c>
      <c r="N265" s="549">
        <f ca="1">'3'!$C64</f>
        <v>10625</v>
      </c>
      <c r="P265" s="20" t="str">
        <f>Lang!$A$224</f>
        <v>Machine maintenance</v>
      </c>
      <c r="R265" s="19">
        <f ca="1">85*R163*R158+IF(R157&gt;R163*R158,175*(R157-R163*R158),0)</f>
        <v>10625</v>
      </c>
      <c r="S265" s="549">
        <f ca="1">'4'!$C64</f>
        <v>17000</v>
      </c>
      <c r="U265" s="20" t="str">
        <f>Lang!$A$224</f>
        <v>Machine maintenance</v>
      </c>
      <c r="W265" s="19">
        <f ca="1">85*W163*W158+IF(W157&gt;W163*W158,175*(W157-W163*W158),0)</f>
        <v>14875</v>
      </c>
      <c r="X265" s="549">
        <f ca="1">'5'!$C64</f>
        <v>8575</v>
      </c>
      <c r="Z265" s="801">
        <f t="shared" ca="1" si="35"/>
        <v>52105</v>
      </c>
      <c r="AA265" s="801"/>
      <c r="AB265" s="801"/>
    </row>
    <row r="266" spans="1:28" s="20" customFormat="1" x14ac:dyDescent="0.25">
      <c r="A266" s="2" t="str">
        <f>Lang!$A$107</f>
        <v xml:space="preserve">Purchasing and warehousing </v>
      </c>
      <c r="B266" s="2"/>
      <c r="C266" s="19">
        <f ca="1">7500+(SUMIF(A239:C239,"&gt;0")+SUM(A204:C204))*3.5/2+(SUMIF(A240:C240,"&gt;0")+SUM(A205:C205))*4*C190/2+(SUMIF(A241:C241,"&gt;0")+SUM(A206:C206))*3.5/2+IF((E107+E109)&lt;0,(E107+E109)*-3,0)</f>
        <v>8575.6970854545998</v>
      </c>
      <c r="D266" s="810">
        <f ca="1">'1'!$C65</f>
        <v>8562.1799418700703</v>
      </c>
      <c r="F266" s="2" t="str">
        <f>Lang!$A$107</f>
        <v xml:space="preserve">Purchasing and warehousing </v>
      </c>
      <c r="G266" s="2"/>
      <c r="H266" s="19">
        <f ca="1">7500+(SUMIF(F239:H239,"&gt;0")+SUM(F204:H204))*3.5/2+(SUMIF(F240:H240,"&gt;0")+SUM(F205:H205))*4*H190/2+(SUMIF(F241:H241,"&gt;0")+SUM(F206:H206))*3.5/2+IF((J107+J109)&lt;0,(J107+J109)*-3,0)</f>
        <v>9222.3964754352874</v>
      </c>
      <c r="I266" s="891">
        <f ca="1">'2'!$C65</f>
        <v>8325.66</v>
      </c>
      <c r="K266" s="2" t="str">
        <f>Lang!$A$107</f>
        <v xml:space="preserve">Purchasing and warehousing </v>
      </c>
      <c r="L266" s="2"/>
      <c r="M266" s="19">
        <f ca="1">7500+(SUMIF(K239:M239,"&gt;0")+SUM(K204:M204))*3.5/2+(SUMIF(K240:M240,"&gt;0")+SUM(K205:M205))*4*M190/2+(SUMIF(K241:M241,"&gt;0")+SUM(K206:M206))*3.5/2+IF((O107+O109)&lt;0,(O107+O109)*-3,0)</f>
        <v>9786.23455888223</v>
      </c>
      <c r="N266" s="891">
        <f ca="1">'3'!$C65</f>
        <v>7888.2</v>
      </c>
      <c r="P266" s="2" t="str">
        <f>Lang!$A$107</f>
        <v xml:space="preserve">Purchasing and warehousing </v>
      </c>
      <c r="Q266" s="2"/>
      <c r="R266" s="19">
        <f ca="1">7500+(SUMIF(P239:R239,"&gt;0")+SUM(P204:R204))*3.5/2+(SUMIF(P240:R240,"&gt;0")+SUM(P205:R205))*4*R190/2+(SUMIF(P241:R241,"&gt;0")+SUM(P206:R206))*3.5/2+IF((T107+T109)&lt;0,(T107+T109)*-3,0)</f>
        <v>9423.7357971094898</v>
      </c>
      <c r="S266" s="891">
        <f ca="1">'4'!$C65</f>
        <v>10857.117249956924</v>
      </c>
      <c r="U266" s="2" t="str">
        <f>Lang!$A$107</f>
        <v xml:space="preserve">Purchasing and warehousing </v>
      </c>
      <c r="V266" s="2"/>
      <c r="W266" s="19">
        <f ca="1">7500+(SUMIF(U239:W239,"&gt;0")+SUM(U204:W204))*3.5/2+(SUMIF(U240:W240,"&gt;0")+SUM(U205:W205))*4*W190/2+(SUMIF(U241:W241,"&gt;0")+SUM(U206:W206))*3.5/2+IF((Y107+Y109)&lt;0,(Y107+Y109)*-3,0)</f>
        <v>9350.334069223034</v>
      </c>
      <c r="X266" s="810" t="e">
        <f ca="1">'5'!$C65</f>
        <v>#VALUE!</v>
      </c>
      <c r="Z266" s="801">
        <f ca="1">C266+H266+M266+R266+W266</f>
        <v>46358.397986104639</v>
      </c>
      <c r="AA266" s="801"/>
      <c r="AB266" s="801"/>
    </row>
    <row r="267" spans="1:28" s="20" customFormat="1" x14ac:dyDescent="0.25">
      <c r="A267" s="20" t="str">
        <f>Lang!$A$108</f>
        <v>Business intelligence</v>
      </c>
      <c r="C267" s="19">
        <f>7500*C200+5000*C201</f>
        <v>12500</v>
      </c>
      <c r="D267" s="810">
        <f>'1'!$C66</f>
        <v>12500</v>
      </c>
      <c r="F267" s="20" t="str">
        <f>Lang!$A$108</f>
        <v>Business intelligence</v>
      </c>
      <c r="H267" s="19">
        <f>7500*H200+5000*H201</f>
        <v>12500</v>
      </c>
      <c r="I267" s="891">
        <f>'2'!$C66</f>
        <v>12500</v>
      </c>
      <c r="K267" s="20" t="str">
        <f>Lang!$A$108</f>
        <v>Business intelligence</v>
      </c>
      <c r="M267" s="19">
        <f>7500*M200+5000*M201</f>
        <v>12500</v>
      </c>
      <c r="N267" s="891">
        <f>'3'!$C66</f>
        <v>12500</v>
      </c>
      <c r="P267" s="20" t="str">
        <f>Lang!$A$108</f>
        <v>Business intelligence</v>
      </c>
      <c r="R267" s="19">
        <f>7500*R200+5000*R201</f>
        <v>12500</v>
      </c>
      <c r="S267" s="891">
        <f>'4'!$C66</f>
        <v>12500</v>
      </c>
      <c r="U267" s="20" t="str">
        <f>Lang!$A$108</f>
        <v>Business intelligence</v>
      </c>
      <c r="W267" s="19">
        <f>7500*W200+5000*W201</f>
        <v>12500</v>
      </c>
      <c r="X267" s="810">
        <f>'5'!$C66</f>
        <v>12500</v>
      </c>
      <c r="Z267" s="801">
        <f t="shared" si="35"/>
        <v>62500</v>
      </c>
      <c r="AA267" s="801"/>
      <c r="AB267" s="801"/>
    </row>
    <row r="268" spans="1:28" s="20" customFormat="1" x14ac:dyDescent="0.25">
      <c r="A268" s="20" t="str">
        <f>Lang!$A$110</f>
        <v>Credit control</v>
      </c>
      <c r="C268" s="19">
        <f ca="1">SUM(A219:C221)</f>
        <v>3459.8263356259013</v>
      </c>
      <c r="D268" s="810">
        <f ca="1">'1'!$C67</f>
        <v>3392.1203982871721</v>
      </c>
      <c r="F268" s="20" t="str">
        <f>Lang!$A$110</f>
        <v>Credit control</v>
      </c>
      <c r="H268" s="19">
        <f ca="1">SUM(F219:H221)</f>
        <v>4381.0527440130882</v>
      </c>
      <c r="I268" s="891">
        <f ca="1">'2'!$C67</f>
        <v>3872</v>
      </c>
      <c r="K268" s="20" t="str">
        <f>Lang!$A$110</f>
        <v>Credit control</v>
      </c>
      <c r="M268" s="19">
        <f ca="1">SUM(K219:M221)</f>
        <v>5029.5542506831534</v>
      </c>
      <c r="N268" s="891">
        <f ca="1">'3'!$C67</f>
        <v>5184</v>
      </c>
      <c r="P268" s="20" t="str">
        <f>Lang!$A$110</f>
        <v>Credit control</v>
      </c>
      <c r="R268" s="19">
        <f ca="1">SUM(P219:R221)</f>
        <v>5631.1064619820127</v>
      </c>
      <c r="S268" s="891">
        <f ca="1">'4'!$C67</f>
        <v>6903.1472837250139</v>
      </c>
      <c r="U268" s="20" t="str">
        <f>Lang!$A$110</f>
        <v>Credit control</v>
      </c>
      <c r="W268" s="19">
        <f ca="1">SUM(U219:W221)</f>
        <v>4969.2762416073638</v>
      </c>
      <c r="X268" s="810" t="e">
        <f ca="1">'5'!$C67</f>
        <v>#VALUE!</v>
      </c>
      <c r="Z268" s="802">
        <f ca="1">C268+H268+M268+R268+W268</f>
        <v>23470.81603391152</v>
      </c>
      <c r="AA268" s="802"/>
      <c r="AB268" s="802"/>
    </row>
    <row r="269" spans="1:28" s="20" customFormat="1" x14ac:dyDescent="0.25">
      <c r="A269" s="20" t="str">
        <f>Lang!$A$225</f>
        <v>Insurance premiums</v>
      </c>
      <c r="C269" s="19">
        <f ca="1">('53'!R12+'53'!L18)*(IF(C199=4,0.001,IF(C199=3,0.002,IF(C199=2,0.0035,IF(C199=1,0.006,0)))))</f>
        <v>0</v>
      </c>
      <c r="D269" s="810">
        <f ca="1">'1'!$C68</f>
        <v>0</v>
      </c>
      <c r="F269" s="20" t="str">
        <f>Lang!$A$225</f>
        <v>Insurance premiums</v>
      </c>
      <c r="H269" s="19">
        <f ca="1">('63'!R12+'63'!L18)*(IF(H199=4,0.001,IF(H199=3,0.002,IF(H199=2,0.0035,IF(H199=1,0.006,0)))))</f>
        <v>1969.087</v>
      </c>
      <c r="I269" s="891">
        <f ca="1">'2'!$C68</f>
        <v>1969.087</v>
      </c>
      <c r="K269" s="20" t="str">
        <f>Lang!$A$225</f>
        <v>Insurance premiums</v>
      </c>
      <c r="M269" s="19">
        <f ca="1">('73'!R12+'73'!L18)*(IF(M199=4,0.001,IF(M199=3,0.002,IF(M199=2,0.0035,IF(M199=1,0.006,0)))))</f>
        <v>2524.933</v>
      </c>
      <c r="N269" s="891">
        <f ca="1">'3'!$C68</f>
        <v>2524.933</v>
      </c>
      <c r="P269" s="20" t="str">
        <f>Lang!$A$225</f>
        <v>Insurance premiums</v>
      </c>
      <c r="R269" s="19">
        <f ca="1">('83'!R12+'83'!L18)*(IF(R199=4,0.001,IF(R199=3,0.002,IF(R199=2,0.0035,IF(R199=1,0.006,0)))))</f>
        <v>0</v>
      </c>
      <c r="S269" s="891">
        <f ca="1">'4'!$C68</f>
        <v>0</v>
      </c>
      <c r="U269" s="20" t="str">
        <f>Lang!$A$225</f>
        <v>Insurance premiums</v>
      </c>
      <c r="W269" s="19">
        <f ca="1">('93'!R12+'93'!L18)*(IF(W199=4,0.001,IF(W199=3,0.002,IF(W199=2,0.0035,IF(W199=1,0.006,0)))))</f>
        <v>0</v>
      </c>
      <c r="X269" s="810">
        <f ca="1">'5'!$C68</f>
        <v>0</v>
      </c>
      <c r="Z269" s="802">
        <f t="shared" ca="1" si="35"/>
        <v>4494.0200000000004</v>
      </c>
      <c r="AA269" s="802"/>
      <c r="AB269" s="802"/>
    </row>
    <row r="270" spans="1:28" s="20" customFormat="1" x14ac:dyDescent="0.25">
      <c r="A270" s="20" t="str">
        <f>Lang!$A$115</f>
        <v>Management budget</v>
      </c>
      <c r="C270" s="19">
        <f>C198*1000</f>
        <v>70000</v>
      </c>
      <c r="D270" s="810">
        <f>'1'!$C69</f>
        <v>80000</v>
      </c>
      <c r="F270" s="20" t="str">
        <f>Lang!$A$115</f>
        <v>Management budget</v>
      </c>
      <c r="H270" s="19">
        <f>H198*1000</f>
        <v>70000</v>
      </c>
      <c r="I270" s="891">
        <f>'2'!$C69</f>
        <v>90000</v>
      </c>
      <c r="K270" s="20" t="str">
        <f>Lang!$A$115</f>
        <v>Management budget</v>
      </c>
      <c r="M270" s="19">
        <f>M198*1000</f>
        <v>70000</v>
      </c>
      <c r="N270" s="891">
        <f>'3'!$C69</f>
        <v>90000</v>
      </c>
      <c r="P270" s="20" t="str">
        <f>Lang!$A$115</f>
        <v>Management budget</v>
      </c>
      <c r="R270" s="19">
        <f>R198*1000</f>
        <v>70000</v>
      </c>
      <c r="S270" s="891">
        <f>'4'!$C69</f>
        <v>100000</v>
      </c>
      <c r="U270" s="20" t="str">
        <f>Lang!$A$115</f>
        <v>Management budget</v>
      </c>
      <c r="W270" s="19">
        <f>W198*1000</f>
        <v>70000</v>
      </c>
      <c r="X270" s="810">
        <f>'5'!$C69</f>
        <v>70000</v>
      </c>
      <c r="Z270" s="802">
        <f t="shared" si="35"/>
        <v>350000</v>
      </c>
      <c r="AA270" s="802"/>
      <c r="AB270" s="802"/>
    </row>
    <row r="271" spans="1:28" s="20" customFormat="1" x14ac:dyDescent="0.25">
      <c r="A271" s="2" t="str">
        <f>Lang!$A$128</f>
        <v>Other costs</v>
      </c>
      <c r="C271" s="19">
        <f ca="1">C160*60000+(C113-D113)*20+A113*40</f>
        <v>11020.261441505938</v>
      </c>
      <c r="D271" s="810">
        <f ca="1">'1'!$C70</f>
        <v>11067.180776066572</v>
      </c>
      <c r="F271" s="2" t="str">
        <f>Lang!$A$128</f>
        <v>Other costs</v>
      </c>
      <c r="H271" s="19">
        <f ca="1">H160*60000+(H113-I113)*20+F113*40</f>
        <v>11260.390903098561</v>
      </c>
      <c r="I271" s="891">
        <f ca="1">'2'!$C70</f>
        <v>12072.2639639012</v>
      </c>
      <c r="K271" s="2" t="str">
        <f>Lang!$A$128</f>
        <v>Other costs</v>
      </c>
      <c r="M271" s="19">
        <f ca="1">M160*60000+(M113-N113)*20+K113*40</f>
        <v>12104.083717492234</v>
      </c>
      <c r="N271" s="891">
        <f ca="1">'3'!$C70</f>
        <v>16267.688414609303</v>
      </c>
      <c r="P271" s="2" t="str">
        <f>Lang!$A$128</f>
        <v>Other costs</v>
      </c>
      <c r="R271" s="19">
        <f ca="1">R160*60000+(R113-S113)*20+P113*40</f>
        <v>12478.843135624127</v>
      </c>
      <c r="S271" s="891">
        <f ca="1">'4'!$C70</f>
        <v>17417.559828251091</v>
      </c>
      <c r="U271" s="2" t="str">
        <f>Lang!$A$128</f>
        <v>Other costs</v>
      </c>
      <c r="W271" s="19" t="e">
        <f ca="1">W160*60000+(W113-X113)*20+U113*40</f>
        <v>#DIV/0!</v>
      </c>
      <c r="X271" s="810" t="e">
        <f ca="1">'5'!$C70</f>
        <v>#VALUE!</v>
      </c>
      <c r="Z271" s="802" t="e">
        <f ca="1">C271+H271+M271+R271+W271</f>
        <v>#DIV/0!</v>
      </c>
      <c r="AA271" s="802"/>
      <c r="AB271" s="802"/>
    </row>
    <row r="272" spans="1:28" s="20" customFormat="1" x14ac:dyDescent="0.25">
      <c r="A272" s="20" t="str">
        <f>Lang!$A$118</f>
        <v>Total administrative expenses</v>
      </c>
      <c r="B272" s="501"/>
      <c r="C272" s="19">
        <f ca="1">SUM(C256:C271)</f>
        <v>528177.74185591517</v>
      </c>
      <c r="D272" s="810">
        <f ca="1">'1'!$C71</f>
        <v>480540.41619652021</v>
      </c>
      <c r="F272" s="20" t="str">
        <f>Lang!$A$118</f>
        <v>Total administrative expenses</v>
      </c>
      <c r="G272" s="501"/>
      <c r="H272" s="19">
        <f ca="1">SUM(H256:H271)</f>
        <v>615095.46357096301</v>
      </c>
      <c r="I272" s="891">
        <f ca="1">'2'!$C71</f>
        <v>686639.83096390136</v>
      </c>
      <c r="K272" s="20" t="str">
        <f>Lang!$A$118</f>
        <v>Total administrative expenses</v>
      </c>
      <c r="L272" s="501"/>
      <c r="M272" s="19">
        <f ca="1">SUM(M256:M271)</f>
        <v>632480.35567226424</v>
      </c>
      <c r="N272" s="891">
        <f ca="1">'3'!$C71</f>
        <v>808248.35111460928</v>
      </c>
      <c r="P272" s="20" t="str">
        <f>Lang!$A$118</f>
        <v>Total administrative expenses</v>
      </c>
      <c r="Q272" s="501"/>
      <c r="R272" s="19">
        <f ca="1">SUM(R256:R271)</f>
        <v>608304.3388052769</v>
      </c>
      <c r="S272" s="891">
        <f ca="1">'4'!$C71</f>
        <v>991071.67360718583</v>
      </c>
      <c r="U272" s="20" t="str">
        <f>Lang!$A$118</f>
        <v>Total administrative expenses</v>
      </c>
      <c r="V272" s="501"/>
      <c r="W272" s="19" t="e">
        <f ca="1">SUM(W256:W271)</f>
        <v>#DIV/0!</v>
      </c>
      <c r="X272" s="810" t="e">
        <f ca="1">'5'!$C71</f>
        <v>#VALUE!</v>
      </c>
      <c r="Z272" s="802" t="e">
        <f ca="1">C272+H272+M272+R272+W272</f>
        <v>#DIV/0!</v>
      </c>
      <c r="AA272" s="802"/>
      <c r="AB272" s="802"/>
    </row>
    <row r="273" spans="1:38" s="20" customFormat="1" x14ac:dyDescent="0.25">
      <c r="A273" s="3"/>
      <c r="D273" s="810"/>
      <c r="I273" s="891"/>
      <c r="N273" s="891"/>
      <c r="S273" s="891"/>
      <c r="X273" s="810"/>
      <c r="Z273" s="802"/>
      <c r="AA273" s="802"/>
      <c r="AB273" s="802"/>
    </row>
    <row r="274" spans="1:38" s="20" customFormat="1" x14ac:dyDescent="0.25">
      <c r="A274" s="327" t="str">
        <f>Lang!$A$121</f>
        <v>Accumulated taxable profit</v>
      </c>
      <c r="C274" s="810"/>
      <c r="D274" s="810"/>
      <c r="F274" s="501" t="str">
        <f>Lang!$A$121</f>
        <v>Accumulated taxable profit</v>
      </c>
      <c r="H274" s="891"/>
      <c r="I274" s="891"/>
      <c r="K274" s="501" t="str">
        <f>Lang!$A$121</f>
        <v>Accumulated taxable profit</v>
      </c>
      <c r="M274" s="891"/>
      <c r="N274" s="891"/>
      <c r="P274" s="501" t="str">
        <f>Lang!$A$121</f>
        <v>Accumulated taxable profit</v>
      </c>
      <c r="R274" s="891"/>
      <c r="S274" s="891"/>
      <c r="U274" s="501" t="str">
        <f>Lang!$A$121</f>
        <v>Accumulated taxable profit</v>
      </c>
      <c r="W274" s="810"/>
      <c r="X274" s="810"/>
      <c r="Z274" s="802"/>
      <c r="AA274" s="802"/>
      <c r="AB274" s="802"/>
    </row>
    <row r="275" spans="1:38" s="20" customFormat="1" x14ac:dyDescent="0.25">
      <c r="A275" s="21" t="str">
        <f>Lang!$A$123</f>
        <v>Profit/loss before tax</v>
      </c>
      <c r="C275" s="19">
        <f ca="1">C305</f>
        <v>-5017.4457967537455</v>
      </c>
      <c r="D275" s="810">
        <f ca="1">'1'!$C74</f>
        <v>157876.73741636099</v>
      </c>
      <c r="F275" s="20" t="str">
        <f>Lang!$A$123</f>
        <v>Profit/loss before tax</v>
      </c>
      <c r="H275" s="19">
        <f ca="1">H305</f>
        <v>114392.80570573096</v>
      </c>
      <c r="I275" s="891">
        <f ca="1">'2'!$C74</f>
        <v>99032.005146558746</v>
      </c>
      <c r="K275" s="20" t="str">
        <f>Lang!$A$123</f>
        <v>Profit/loss before tax</v>
      </c>
      <c r="M275" s="19">
        <f ca="1">M305</f>
        <v>155683.11360219138</v>
      </c>
      <c r="N275" s="891">
        <f ca="1">'3'!$C74</f>
        <v>275724.66710876743</v>
      </c>
      <c r="P275" s="20" t="str">
        <f>Lang!$A$123</f>
        <v>Profit/loss before tax</v>
      </c>
      <c r="R275" s="19">
        <f ca="1">R305</f>
        <v>217809.09213536125</v>
      </c>
      <c r="S275" s="891">
        <f ca="1">'4'!$C74</f>
        <v>381298.10751487908</v>
      </c>
      <c r="U275" s="20" t="str">
        <f>Lang!$A$123</f>
        <v>Profit/loss before tax</v>
      </c>
      <c r="W275" s="19" t="e">
        <f ca="1">W305</f>
        <v>#DIV/0!</v>
      </c>
      <c r="X275" s="810" t="e">
        <f ca="1">'5'!$C74</f>
        <v>#VALUE!</v>
      </c>
      <c r="Z275" s="802" t="e">
        <f ca="1">C275+H275+M275+R275+W275</f>
        <v>#DIV/0!</v>
      </c>
      <c r="AA275" s="802"/>
      <c r="AB275" s="802"/>
    </row>
    <row r="276" spans="1:38" s="20" customFormat="1" x14ac:dyDescent="0.25">
      <c r="A276" s="21" t="str">
        <f>Lang!$A$226</f>
        <v>Previous taxable profit/loss</v>
      </c>
      <c r="C276" s="19">
        <f>IF(D253=1,IF('53'!F29&lt;0,'53'!F29,0),'53'!F29)</f>
        <v>-186085</v>
      </c>
      <c r="D276" s="810">
        <f>'1'!$C75</f>
        <v>-186085</v>
      </c>
      <c r="F276" s="20" t="str">
        <f>Lang!$A$226</f>
        <v>Previous taxable profit/loss</v>
      </c>
      <c r="H276" s="19">
        <f ca="1">IF(I253=1,IF(C277&lt;0,C277,0),C277)</f>
        <v>-191102.44579675375</v>
      </c>
      <c r="I276" s="891">
        <f>'2'!$C75</f>
        <v>-154561</v>
      </c>
      <c r="K276" s="20" t="str">
        <f>Lang!$A$226</f>
        <v>Previous taxable profit/loss</v>
      </c>
      <c r="M276" s="19">
        <f ca="1">IF(N253=1,IF(H277&lt;0,H277,0),H277)</f>
        <v>-76709.640091022782</v>
      </c>
      <c r="N276" s="891">
        <f>'3'!$C75</f>
        <v>-236078</v>
      </c>
      <c r="P276" s="20" t="str">
        <f>Lang!$A$226</f>
        <v>Previous taxable profit/loss</v>
      </c>
      <c r="R276" s="19">
        <f ca="1">IF(S253=1,IF(M277&lt;0,M277,0),M277)</f>
        <v>78973.473511168602</v>
      </c>
      <c r="S276" s="891">
        <f>'4'!$C75</f>
        <v>-106809</v>
      </c>
      <c r="U276" s="20" t="str">
        <f>Lang!$A$226</f>
        <v>Previous taxable profit/loss</v>
      </c>
      <c r="W276" s="19">
        <f ca="1">IF(X253=1,IF(R277&lt;0,R277,0),R277)</f>
        <v>296782.56564652984</v>
      </c>
      <c r="X276" s="810">
        <f>'5'!$C75</f>
        <v>0</v>
      </c>
      <c r="Z276" s="802">
        <f ca="1">C276+H276+M276+R276+W276</f>
        <v>-78141.046730078058</v>
      </c>
      <c r="AA276" s="802"/>
      <c r="AB276" s="802"/>
    </row>
    <row r="277" spans="1:38" s="20" customFormat="1" x14ac:dyDescent="0.25">
      <c r="A277" s="21" t="str">
        <f>Lang!$A$227</f>
        <v>Taxable profit/loss</v>
      </c>
      <c r="C277" s="19">
        <f ca="1">C275+C276</f>
        <v>-191102.44579675375</v>
      </c>
      <c r="D277" s="810">
        <f ca="1">'1'!$C76</f>
        <v>-28208.262583639007</v>
      </c>
      <c r="F277" s="20" t="str">
        <f>Lang!$A$227</f>
        <v>Taxable profit/loss</v>
      </c>
      <c r="H277" s="19">
        <f ca="1">H275+H276</f>
        <v>-76709.640091022782</v>
      </c>
      <c r="I277" s="891">
        <f ca="1">'2'!$C76</f>
        <v>-55528.994853441254</v>
      </c>
      <c r="K277" s="20" t="str">
        <f>Lang!$A$227</f>
        <v>Taxable profit/loss</v>
      </c>
      <c r="M277" s="19">
        <f ca="1">M275+M276</f>
        <v>78973.473511168602</v>
      </c>
      <c r="N277" s="891">
        <f ca="1">'3'!$C76</f>
        <v>39646.667108767433</v>
      </c>
      <c r="P277" s="20" t="str">
        <f>Lang!$A$227</f>
        <v>Taxable profit/loss</v>
      </c>
      <c r="R277" s="19">
        <f ca="1">R275+R276</f>
        <v>296782.56564652984</v>
      </c>
      <c r="S277" s="891">
        <f ca="1">'4'!$C76</f>
        <v>274489.10751487908</v>
      </c>
      <c r="U277" s="20" t="str">
        <f>Lang!$A$227</f>
        <v>Taxable profit/loss</v>
      </c>
      <c r="W277" s="19" t="e">
        <f ca="1">W275+W276</f>
        <v>#DIV/0!</v>
      </c>
      <c r="X277" s="810" t="e">
        <f ca="1">'5'!$C76</f>
        <v>#VALUE!</v>
      </c>
      <c r="Z277" s="802" t="e">
        <f ca="1">C277+H277+M277+R277+W277</f>
        <v>#DIV/0!</v>
      </c>
      <c r="AA277" s="802"/>
      <c r="AB277" s="802"/>
    </row>
    <row r="278" spans="1:38" s="20" customFormat="1" x14ac:dyDescent="0.25">
      <c r="A278" s="3"/>
      <c r="D278" s="810"/>
      <c r="F278" s="3"/>
      <c r="I278" s="810"/>
      <c r="K278" s="3"/>
      <c r="N278" s="810"/>
      <c r="P278" s="3"/>
      <c r="S278" s="810"/>
      <c r="U278" s="3"/>
      <c r="X278" s="810"/>
      <c r="Z278" s="802"/>
      <c r="AA278" s="802"/>
      <c r="AB278" s="802"/>
    </row>
    <row r="279" spans="1:38" s="20" customFormat="1" x14ac:dyDescent="0.25">
      <c r="A279" s="8" t="str">
        <f>Lang!$A$228</f>
        <v>Production hours limit</v>
      </c>
      <c r="B279" s="2"/>
      <c r="C279" s="701">
        <v>0</v>
      </c>
      <c r="D279" s="810"/>
      <c r="F279" s="8" t="str">
        <f>Lang!$A$228</f>
        <v>Production hours limit</v>
      </c>
      <c r="G279" s="2"/>
      <c r="H279" s="701">
        <f>C279</f>
        <v>0</v>
      </c>
      <c r="I279" s="810"/>
      <c r="K279" s="8" t="str">
        <f>Lang!$A$228</f>
        <v>Production hours limit</v>
      </c>
      <c r="L279" s="2"/>
      <c r="M279" s="701">
        <f>H279</f>
        <v>0</v>
      </c>
      <c r="N279" s="810"/>
      <c r="P279" s="8" t="str">
        <f>Lang!$A$228</f>
        <v>Production hours limit</v>
      </c>
      <c r="Q279" s="2"/>
      <c r="R279" s="701">
        <f>M279</f>
        <v>0</v>
      </c>
      <c r="S279" s="810"/>
      <c r="U279" s="8" t="str">
        <f>Lang!$A$228</f>
        <v>Production hours limit</v>
      </c>
      <c r="V279" s="2"/>
      <c r="W279" s="701">
        <f>R279</f>
        <v>0</v>
      </c>
      <c r="X279" s="810"/>
      <c r="Z279" s="802"/>
      <c r="AA279" s="802"/>
      <c r="AB279" s="802"/>
    </row>
    <row r="280" spans="1:38" x14ac:dyDescent="0.25">
      <c r="A280" s="8"/>
      <c r="B280" s="8"/>
      <c r="D280" s="810"/>
      <c r="F280" s="8"/>
      <c r="G280" s="8"/>
      <c r="I280" s="810"/>
      <c r="K280" s="8"/>
      <c r="L280" s="8"/>
      <c r="N280" s="810"/>
      <c r="P280" s="8"/>
      <c r="Q280" s="8"/>
      <c r="S280" s="810"/>
      <c r="U280" s="8"/>
      <c r="V280" s="8"/>
      <c r="X280" s="810"/>
      <c r="Z280" s="802"/>
      <c r="AA280" s="802"/>
      <c r="AB280" s="802"/>
      <c r="AD280" s="20"/>
      <c r="AE280" s="20"/>
      <c r="AF280" s="20"/>
      <c r="AJ280" s="20"/>
      <c r="AK280" s="20"/>
      <c r="AL280" s="20"/>
    </row>
    <row r="281" spans="1:38" x14ac:dyDescent="0.25">
      <c r="A281" s="8" t="str">
        <f>Lang!$A$132</f>
        <v>Insurance claimed</v>
      </c>
      <c r="B281" s="8"/>
      <c r="C281" s="19">
        <f ca="1">IF(D$101=2,OFFSET(History!$N33,B253,),IF(C199=0,0,OFFSET(Config!$D20,B253,)))</f>
        <v>0</v>
      </c>
      <c r="D281" s="810">
        <f ca="1">'1'!$C80</f>
        <v>0</v>
      </c>
      <c r="F281" s="8" t="str">
        <f>Lang!$A$132</f>
        <v>Insurance claimed</v>
      </c>
      <c r="G281" s="8"/>
      <c r="H281" s="19">
        <f ca="1">IF(I$101=2,OFFSET(History!$N33,G253,),IF(H199=0,0,OFFSET(Config!$D20,G253,)))</f>
        <v>39909</v>
      </c>
      <c r="I281" s="810">
        <f ca="1">'2'!$C80</f>
        <v>39909</v>
      </c>
      <c r="K281" s="8" t="str">
        <f>Lang!$A$132</f>
        <v>Insurance claimed</v>
      </c>
      <c r="L281" s="8"/>
      <c r="M281" s="19">
        <f ca="1">IF(N$101=2,OFFSET(History!$N33,L253,),IF(M199=0,0,OFFSET(Config!$D20,L253,)))</f>
        <v>41728</v>
      </c>
      <c r="N281" s="810">
        <f ca="1">'3'!$C80</f>
        <v>41728</v>
      </c>
      <c r="P281" s="8" t="str">
        <f>Lang!$A$132</f>
        <v>Insurance claimed</v>
      </c>
      <c r="Q281" s="8"/>
      <c r="R281" s="19">
        <f ca="1">IF(S$101=2,OFFSET(History!$N33,Q253,),IF(R199=0,0,OFFSET(Config!$D20,Q253,)))</f>
        <v>0</v>
      </c>
      <c r="S281" s="810">
        <f ca="1">'4'!$C80</f>
        <v>0</v>
      </c>
      <c r="U281" s="8" t="str">
        <f>Lang!$A$132</f>
        <v>Insurance claimed</v>
      </c>
      <c r="V281" s="8"/>
      <c r="W281" s="19">
        <f ca="1">IF(X$101=2,OFFSET(History!$N33,V253,),IF(W199=0,0,OFFSET(Config!$D20,V253,)))</f>
        <v>0</v>
      </c>
      <c r="X281" s="810">
        <f ca="1">'5'!$C80</f>
        <v>0</v>
      </c>
      <c r="Z281" s="802">
        <f ca="1">C281+H281+M281+R281+W281</f>
        <v>81637</v>
      </c>
      <c r="AA281" s="802"/>
      <c r="AB281" s="802"/>
      <c r="AD281" s="20"/>
      <c r="AE281" s="20"/>
      <c r="AF281" s="20"/>
      <c r="AJ281" s="20"/>
      <c r="AK281" s="20"/>
      <c r="AL281" s="20"/>
    </row>
    <row r="282" spans="1:38" x14ac:dyDescent="0.25">
      <c r="A282" s="3" t="str">
        <f>Lang!$A$135</f>
        <v>Primary non-insured risk</v>
      </c>
      <c r="C282" s="19">
        <f ca="1">('53'!R12+'53'!L18)*(IF(C199=4,0.004,IF(C199=3,0.003,IF(C199=2,0.002,IF(C199=1,0.001,0)))))</f>
        <v>0</v>
      </c>
      <c r="D282" s="810">
        <f ca="1">'1'!$C81</f>
        <v>0</v>
      </c>
      <c r="F282" s="3" t="str">
        <f>Lang!$A$135</f>
        <v>Primary non-insured risk</v>
      </c>
      <c r="H282" s="19">
        <f ca="1">(C320+C296)*(IF(H199=4,0.004,IF(H199=3,0.003,IF(H199=2,0.002,IF(H199=1,0.001,0)))))</f>
        <v>9158.2263709220915</v>
      </c>
      <c r="I282" s="810">
        <f ca="1">'2'!$C81</f>
        <v>7876.348</v>
      </c>
      <c r="K282" s="3" t="str">
        <f>Lang!$A$135</f>
        <v>Primary non-insured risk</v>
      </c>
      <c r="M282" s="19">
        <f ca="1">(H320+H296)*(IF(M199=4,0.004,IF(M199=3,0.003,IF(M199=2,0.002,IF(M199=1,0.001,0)))))</f>
        <v>10752.272295058507</v>
      </c>
      <c r="N282" s="810">
        <f ca="1">'3'!$C81</f>
        <v>10099.732</v>
      </c>
      <c r="P282" s="3" t="str">
        <f>Lang!$A$135</f>
        <v>Primary non-insured risk</v>
      </c>
      <c r="R282" s="19">
        <f ca="1">(M320+M296)*(IF(R199=4,0.004,IF(R199=3,0.003,IF(R199=2,0.002,IF(R199=1,0.001,0)))))</f>
        <v>0</v>
      </c>
      <c r="S282" s="810">
        <f ca="1">'4'!$C81</f>
        <v>0</v>
      </c>
      <c r="U282" s="3" t="str">
        <f>Lang!$A$135</f>
        <v>Primary non-insured risk</v>
      </c>
      <c r="W282" s="19">
        <f ca="1">(R320+R296)*(IF(W199=4,0.004,IF(W199=3,0.003,IF(W199=2,0.002,IF(W199=1,0.001,0)))))</f>
        <v>0</v>
      </c>
      <c r="X282" s="810">
        <f ca="1">'5'!$C81</f>
        <v>0</v>
      </c>
      <c r="Z282" s="802">
        <f ca="1">C282+H282+M282+R282+W282</f>
        <v>19910.498665980598</v>
      </c>
      <c r="AA282" s="802"/>
      <c r="AB282" s="802"/>
      <c r="AD282" s="20"/>
      <c r="AE282" s="20"/>
      <c r="AF282" s="20"/>
      <c r="AJ282" s="20"/>
      <c r="AK282" s="20"/>
      <c r="AL282" s="20"/>
    </row>
    <row r="283" spans="1:38" x14ac:dyDescent="0.25">
      <c r="Z283" s="802"/>
      <c r="AA283" s="802"/>
      <c r="AB283" s="802"/>
    </row>
    <row r="284" spans="1:38" x14ac:dyDescent="0.25">
      <c r="A284" s="501" t="str">
        <f>Lang!$A$97</f>
        <v>INCOME STATEMENT</v>
      </c>
      <c r="C284" s="501"/>
      <c r="D284" s="20"/>
      <c r="F284" s="501" t="str">
        <f>Lang!$A$97</f>
        <v>INCOME STATEMENT</v>
      </c>
      <c r="H284" s="501"/>
      <c r="I284" s="20"/>
      <c r="K284" s="501" t="str">
        <f>Lang!$A$97</f>
        <v>INCOME STATEMENT</v>
      </c>
      <c r="M284" s="501"/>
      <c r="N284" s="20"/>
      <c r="P284" s="501" t="str">
        <f>Lang!$A$97</f>
        <v>INCOME STATEMENT</v>
      </c>
      <c r="R284" s="501"/>
      <c r="S284" s="20"/>
      <c r="U284" s="501" t="str">
        <f>Lang!$A$97</f>
        <v>INCOME STATEMENT</v>
      </c>
      <c r="W284" s="501"/>
      <c r="X284" s="20"/>
      <c r="Z284" s="802"/>
      <c r="AA284" s="802"/>
      <c r="AB284" s="802"/>
    </row>
    <row r="285" spans="1:38" x14ac:dyDescent="0.25">
      <c r="A285" s="20" t="str">
        <f>Lang!$A$100</f>
        <v>Orders revenue</v>
      </c>
      <c r="C285" s="22">
        <f ca="1">A214*A244+A215*A245+A216*A246+B214*B244+B215*B245+B216*B246+C214*C244+C215*C245+C216*C246</f>
        <v>1589349.8826961613</v>
      </c>
      <c r="D285" s="810">
        <f ca="1">'1'!$H55</f>
        <v>1614896.5321006984</v>
      </c>
      <c r="F285" s="20" t="str">
        <f>Lang!$A$100</f>
        <v>Orders revenue</v>
      </c>
      <c r="H285" s="22">
        <f ca="1">F214*F244+F215*F245+F216*F246+G214*G244+G215*G245+G216*G246+H214*H244+H215*H245+H216*H246</f>
        <v>1961215.2895639963</v>
      </c>
      <c r="I285" s="810">
        <f ca="1">'2'!$H55</f>
        <v>1812134</v>
      </c>
      <c r="K285" s="20" t="str">
        <f>Lang!$A$100</f>
        <v>Orders revenue</v>
      </c>
      <c r="M285" s="22">
        <f ca="1">K214*K244+K215*K245+K216*K246+L214*L244+L215*L245+L216*L246+M214*M244+M215*M245+M216*M246</f>
        <v>2215552.1023737756</v>
      </c>
      <c r="N285" s="810">
        <f ca="1">'3'!$H55</f>
        <v>2322487</v>
      </c>
      <c r="P285" s="20" t="str">
        <f>Lang!$A$100</f>
        <v>Orders revenue</v>
      </c>
      <c r="R285" s="22">
        <f ca="1">P214*P244+P215*P245+P216*P246+Q214*Q244+Q215*Q245+Q216*Q246+R214*R244+R215*R245+R216*R246</f>
        <v>2525828.0972979083</v>
      </c>
      <c r="S285" s="810">
        <f ca="1">'4'!$H55</f>
        <v>3026704.3028367083</v>
      </c>
      <c r="U285" s="20" t="str">
        <f>Lang!$A$100</f>
        <v>Orders revenue</v>
      </c>
      <c r="W285" s="22">
        <f ca="1">U214*U244+U215*U245+U216*U246+V214*V244+V215*V245+V216*V246+W214*W244+W215*W245+W216*W246</f>
        <v>2171599.4679464921</v>
      </c>
      <c r="X285" s="810" t="e">
        <f ca="1">'5'!$H55</f>
        <v>#VALUE!</v>
      </c>
      <c r="Z285" s="802">
        <f ca="1">C285+H285+M285+R285+W285</f>
        <v>10463544.839878334</v>
      </c>
      <c r="AA285" s="802"/>
      <c r="AB285" s="802"/>
    </row>
    <row r="286" spans="1:38" x14ac:dyDescent="0.25">
      <c r="A286" s="20" t="str">
        <f>Lang!$A$102</f>
        <v>Sales revenue</v>
      </c>
      <c r="C286" s="19">
        <f ca="1">((A219*A244+B219*B244+C219*C244+A220*A245+B220*B245+C220*C245+A221*A246+B221*B246+C221*C246)+E117)*IF(C279=1,IF(D153&gt;D154,0,IF(D166&gt;D167,0,1)),1)</f>
        <v>1604609.882696161</v>
      </c>
      <c r="D286" s="810">
        <f ca="1">'1'!$H56</f>
        <v>1629876.5321006984</v>
      </c>
      <c r="F286" s="20" t="str">
        <f>Lang!$A$102</f>
        <v>Sales revenue</v>
      </c>
      <c r="H286" s="19">
        <f ca="1">((F219*F244+G219*G244+H219*H244+F220*F245+G220*G245+H220*H245+F221*F246+G221*G246+H221*H246)+J117)*IF(H279=1,IF(I153&gt;I154,0,IF(I166&gt;I167,0,1)),1)</f>
        <v>1987771.9364287672</v>
      </c>
      <c r="I286" s="810">
        <f ca="1">'2'!$H56</f>
        <v>1854834</v>
      </c>
      <c r="K286" s="20" t="str">
        <f>Lang!$A$102</f>
        <v>Sales revenue</v>
      </c>
      <c r="M286" s="19">
        <f ca="1">((K219*K244+L219*L244+M219*M244+K220*K245+L220*L245+M220*M245+K221*K246+L221*L246+M221*M246)+O117)*IF(M279=1,IF(N153&gt;N154,0,IF(N166&gt;N167,0,1)),1)</f>
        <v>2261460.5308354655</v>
      </c>
      <c r="N286" s="810">
        <f ca="1">'3'!$H56</f>
        <v>2450026.9700000002</v>
      </c>
      <c r="P286" s="20" t="str">
        <f>Lang!$A$102</f>
        <v>Sales revenue</v>
      </c>
      <c r="R286" s="19">
        <f ca="1">((P219*P244+Q219*Q244+R219*R244+P220*P245+Q220*Q245+R220*R245+P221*P246+Q221*Q246+R221*R246)+T117)*IF(R279=1,IF(S153&gt;S154,0,IF(S166&gt;S167,0,1)),1)</f>
        <v>2592858.8474991084</v>
      </c>
      <c r="S286" s="810">
        <f ca="1">'4'!$H56</f>
        <v>3186296.9028367088</v>
      </c>
      <c r="U286" s="20" t="str">
        <f>Lang!$A$102</f>
        <v>Sales revenue</v>
      </c>
      <c r="W286" s="19">
        <f ca="1">((U219*U244+V219*V244+W219*W244+U220*U245+V220*V245+W220*W245+U221*U246+V221*V246+W221*W246)+Y117)*IF(W279=1,IF(X153&gt;X154,0,IF(X166&gt;X167,0,1)),1)</f>
        <v>2218790.1536160009</v>
      </c>
      <c r="X286" s="810" t="e">
        <f ca="1">'5'!$H56</f>
        <v>#VALUE!</v>
      </c>
      <c r="Z286" s="802">
        <f ca="1">C286+H286+M286+R286+W286</f>
        <v>10665491.351075504</v>
      </c>
      <c r="AA286" s="802"/>
      <c r="AB286" s="802"/>
    </row>
    <row r="287" spans="1:38" x14ac:dyDescent="0.25">
      <c r="A287" s="20"/>
      <c r="C287" s="22"/>
      <c r="D287" s="810"/>
      <c r="F287" s="20"/>
      <c r="H287" s="22"/>
      <c r="I287" s="810"/>
      <c r="K287" s="20"/>
      <c r="M287" s="22"/>
      <c r="N287" s="810"/>
      <c r="P287" s="20"/>
      <c r="R287" s="22"/>
      <c r="S287" s="810"/>
      <c r="U287" s="20"/>
      <c r="W287" s="22"/>
      <c r="X287" s="810"/>
      <c r="Z287" s="802"/>
      <c r="AA287" s="802"/>
      <c r="AB287" s="802"/>
    </row>
    <row r="288" spans="1:38" x14ac:dyDescent="0.25">
      <c r="A288" s="20" t="str">
        <f>Lang!$A$229</f>
        <v>Opening inventory values</v>
      </c>
      <c r="C288" s="19">
        <f>'53'!L18</f>
        <v>129336</v>
      </c>
      <c r="D288" s="810">
        <f>'1'!$H58</f>
        <v>129336</v>
      </c>
      <c r="F288" s="20" t="str">
        <f>Lang!$A$229</f>
        <v>Opening inventory values</v>
      </c>
      <c r="H288" s="19">
        <f ca="1">IF(H$203=1,'63'!$L18,C296)</f>
        <v>945458.34273052251</v>
      </c>
      <c r="I288" s="810">
        <f>'2'!$H58</f>
        <v>307487</v>
      </c>
      <c r="K288" s="20" t="str">
        <f>Lang!$A$229</f>
        <v>Opening inventory values</v>
      </c>
      <c r="M288" s="19">
        <f ca="1">IF(M$203=1,'73'!$L18,H296)</f>
        <v>1037072.2800146263</v>
      </c>
      <c r="N288" s="810">
        <f>'3'!$H58</f>
        <v>796747</v>
      </c>
      <c r="P288" s="20" t="str">
        <f>Lang!$A$229</f>
        <v>Opening inventory values</v>
      </c>
      <c r="R288" s="19">
        <f ca="1">IF(R$203=1,'83'!$L18,M296)</f>
        <v>1000881.549939774</v>
      </c>
      <c r="S288" s="810">
        <f>'4'!$H58</f>
        <v>1301918</v>
      </c>
      <c r="U288" s="20" t="str">
        <f>Lang!$A$229</f>
        <v>Opening inventory values</v>
      </c>
      <c r="W288" s="19">
        <f ca="1">IF(W$203=1,'93'!$L18,R296)</f>
        <v>576801.72659826581</v>
      </c>
      <c r="X288" s="810">
        <f>'5'!$H58</f>
        <v>0</v>
      </c>
      <c r="Z288" s="802">
        <f t="shared" ref="Z288:Z303" ca="1" si="36">C288+H288+M288+R288+W288</f>
        <v>3689549.8992831884</v>
      </c>
      <c r="AA288" s="802"/>
      <c r="AB288" s="802"/>
      <c r="AC288" s="20"/>
    </row>
    <row r="289" spans="1:29" x14ac:dyDescent="0.25">
      <c r="A289" s="8" t="str">
        <f>Lang!$A$230</f>
        <v>Components purchased</v>
      </c>
      <c r="B289" s="8"/>
      <c r="C289" s="19">
        <f ca="1">B108*ROUND(B110,0)+C108*ROUND(C110,0)+D108*ROUND(D110,0)</f>
        <v>26000</v>
      </c>
      <c r="D289" s="810">
        <f ca="1">'1'!$H59</f>
        <v>165000</v>
      </c>
      <c r="F289" s="8" t="str">
        <f>Lang!$A$230</f>
        <v>Components purchased</v>
      </c>
      <c r="G289" s="8"/>
      <c r="H289" s="19">
        <f ca="1">G108*ROUND(G110,0)+H108*ROUND(H110,0)+I108*ROUND(I110,0)</f>
        <v>0</v>
      </c>
      <c r="I289" s="810">
        <f ca="1">'2'!$H59</f>
        <v>272000</v>
      </c>
      <c r="K289" s="8" t="str">
        <f>Lang!$A$230</f>
        <v>Components purchased</v>
      </c>
      <c r="L289" s="8"/>
      <c r="M289" s="19">
        <f ca="1">L108*ROUND(L110,0)+M108*ROUND(M110,0)+N108*ROUND(N110,0)</f>
        <v>0</v>
      </c>
      <c r="N289" s="810">
        <f ca="1">'3'!$H59</f>
        <v>499500</v>
      </c>
      <c r="P289" s="8" t="str">
        <f>Lang!$A$230</f>
        <v>Components purchased</v>
      </c>
      <c r="Q289" s="8"/>
      <c r="R289" s="19">
        <f ca="1">Q108*ROUND(Q110,0)+R108*ROUND(R110,0)+S108*ROUND(S110,0)</f>
        <v>111600</v>
      </c>
      <c r="S289" s="810">
        <f ca="1">'4'!$H59</f>
        <v>915750</v>
      </c>
      <c r="U289" s="8" t="str">
        <f>Lang!$A$230</f>
        <v>Components purchased</v>
      </c>
      <c r="V289" s="8"/>
      <c r="W289" s="19">
        <f ca="1">V108*ROUND(V110,0)+W108*ROUND(W110,0)+X108*ROUND(X110,0)</f>
        <v>0</v>
      </c>
      <c r="X289" s="810">
        <f ca="1">'5'!$H59</f>
        <v>0</v>
      </c>
      <c r="Z289" s="802">
        <f t="shared" ca="1" si="36"/>
        <v>137600</v>
      </c>
      <c r="AA289" s="802"/>
      <c r="AB289" s="802"/>
      <c r="AC289" s="20"/>
    </row>
    <row r="290" spans="1:29" x14ac:dyDescent="0.25">
      <c r="A290" s="2" t="str">
        <f>Lang!$A$137</f>
        <v>Materials purchased</v>
      </c>
      <c r="C290" s="19">
        <f ca="1">(C183*B184*1.5+IF(C182&lt;0,-C182,0)*B184*1.1+C184*B184+C185*B185+C186*B186)*C190/1000</f>
        <v>1243503.8118324385</v>
      </c>
      <c r="D290" s="810">
        <f ca="1">'1'!$H60</f>
        <v>347543.30324836617</v>
      </c>
      <c r="F290" s="2" t="str">
        <f>Lang!$A$137</f>
        <v>Materials purchased</v>
      </c>
      <c r="H290" s="19">
        <f ca="1">(H183*G184*1.5+IF(H182&lt;0,-H182,0)*G184*1.1+H184*G184+H185*G185+H186*G186)*H190/1000</f>
        <v>549044.56584687671</v>
      </c>
      <c r="I290" s="810">
        <f ca="1">'2'!$H60</f>
        <v>765305.90794847347</v>
      </c>
      <c r="K290" s="2" t="str">
        <f>Lang!$A$137</f>
        <v>Materials purchased</v>
      </c>
      <c r="M290" s="19">
        <f ca="1">(M183*L184*1.5+IF(M182&lt;0,-M182,0)*L184*1.1+M184*L184+M185*L185+M186*L186)*M190/1000</f>
        <v>436272.97994153865</v>
      </c>
      <c r="N290" s="810">
        <f ca="1">'3'!$H60</f>
        <v>601099.90329839545</v>
      </c>
      <c r="P290" s="2" t="str">
        <f>Lang!$A$137</f>
        <v>Materials purchased</v>
      </c>
      <c r="R290" s="19">
        <f ca="1">(R183*Q184*1.5+IF(R182&lt;0,-R182,0)*Q184*1.1+R184*Q184+R185*Q185+R186*Q186)*R190/1000</f>
        <v>30860.671337759868</v>
      </c>
      <c r="S290" s="810">
        <f ca="1">'4'!$H60</f>
        <v>175756.04221285862</v>
      </c>
      <c r="U290" s="2" t="str">
        <f>Lang!$A$137</f>
        <v>Materials purchased</v>
      </c>
      <c r="W290" s="19">
        <f ca="1">(W183*V184*1.5+IF(W182&lt;0,-W182,0)*V184*1.1+W184*V184+W185*V185+W186*V186)*W190/1000</f>
        <v>145128.56484050278</v>
      </c>
      <c r="X290" s="810" t="e">
        <f ca="1">'5'!$H60</f>
        <v>#VALUE!</v>
      </c>
      <c r="Z290" s="802">
        <f t="shared" ca="1" si="36"/>
        <v>2404810.5937991166</v>
      </c>
      <c r="AA290" s="802"/>
      <c r="AB290" s="802"/>
      <c r="AC290" s="20"/>
    </row>
    <row r="291" spans="1:29" x14ac:dyDescent="0.25">
      <c r="A291" s="20" t="str">
        <f>Lang!$A$149</f>
        <v>Machine running costs</v>
      </c>
      <c r="C291" s="19">
        <f ca="1">8*C153+3500*C158+IF(C158=0,0,C162*12500)+SUM(B102:D105)</f>
        <v>82412.256393294796</v>
      </c>
      <c r="D291" s="810">
        <f ca="1">'1'!$H61</f>
        <v>83404.961240569071</v>
      </c>
      <c r="F291" s="20" t="str">
        <f>Lang!$A$149</f>
        <v>Machine running costs</v>
      </c>
      <c r="H291" s="19">
        <f ca="1">8*H153+3500*H158+IF(H158=0,0,H162*12500)+SUM(G102:I105)</f>
        <v>107220.72641544811</v>
      </c>
      <c r="I291" s="810">
        <f ca="1">'2'!$H61</f>
        <v>81576.900279942362</v>
      </c>
      <c r="K291" s="20" t="str">
        <f>Lang!$A$149</f>
        <v>Machine running costs</v>
      </c>
      <c r="M291" s="19">
        <f ca="1">8*M153+3500*M158+IF(M158=0,0,M162*12500)+SUM(L102:N105)</f>
        <v>110612.48409186384</v>
      </c>
      <c r="N291" s="810">
        <f ca="1">'3'!$H61</f>
        <v>89387.074194316665</v>
      </c>
      <c r="P291" s="20" t="str">
        <f>Lang!$A$149</f>
        <v>Machine running costs</v>
      </c>
      <c r="R291" s="19">
        <f ca="1">8*R153+3500*R158+IF(R158=0,0,R162*12500)+SUM(Q102:S105)</f>
        <v>115237.63884090354</v>
      </c>
      <c r="S291" s="810">
        <f ca="1">'4'!$H61</f>
        <v>95017.79129302183</v>
      </c>
      <c r="U291" s="20" t="str">
        <f>Lang!$A$149</f>
        <v>Machine running costs</v>
      </c>
      <c r="W291" s="19" t="e">
        <f ca="1">8*W153+3500*W158+IF(W158=0,0,W162*12500)+SUM(V102:X105)</f>
        <v>#DIV/0!</v>
      </c>
      <c r="X291" s="810" t="e">
        <f ca="1">'5'!$H61</f>
        <v>#VALUE!</v>
      </c>
      <c r="Z291" s="802" t="e">
        <f t="shared" ca="1" si="36"/>
        <v>#DIV/0!</v>
      </c>
      <c r="AA291" s="802"/>
      <c r="AB291" s="802"/>
      <c r="AC291" s="20"/>
    </row>
    <row r="292" spans="1:29" x14ac:dyDescent="0.25">
      <c r="A292" s="20" t="str">
        <f>Lang!$A$299</f>
        <v>Machinists wages</v>
      </c>
      <c r="C292" s="19">
        <f ca="1">IF(C153&lt;(C175+C176)*360/4,(C175+C176)*360*C178,IF(C153&gt;C155,C178*C156+C178*1.5*(C155-C156)+C178*2*(C153-C155),IF(C153&gt;C156,C178*C156+C178*1.5*(C153-C156),C178*C153))*4)*IF(C162=2,4/3,IF(C162=3,5/3,1))</f>
        <v>288117.05632651364</v>
      </c>
      <c r="D292" s="810">
        <f ca="1">'1'!$H62</f>
        <v>281636.77888464031</v>
      </c>
      <c r="F292" s="20" t="str">
        <f>Lang!$A$299</f>
        <v>Machinists wages</v>
      </c>
      <c r="H292" s="19">
        <f ca="1">IF(H153&lt;(H175+H176)*360/4,(H175+H176)*360*H178,IF(H153&gt;H155,H178*H156+H178*1.5*(H155-H156)+H178*2*(H153-H155),IF(H153&gt;H156,H178*H156+H178*1.5*(H153-H156),H178*H153))*4)*IF(H162=2,4/3,IF(H162=3,5/3,1))</f>
        <v>417417.11899249331</v>
      </c>
      <c r="I292" s="810">
        <f ca="1">'2'!$H62</f>
        <v>195689.50342390063</v>
      </c>
      <c r="K292" s="20" t="str">
        <f>Lang!$A$299</f>
        <v>Machinists wages</v>
      </c>
      <c r="M292" s="19">
        <f ca="1">IF(M153&lt;(M175+M176)*360/4,(M175+M176)*360*M178,IF(M153&gt;M155,M178*M156+M178*1.5*(M155-M156)+M178*2*(M153-M155),IF(M153&gt;M156,M178*M156+M178*1.5*(M153-M156),M178*M153))*4)*IF(M162=2,4/3,IF(M162=3,5/3,1))</f>
        <v>504359.32603647315</v>
      </c>
      <c r="N292" s="810">
        <f ca="1">'3'!$H62</f>
        <v>265259.97060676833</v>
      </c>
      <c r="P292" s="20" t="str">
        <f>Lang!$A$299</f>
        <v>Machinists wages</v>
      </c>
      <c r="R292" s="19">
        <f ca="1">IF(R153&lt;(R175+R176)*360/4,(R175+R176)*360*R178,IF(R153&gt;R155,R178*R156+R178*1.5*(R155-R156)+R178*2*(R153-R155),IF(R153&gt;R156,R178*R156+R178*1.5*(R153-R156),R178*R153))*4)*IF(R162=2,4/3,IF(R162=3,5/3,1))</f>
        <v>556599.68772722944</v>
      </c>
      <c r="S292" s="810">
        <f ca="1">'4'!$H62</f>
        <v>320599.93517446367</v>
      </c>
      <c r="U292" s="20" t="str">
        <f>Lang!$A$299</f>
        <v>Machinists wages</v>
      </c>
      <c r="W292" s="19" t="e">
        <f ca="1">IF(W153&lt;(W175+W176)*360/4,(W175+W176)*360*W178,IF(W153&gt;W155,W178*W156+W178*1.5*(W155-W156)+W178*2*(W153-W155),IF(W153&gt;W156,W178*W156+W178*1.5*(W153-W156),W178*W153))*4)*IF(W162=2,4/3,IF(W162=3,5/3,1))</f>
        <v>#DIV/0!</v>
      </c>
      <c r="X292" s="810">
        <f>'5'!$H62</f>
        <v>0</v>
      </c>
      <c r="Z292" s="802" t="e">
        <f t="shared" ca="1" si="36"/>
        <v>#DIV/0!</v>
      </c>
      <c r="AA292" s="802"/>
      <c r="AB292" s="802"/>
      <c r="AC292" s="20"/>
    </row>
    <row r="293" spans="1:29" x14ac:dyDescent="0.25">
      <c r="A293" s="20" t="str">
        <f>Lang!$A$298</f>
        <v>Assembly wages</v>
      </c>
      <c r="C293" s="19">
        <f ca="1">IF(C166&gt;C168,C177*C169+C177*1.5*(C168-C169)+C177*2*(C166-C168),IF(C166&gt;C169,C177*C169+C177*1.5*(C166-C169),C177*C166))+IF(D177&lt;D178,(D178-D177)*C171,0)</f>
        <v>189076.81821427459</v>
      </c>
      <c r="D293" s="810">
        <f ca="1">'1'!$H63</f>
        <v>184824.13614304521</v>
      </c>
      <c r="F293" s="20" t="str">
        <f>Lang!$A$298</f>
        <v>Assembly wages</v>
      </c>
      <c r="H293" s="19">
        <f ca="1">IF(H166&gt;H168,H177*H169+H177*1.5*(H168-H169)+H177*2*(H166-H168),IF(H166&gt;H169,H177*H169+H177*1.5*(H166-H169),H177*H166))+IF(I177&lt;I178,(I178-I177)*H171,0)</f>
        <v>200012.36951723637</v>
      </c>
      <c r="I293" s="810">
        <f ca="1">'2'!$H63</f>
        <v>168284.20990206656</v>
      </c>
      <c r="K293" s="20" t="str">
        <f>Lang!$A$298</f>
        <v>Assembly wages</v>
      </c>
      <c r="M293" s="19">
        <f ca="1">IF(M166&gt;M168,M177*M169+M177*1.5*(M168-M169)+M177*2*(M166-M168),IF(M166&gt;M169,M177*M169+M177*1.5*(M166-M169),M177*M166))+IF(N177&lt;N178,(N178-N177)*M171,0)</f>
        <v>298030.51083973411</v>
      </c>
      <c r="N293" s="810">
        <f ca="1">'3'!$H63</f>
        <v>218839.47575058389</v>
      </c>
      <c r="P293" s="20" t="str">
        <f>Lang!$A$298</f>
        <v>Assembly wages</v>
      </c>
      <c r="R293" s="19">
        <f ca="1">IF(R166&gt;R168,R177*R169+R177*1.5*(R168-R169)+R177*2*(R166-R168),IF(R166&gt;R169,R177*R169+R177*1.5*(R166-R169),R177*R166))+IF(S177&lt;S178,(S178-S177)*R171,0)*IF(R162=2,4/3,IF(R162=3,5/3,1))</f>
        <v>398653.96064489661</v>
      </c>
      <c r="S293" s="810">
        <f ca="1">'4'!$H63</f>
        <v>304569.9384157405</v>
      </c>
      <c r="U293" s="20" t="str">
        <f>Lang!$A$298</f>
        <v>Assembly wages</v>
      </c>
      <c r="W293" s="19" t="e">
        <f ca="1">IF(W166&gt;W168,W177*W169+W177*1.5*(W168-W169)+W177*2*(W166-W168),IF(W166&gt;W169,W177*W169+W177*1.5*(W166-W169),W177*W166))+IF(X177&lt;X178,(X178-X177)*W171,0)</f>
        <v>#DIV/0!</v>
      </c>
      <c r="X293" s="810" t="e">
        <f ca="1">'5'!$H63</f>
        <v>#VALUE!</v>
      </c>
      <c r="Z293" s="802" t="e">
        <f t="shared" ca="1" si="36"/>
        <v>#DIV/0!</v>
      </c>
      <c r="AA293" s="802"/>
      <c r="AB293" s="802"/>
      <c r="AC293" s="20"/>
    </row>
    <row r="294" spans="1:29" x14ac:dyDescent="0.25">
      <c r="A294" s="20" t="str">
        <f>Lang!$A$150</f>
        <v>Quality control</v>
      </c>
      <c r="C294" s="19">
        <f ca="1">SUM(B102:D105)</f>
        <v>3727.7366010006895</v>
      </c>
      <c r="D294" s="810">
        <f ca="1">'1'!$H64</f>
        <v>3656.4436915803881</v>
      </c>
      <c r="F294" s="20" t="str">
        <f>Lang!$A$150</f>
        <v>Quality control</v>
      </c>
      <c r="H294" s="19">
        <f ca="1">SUM(G102:I105)</f>
        <v>4913.6410432000648</v>
      </c>
      <c r="I294" s="810">
        <f ca="1">'2'!$H64</f>
        <v>3983.1880181718316</v>
      </c>
      <c r="K294" s="20" t="str">
        <f>Lang!$A$150</f>
        <v>Quality control</v>
      </c>
      <c r="M294" s="19">
        <f ca="1">SUM(L102:N105)</f>
        <v>5706.8634377390172</v>
      </c>
      <c r="N294" s="810">
        <f ca="1">'3'!$H64</f>
        <v>5335.4181901007687</v>
      </c>
      <c r="P294" s="20" t="str">
        <f>Lang!$A$150</f>
        <v>Quality control</v>
      </c>
      <c r="R294" s="19">
        <f ca="1">SUM(Q102:S105)</f>
        <v>5695.2996935163146</v>
      </c>
      <c r="S294" s="810">
        <f ca="1">'4'!$H64</f>
        <v>6959.0741515591008</v>
      </c>
      <c r="U294" s="20" t="str">
        <f>Lang!$A$150</f>
        <v>Quality control</v>
      </c>
      <c r="W294" s="19">
        <f ca="1">SUM(V102:X105)</f>
        <v>5534.3085415255109</v>
      </c>
      <c r="X294" s="810" t="e">
        <f ca="1">'5'!$H64</f>
        <v>#VALUE!</v>
      </c>
      <c r="Z294" s="802">
        <f t="shared" ca="1" si="36"/>
        <v>25577.849316981599</v>
      </c>
      <c r="AA294" s="802"/>
      <c r="AB294" s="802"/>
      <c r="AC294" s="20"/>
    </row>
    <row r="295" spans="1:29" x14ac:dyDescent="0.25">
      <c r="A295" s="20" t="str">
        <f>Lang!$A$231</f>
        <v>Hired transport</v>
      </c>
      <c r="B295" s="20"/>
      <c r="C295" s="19">
        <f ca="1">(IF(D101=1,E102,CEILING(E102,1))*CEILING('52'!$M$36/400,1)+IF(D101=1,E103,CEILING(E103,1))*CEILING('52'!$N$36/400,1)+IF(D101=1,E104,CEILING(E104,1))*CEILING('52'!$O$36/400,1))*650+IF(D101=1,E103,CEILING(E103,1))*8000</f>
        <v>39400</v>
      </c>
      <c r="D295" s="810">
        <f ca="1">'1'!$H65</f>
        <v>42000</v>
      </c>
      <c r="F295" s="20" t="str">
        <f>Lang!$A$231</f>
        <v>Hired transport</v>
      </c>
      <c r="G295" s="20"/>
      <c r="H295" s="19">
        <f ca="1">(IF(I101=1,J102,CEILING(J102,1))*CEILING('52'!$M$36/400,1)+IF(I101=1,J103,CEILING(J103,1))*CEILING('52'!$N$36/400,1)+IF(I101=1,J104,CEILING(J104,1))*CEILING('52'!$O$36/400,1))*650+IF(I101=1,J103,CEILING(J103,1))*8000</f>
        <v>69250</v>
      </c>
      <c r="I295" s="810">
        <f ca="1">'2'!$H65</f>
        <v>35950</v>
      </c>
      <c r="K295" s="20" t="str">
        <f>Lang!$A$231</f>
        <v>Hired transport</v>
      </c>
      <c r="L295" s="20"/>
      <c r="M295" s="19">
        <f ca="1">(IF(N101=1,O102,CEILING(O102,1))*CEILING('52'!$M$36/400,1)+IF(N101=1,O103,CEILING(O103,1))*CEILING('52'!$N$36/400,1)+IF(N101=1,O104,CEILING(O104,1))*CEILING('52'!$O$36/400,1))*650+IF(N101=1,O103,CEILING(O103,1))*8000</f>
        <v>81150</v>
      </c>
      <c r="N295" s="810">
        <f ca="1">'3'!$H65</f>
        <v>65363.599999999991</v>
      </c>
      <c r="P295" s="20" t="str">
        <f>Lang!$A$231</f>
        <v>Hired transport</v>
      </c>
      <c r="Q295" s="20"/>
      <c r="R295" s="19">
        <f ca="1">(IF(S101=1,T102,CEILING(T102,1))*CEILING('52'!$M$36/400,1)+IF(S101=1,T103,CEILING(T103,1))*CEILING('52'!$N$36/400,1)+IF(S101=1,T104,CEILING(T104,1))*CEILING('52'!$O$36/400,1))*650+IF(S101=1,T103,CEILING(T103,1))*8000</f>
        <v>93050</v>
      </c>
      <c r="S295" s="810">
        <f ca="1">'4'!$H65</f>
        <v>101535.12963146393</v>
      </c>
      <c r="U295" s="20" t="str">
        <f>Lang!$A$231</f>
        <v>Hired transport</v>
      </c>
      <c r="V295" s="20"/>
      <c r="W295" s="19">
        <f ca="1">(IF(X101=1,Y102,CEILING(Y102,1))*CEILING('52'!$M$36/400,1)+IF(X101=1,Y103,CEILING(Y103,1))*CEILING('52'!$N$36/400,1)+IF(X101=1,Y104,CEILING(Y104,1))*CEILING('52'!$O$36/400,1))*650+IF(X101=1,Y103,CEILING(Y103,1))*8000</f>
        <v>81150</v>
      </c>
      <c r="X295" s="810" t="e">
        <f ca="1">'5'!$H65</f>
        <v>#VALUE!</v>
      </c>
      <c r="Z295" s="802">
        <f t="shared" ca="1" si="36"/>
        <v>364000</v>
      </c>
      <c r="AA295" s="802"/>
      <c r="AB295" s="802"/>
      <c r="AC295" s="20"/>
    </row>
    <row r="296" spans="1:29" x14ac:dyDescent="0.25">
      <c r="A296" s="554" t="str">
        <f>Lang!$A$232</f>
        <v>Less closing inventory values</v>
      </c>
      <c r="C296" s="19">
        <f ca="1">C323+C324+C325</f>
        <v>945458.34273052251</v>
      </c>
      <c r="D296" s="810">
        <f ca="1">'1'!$H66</f>
        <v>278776.49472038384</v>
      </c>
      <c r="F296" s="554" t="str">
        <f>Lang!$A$232</f>
        <v>Less closing inventory values</v>
      </c>
      <c r="H296" s="19">
        <f ca="1">H323+H324+H325</f>
        <v>1037072.2800146263</v>
      </c>
      <c r="I296" s="810">
        <f ca="1">'2'!$H66</f>
        <v>761684.3936830149</v>
      </c>
      <c r="K296" s="554" t="str">
        <f>Lang!$A$232</f>
        <v>Less closing inventory values</v>
      </c>
      <c r="M296" s="19">
        <f ca="1">M323+M324+M325</f>
        <v>1000881.549939774</v>
      </c>
      <c r="N296" s="810">
        <f ca="1">'3'!$H66</f>
        <v>1175715.2198895104</v>
      </c>
      <c r="P296" s="554" t="str">
        <f>Lang!$A$232</f>
        <v>Less closing inventory values</v>
      </c>
      <c r="R296" s="19">
        <f ca="1">R323+R324+R325</f>
        <v>576801.72659826581</v>
      </c>
      <c r="S296" s="810">
        <f ca="1">'4'!$H66</f>
        <v>1440457.2700633761</v>
      </c>
      <c r="U296" s="554" t="str">
        <f>Lang!$A$232</f>
        <v>Less closing inventory values</v>
      </c>
      <c r="W296" s="19" t="e">
        <f ca="1">W323+W324+W325</f>
        <v>#DIV/0!</v>
      </c>
      <c r="X296" s="810" t="e">
        <f ca="1">'5'!$H66</f>
        <v>#VALUE!</v>
      </c>
      <c r="Z296" s="802" t="e">
        <f ca="1">C296+H296+M296+R296+W296</f>
        <v>#DIV/0!</v>
      </c>
      <c r="AA296" s="802"/>
      <c r="AB296" s="802"/>
      <c r="AC296" s="20"/>
    </row>
    <row r="297" spans="1:29" x14ac:dyDescent="0.25">
      <c r="A297" s="20" t="str">
        <f>Lang!$A$111</f>
        <v>Cost of sales</v>
      </c>
      <c r="C297" s="19">
        <f ca="1">SUM(C288:C295)-C296</f>
        <v>1056115.3366369996</v>
      </c>
      <c r="D297" s="810">
        <f ca="1">'1'!$H67</f>
        <v>958625.12848781724</v>
      </c>
      <c r="F297" s="20" t="str">
        <f>Lang!$A$111</f>
        <v>Cost of sales</v>
      </c>
      <c r="H297" s="19">
        <f ca="1">SUM(H288:H295)-H296</f>
        <v>1256244.4845311511</v>
      </c>
      <c r="I297" s="810">
        <f ca="1">'2'!$H67</f>
        <v>1068592.3158895399</v>
      </c>
      <c r="K297" s="20" t="str">
        <f>Lang!$A$111</f>
        <v>Cost of sales</v>
      </c>
      <c r="M297" s="19">
        <f ca="1">SUM(M288:M295)-M296</f>
        <v>1472322.8944222014</v>
      </c>
      <c r="N297" s="810">
        <f ca="1">'3'!$H67</f>
        <v>1365817.2221506545</v>
      </c>
      <c r="P297" s="20" t="str">
        <f>Lang!$A$111</f>
        <v>Cost of sales</v>
      </c>
      <c r="R297" s="19">
        <f ca="1">SUM(R288:R295)-R296</f>
        <v>1735777.081585814</v>
      </c>
      <c r="S297" s="810">
        <f ca="1">'4'!$H67</f>
        <v>1781648.6408157321</v>
      </c>
      <c r="U297" s="20" t="str">
        <f>Lang!$A$111</f>
        <v>Cost of sales</v>
      </c>
      <c r="W297" s="19" t="e">
        <f ca="1">SUM(W288:W295)-W296</f>
        <v>#DIV/0!</v>
      </c>
      <c r="X297" s="810" t="e">
        <f ca="1">'5'!$H67</f>
        <v>#VALUE!</v>
      </c>
      <c r="Z297" s="802" t="e">
        <f ca="1">C297+H297+M297+R297+W297</f>
        <v>#DIV/0!</v>
      </c>
      <c r="AA297" s="802"/>
      <c r="AB297" s="802"/>
      <c r="AC297" s="20"/>
    </row>
    <row r="298" spans="1:29" x14ac:dyDescent="0.25">
      <c r="A298" s="73" t="str">
        <f>Lang!$A$112</f>
        <v>Gross profit</v>
      </c>
      <c r="B298" s="73"/>
      <c r="C298" s="331">
        <f ca="1">C286-C297</f>
        <v>548494.54605916142</v>
      </c>
      <c r="D298" s="652">
        <f ca="1">'1'!$H68</f>
        <v>671251.4036128812</v>
      </c>
      <c r="F298" s="73" t="str">
        <f>Lang!$A$112</f>
        <v>Gross profit</v>
      </c>
      <c r="G298" s="73"/>
      <c r="H298" s="331">
        <f ca="1">H286-H297</f>
        <v>731527.45189761603</v>
      </c>
      <c r="I298" s="652">
        <f ca="1">'2'!$H68</f>
        <v>786241.6841104601</v>
      </c>
      <c r="K298" s="73" t="str">
        <f>Lang!$A$112</f>
        <v>Gross profit</v>
      </c>
      <c r="L298" s="73"/>
      <c r="M298" s="331">
        <f ca="1">M286-M297</f>
        <v>789137.63641326409</v>
      </c>
      <c r="N298" s="652">
        <f ca="1">'3'!$H68</f>
        <v>1084209.7478493457</v>
      </c>
      <c r="P298" s="73" t="str">
        <f>Lang!$A$112</f>
        <v>Gross profit</v>
      </c>
      <c r="Q298" s="73"/>
      <c r="R298" s="331">
        <f ca="1">R286-R297</f>
        <v>857081.7659132944</v>
      </c>
      <c r="S298" s="652">
        <f ca="1">'4'!$H68</f>
        <v>1404648.2620209767</v>
      </c>
      <c r="U298" s="73" t="str">
        <f>Lang!$A$112</f>
        <v>Gross profit</v>
      </c>
      <c r="V298" s="73"/>
      <c r="W298" s="331" t="e">
        <f ca="1">W286-W297</f>
        <v>#DIV/0!</v>
      </c>
      <c r="X298" s="652" t="e">
        <f ca="1">'5'!$H68</f>
        <v>#VALUE!</v>
      </c>
      <c r="Z298" s="802" t="e">
        <f ca="1">C298+H298+M298+R298+W298</f>
        <v>#DIV/0!</v>
      </c>
      <c r="AA298" s="802"/>
      <c r="AB298" s="802"/>
      <c r="AC298" s="20"/>
    </row>
    <row r="299" spans="1:29" x14ac:dyDescent="0.25">
      <c r="A299" s="20" t="str">
        <f>Lang!$A$233</f>
        <v>Administrative expenses</v>
      </c>
      <c r="C299" s="19">
        <f ca="1">C272</f>
        <v>528177.74185591517</v>
      </c>
      <c r="D299" s="810">
        <f ca="1">'1'!$H69</f>
        <v>480540.41619652021</v>
      </c>
      <c r="F299" s="20" t="str">
        <f>Lang!$A$233</f>
        <v>Administrative expenses</v>
      </c>
      <c r="H299" s="19">
        <f ca="1">H272</f>
        <v>615095.46357096301</v>
      </c>
      <c r="I299" s="810">
        <f ca="1">'2'!$H69</f>
        <v>686639.83096390136</v>
      </c>
      <c r="K299" s="20" t="str">
        <f>Lang!$A$233</f>
        <v>Administrative expenses</v>
      </c>
      <c r="M299" s="19">
        <f ca="1">M272</f>
        <v>632480.35567226424</v>
      </c>
      <c r="N299" s="810">
        <f ca="1">'3'!$H69</f>
        <v>808248.35111460928</v>
      </c>
      <c r="P299" s="20" t="str">
        <f>Lang!$A$233</f>
        <v>Administrative expenses</v>
      </c>
      <c r="R299" s="19">
        <f ca="1">R272</f>
        <v>608304.3388052769</v>
      </c>
      <c r="S299" s="810">
        <f ca="1">'4'!$H69</f>
        <v>991071.67360718583</v>
      </c>
      <c r="U299" s="20" t="str">
        <f>Lang!$A$233</f>
        <v>Administrative expenses</v>
      </c>
      <c r="W299" s="19" t="e">
        <f ca="1">W272</f>
        <v>#DIV/0!</v>
      </c>
      <c r="X299" s="810" t="e">
        <f ca="1">'5'!$H69</f>
        <v>#VALUE!</v>
      </c>
      <c r="Z299" s="802" t="e">
        <f ca="1">C299+H299+M299+R299+W299</f>
        <v>#DIV/0!</v>
      </c>
      <c r="AA299" s="802"/>
      <c r="AB299" s="802"/>
      <c r="AC299" s="20"/>
    </row>
    <row r="300" spans="1:29" x14ac:dyDescent="0.25">
      <c r="A300" s="20" t="str">
        <f>Lang!$A$234</f>
        <v>Insurance receipts</v>
      </c>
      <c r="C300" s="19">
        <f ca="1">IF(C281-C282&gt;0,C281-C282,0)</f>
        <v>0</v>
      </c>
      <c r="D300" s="810">
        <f ca="1">'1'!$H70</f>
        <v>0</v>
      </c>
      <c r="F300" s="20" t="str">
        <f>Lang!$A$234</f>
        <v>Insurance receipts</v>
      </c>
      <c r="H300" s="19">
        <f ca="1">IF(H281-H282&gt;0,H281-H282,0)</f>
        <v>30750.773629077907</v>
      </c>
      <c r="I300" s="810">
        <f ca="1">'2'!$H70</f>
        <v>32032.652000000002</v>
      </c>
      <c r="K300" s="20" t="str">
        <f>Lang!$A$234</f>
        <v>Insurance receipts</v>
      </c>
      <c r="M300" s="19">
        <f ca="1">IF(M281-M282&gt;0,M281-M282,0)</f>
        <v>30975.727704941492</v>
      </c>
      <c r="N300" s="810">
        <f ca="1">'3'!$H70</f>
        <v>31628.268</v>
      </c>
      <c r="P300" s="20" t="str">
        <f>Lang!$A$234</f>
        <v>Insurance receipts</v>
      </c>
      <c r="R300" s="19">
        <f ca="1">IF(R281-R282&gt;0,R281-R282,0)</f>
        <v>0</v>
      </c>
      <c r="S300" s="810">
        <f ca="1">'4'!$H70</f>
        <v>0</v>
      </c>
      <c r="U300" s="20" t="str">
        <f>Lang!$A$234</f>
        <v>Insurance receipts</v>
      </c>
      <c r="W300" s="19">
        <f ca="1">IF(W281-W282&gt;0,W281-W282,0)</f>
        <v>0</v>
      </c>
      <c r="X300" s="810">
        <f ca="1">'5'!$H70</f>
        <v>0</v>
      </c>
      <c r="Z300" s="802">
        <f ca="1">C300+H300+M300+R300+W300</f>
        <v>61726.501334019398</v>
      </c>
      <c r="AA300" s="802"/>
      <c r="AB300" s="802"/>
      <c r="AC300" s="20"/>
    </row>
    <row r="301" spans="1:29" x14ac:dyDescent="0.25">
      <c r="A301" s="20" t="str">
        <f>Lang!$A$151</f>
        <v>Depreciation</v>
      </c>
      <c r="C301" s="19">
        <f>C319/0.975*0.025</f>
        <v>26771.75</v>
      </c>
      <c r="D301" s="810">
        <f>'1'!$H71</f>
        <v>34271.75</v>
      </c>
      <c r="F301" s="20" t="str">
        <f>Lang!$A$151</f>
        <v>Depreciation</v>
      </c>
      <c r="H301" s="19">
        <f>H319/0.975*0.025</f>
        <v>33602.456250000003</v>
      </c>
      <c r="I301" s="810">
        <f>'2'!$H71</f>
        <v>33415</v>
      </c>
      <c r="K301" s="20" t="str">
        <f>Lang!$A$151</f>
        <v>Depreciation</v>
      </c>
      <c r="M301" s="19">
        <f>M319/0.975*0.025</f>
        <v>32762.39484375</v>
      </c>
      <c r="N301" s="810">
        <f>'3'!$H71</f>
        <v>32579.65</v>
      </c>
      <c r="P301" s="20" t="str">
        <f>Lang!$A$151</f>
        <v>Depreciation</v>
      </c>
      <c r="R301" s="19">
        <f>R319/0.975*0.025</f>
        <v>31943.334972656252</v>
      </c>
      <c r="S301" s="810">
        <f>'4'!$H71</f>
        <v>31765.15</v>
      </c>
      <c r="U301" s="20" t="str">
        <f>Lang!$A$151</f>
        <v>Depreciation</v>
      </c>
      <c r="W301" s="19">
        <f>W319/0.975*0.025</f>
        <v>31144.751598339844</v>
      </c>
      <c r="X301" s="810">
        <f>'5'!$H71</f>
        <v>0</v>
      </c>
      <c r="Z301" s="802">
        <f t="shared" si="36"/>
        <v>156224.6876647461</v>
      </c>
      <c r="AA301" s="802"/>
      <c r="AB301" s="802"/>
    </row>
    <row r="302" spans="1:29" x14ac:dyDescent="0.25">
      <c r="A302" s="332" t="str">
        <f>Lang!$A$119</f>
        <v>Operating profit/loss</v>
      </c>
      <c r="B302" s="73"/>
      <c r="C302" s="331">
        <f ca="1">C298+C300-C299-C301</f>
        <v>-6454.9457967537455</v>
      </c>
      <c r="D302" s="652">
        <f ca="1">'1'!$H72</f>
        <v>156439.23741636099</v>
      </c>
      <c r="F302" s="332" t="str">
        <f>Lang!$A$119</f>
        <v>Operating profit/loss</v>
      </c>
      <c r="G302" s="73"/>
      <c r="H302" s="331">
        <f ca="1">H298+H300-H299-H301</f>
        <v>113580.30570573096</v>
      </c>
      <c r="I302" s="652">
        <f ca="1">'2'!$H72</f>
        <v>98219.505146558746</v>
      </c>
      <c r="K302" s="332" t="str">
        <f>Lang!$A$119</f>
        <v>Operating profit/loss</v>
      </c>
      <c r="L302" s="73"/>
      <c r="M302" s="331">
        <f ca="1">M298+M300-M299-M301</f>
        <v>154870.61360219138</v>
      </c>
      <c r="N302" s="652">
        <f ca="1">'3'!$H72</f>
        <v>275010.01473473629</v>
      </c>
      <c r="P302" s="332" t="str">
        <f>Lang!$A$119</f>
        <v>Operating profit/loss</v>
      </c>
      <c r="Q302" s="73"/>
      <c r="R302" s="331">
        <f ca="1">R298+R300-R299-R301</f>
        <v>216834.09213536125</v>
      </c>
      <c r="S302" s="652">
        <f ca="1">'4'!$H72</f>
        <v>381811.43841379089</v>
      </c>
      <c r="U302" s="332" t="str">
        <f>Lang!$A$119</f>
        <v>Operating profit/loss</v>
      </c>
      <c r="V302" s="73"/>
      <c r="W302" s="331" t="e">
        <f ca="1">W298+W300-W299-W301</f>
        <v>#DIV/0!</v>
      </c>
      <c r="X302" s="652" t="e">
        <f ca="1">'5'!$H72</f>
        <v>#VALUE!</v>
      </c>
      <c r="Z302" s="802" t="e">
        <f ca="1">C302+H302+M302+R302+W302</f>
        <v>#DIV/0!</v>
      </c>
      <c r="AA302" s="802"/>
      <c r="AB302" s="802"/>
    </row>
    <row r="303" spans="1:29" x14ac:dyDescent="0.25">
      <c r="A303" s="2" t="str">
        <f>Lang!$A$235</f>
        <v>Finance income</v>
      </c>
      <c r="B303" s="8"/>
      <c r="C303" s="19">
        <f>C328*E328/4</f>
        <v>1437.5</v>
      </c>
      <c r="D303" s="810">
        <f>'1'!$H73</f>
        <v>1437.5</v>
      </c>
      <c r="F303" s="2" t="str">
        <f>Lang!$A$235</f>
        <v>Finance income</v>
      </c>
      <c r="G303" s="8"/>
      <c r="H303" s="19">
        <f>H328*J328/4</f>
        <v>812.5</v>
      </c>
      <c r="I303" s="810">
        <f>'2'!$H73</f>
        <v>812.5</v>
      </c>
      <c r="K303" s="2" t="str">
        <f>Lang!$A$235</f>
        <v>Finance income</v>
      </c>
      <c r="L303" s="8"/>
      <c r="M303" s="19">
        <f>M328*O328/4</f>
        <v>812.5</v>
      </c>
      <c r="N303" s="810">
        <f>'3'!$H73</f>
        <v>812.5</v>
      </c>
      <c r="P303" s="2" t="str">
        <f>Lang!$A$235</f>
        <v>Finance income</v>
      </c>
      <c r="Q303" s="8"/>
      <c r="R303" s="19">
        <f>R328*T328/4</f>
        <v>975</v>
      </c>
      <c r="S303" s="810">
        <f>'4'!$H73</f>
        <v>525</v>
      </c>
      <c r="U303" s="2" t="str">
        <f>Lang!$A$235</f>
        <v>Finance income</v>
      </c>
      <c r="V303" s="8"/>
      <c r="W303" s="19">
        <f>W328*Y328/4</f>
        <v>0</v>
      </c>
      <c r="X303" s="810">
        <f>'5'!$H73</f>
        <v>0</v>
      </c>
      <c r="Z303" s="802">
        <f t="shared" si="36"/>
        <v>4037.5</v>
      </c>
      <c r="AA303" s="802"/>
      <c r="AB303" s="802"/>
    </row>
    <row r="304" spans="1:29" x14ac:dyDescent="0.25">
      <c r="A304" s="2" t="str">
        <f>Lang!$A$236</f>
        <v>Finance expense</v>
      </c>
      <c r="B304" s="8"/>
      <c r="C304" s="19">
        <f ca="1">(C336+OFFSET(History!K$71,$B$253,0)*1000)/2*E336/4+(C337+OFFSET(History!L$71,$B$253,0)*1000)/2*E337/4+C339*E339/4</f>
        <v>0</v>
      </c>
      <c r="D304" s="810">
        <f ca="1">'1'!$H74</f>
        <v>0</v>
      </c>
      <c r="F304" s="2" t="str">
        <f>Lang!$A$236</f>
        <v>Finance expense</v>
      </c>
      <c r="G304" s="8"/>
      <c r="H304" s="19">
        <f ca="1">(H336+C336)/2*J336/4+(H337+C337)/2*J337/4+H339*J339/4</f>
        <v>0</v>
      </c>
      <c r="I304" s="810">
        <f ca="1">'2'!$H74</f>
        <v>0</v>
      </c>
      <c r="K304" s="2" t="str">
        <f>Lang!$A$236</f>
        <v>Finance expense</v>
      </c>
      <c r="L304" s="8"/>
      <c r="M304" s="19">
        <f ca="1">(M336+H336)/2*O336/4+(M337+H337)/2*O337/4+M339*O339/4</f>
        <v>0</v>
      </c>
      <c r="N304" s="810">
        <f ca="1">'3'!$H74</f>
        <v>97.84762596887056</v>
      </c>
      <c r="P304" s="2" t="str">
        <f>Lang!$A$236</f>
        <v>Finance expense</v>
      </c>
      <c r="Q304" s="8"/>
      <c r="R304" s="19">
        <f ca="1">(R336+M336)/2*T336/4+(R337+M337)/2*T337/4+R339*T339/4</f>
        <v>0</v>
      </c>
      <c r="S304" s="810">
        <f ca="1">'4'!$H74</f>
        <v>1038.3308989117861</v>
      </c>
      <c r="U304" s="2" t="str">
        <f>Lang!$A$236</f>
        <v>Finance expense</v>
      </c>
      <c r="V304" s="8"/>
      <c r="W304" s="19" t="e">
        <f ca="1">(W336+R336)/2*Y336/4+(W337+R337)/2*Y337/4+W339*Y339/4</f>
        <v>#DIV/0!</v>
      </c>
      <c r="X304" s="810" t="e">
        <f ca="1">'5'!$H74</f>
        <v>#VALUE!</v>
      </c>
      <c r="Z304" s="802" t="e">
        <f ca="1">C304+H304+M304+R304+W304</f>
        <v>#DIV/0!</v>
      </c>
      <c r="AA304" s="802"/>
      <c r="AB304" s="802"/>
    </row>
    <row r="305" spans="1:28" x14ac:dyDescent="0.25">
      <c r="A305" s="73" t="str">
        <f>Lang!$A$123</f>
        <v>Profit/loss before tax</v>
      </c>
      <c r="B305" s="73"/>
      <c r="C305" s="331">
        <f ca="1">C302+C303-C304</f>
        <v>-5017.4457967537455</v>
      </c>
      <c r="D305" s="652">
        <f ca="1">'1'!$H75</f>
        <v>157876.73741636099</v>
      </c>
      <c r="F305" s="73" t="str">
        <f>Lang!$A$123</f>
        <v>Profit/loss before tax</v>
      </c>
      <c r="G305" s="73"/>
      <c r="H305" s="331">
        <f ca="1">H302+H303-H304</f>
        <v>114392.80570573096</v>
      </c>
      <c r="I305" s="652">
        <f ca="1">'2'!$H75</f>
        <v>99032.005146558746</v>
      </c>
      <c r="K305" s="73" t="str">
        <f>Lang!$A$123</f>
        <v>Profit/loss before tax</v>
      </c>
      <c r="L305" s="73"/>
      <c r="M305" s="331">
        <f ca="1">M302+M303-M304</f>
        <v>155683.11360219138</v>
      </c>
      <c r="N305" s="652">
        <f ca="1">'3'!$H75</f>
        <v>275724.66710876743</v>
      </c>
      <c r="P305" s="73" t="str">
        <f>Lang!$A$123</f>
        <v>Profit/loss before tax</v>
      </c>
      <c r="Q305" s="73"/>
      <c r="R305" s="331">
        <f ca="1">R302+R303-R304</f>
        <v>217809.09213536125</v>
      </c>
      <c r="S305" s="652">
        <f ca="1">'4'!$H75</f>
        <v>381298.10751487908</v>
      </c>
      <c r="U305" s="73" t="str">
        <f>Lang!$A$123</f>
        <v>Profit/loss before tax</v>
      </c>
      <c r="V305" s="73"/>
      <c r="W305" s="331" t="e">
        <f ca="1">W302+W303-W304</f>
        <v>#DIV/0!</v>
      </c>
      <c r="X305" s="652" t="e">
        <f ca="1">'5'!$H75</f>
        <v>#VALUE!</v>
      </c>
      <c r="Z305" s="802" t="e">
        <f ca="1">C305+H305+M305+R305+W305</f>
        <v>#DIV/0!</v>
      </c>
      <c r="AA305" s="802"/>
      <c r="AB305" s="802"/>
    </row>
    <row r="306" spans="1:28" x14ac:dyDescent="0.25">
      <c r="A306" s="20" t="str">
        <f>Lang!$A$237</f>
        <v>Tax assessed</v>
      </c>
      <c r="C306" s="19">
        <f>IF(D253=4,C334,0)</f>
        <v>0</v>
      </c>
      <c r="D306" s="810">
        <f>'1'!$H76</f>
        <v>0</v>
      </c>
      <c r="F306" s="20" t="str">
        <f>Lang!$A$237</f>
        <v>Tax assessed</v>
      </c>
      <c r="H306" s="19">
        <f ca="1">IF(I253=4,H334,0)</f>
        <v>0</v>
      </c>
      <c r="I306" s="810">
        <f ca="1">'2'!$H76</f>
        <v>0</v>
      </c>
      <c r="K306" s="20" t="str">
        <f>Lang!$A$237</f>
        <v>Tax assessed</v>
      </c>
      <c r="M306" s="19">
        <f>IF(N253=4,M334,0)</f>
        <v>0</v>
      </c>
      <c r="N306" s="810">
        <f>'3'!$H76</f>
        <v>0</v>
      </c>
      <c r="P306" s="20" t="str">
        <f>Lang!$A$237</f>
        <v>Tax assessed</v>
      </c>
      <c r="R306" s="19">
        <f>IF(S253=4,R334,0)</f>
        <v>0</v>
      </c>
      <c r="S306" s="810">
        <f>'4'!$H76</f>
        <v>0</v>
      </c>
      <c r="U306" s="20" t="str">
        <f>Lang!$A$237</f>
        <v>Tax assessed</v>
      </c>
      <c r="W306" s="19">
        <f>IF(X253=4,W334,0)</f>
        <v>0</v>
      </c>
      <c r="X306" s="810">
        <f>'5'!$H76</f>
        <v>0</v>
      </c>
      <c r="Z306" s="802">
        <f ca="1">C306+H306+M306+R306+W306</f>
        <v>0</v>
      </c>
      <c r="AA306" s="802"/>
      <c r="AB306" s="802"/>
    </row>
    <row r="307" spans="1:28" x14ac:dyDescent="0.25">
      <c r="A307" s="20" t="str">
        <f>Lang!$A$125</f>
        <v>Profit/loss for the period</v>
      </c>
      <c r="C307" s="19">
        <f ca="1">C298+C300+C303-C304-C299-C301-C306</f>
        <v>-5017.4457967537455</v>
      </c>
      <c r="D307" s="810">
        <f ca="1">'1'!$H77</f>
        <v>157876.73741636099</v>
      </c>
      <c r="F307" s="20" t="str">
        <f>Lang!$A$125</f>
        <v>Profit/loss for the period</v>
      </c>
      <c r="H307" s="19">
        <f ca="1">H298+H300+H303-H304-H299-H301-H306</f>
        <v>114392.80570573096</v>
      </c>
      <c r="I307" s="810">
        <f ca="1">'2'!$H77</f>
        <v>99032.005146558746</v>
      </c>
      <c r="K307" s="20" t="str">
        <f>Lang!$A$125</f>
        <v>Profit/loss for the period</v>
      </c>
      <c r="M307" s="19">
        <f ca="1">M298+M300+M303-M304-M299-M301-M306</f>
        <v>155683.11360219138</v>
      </c>
      <c r="N307" s="810">
        <f ca="1">'3'!$H77</f>
        <v>275724.66710876732</v>
      </c>
      <c r="P307" s="20" t="str">
        <f>Lang!$A$125</f>
        <v>Profit/loss for the period</v>
      </c>
      <c r="R307" s="19">
        <f ca="1">R298+R300+R303-R304-R299-R301-R306</f>
        <v>217809.09213536125</v>
      </c>
      <c r="S307" s="810">
        <f ca="1">'4'!$H77</f>
        <v>381298.1075148792</v>
      </c>
      <c r="U307" s="20" t="str">
        <f>Lang!$A$125</f>
        <v>Profit/loss for the period</v>
      </c>
      <c r="W307" s="19" t="e">
        <f ca="1">W298+W300+W303-W304-W299-W301-W306</f>
        <v>#DIV/0!</v>
      </c>
      <c r="X307" s="810" t="e">
        <f ca="1">'5'!$H77</f>
        <v>#VALUE!</v>
      </c>
      <c r="Z307" s="802" t="e">
        <f ca="1">C307+H307+M307+R307+W307</f>
        <v>#DIV/0!</v>
      </c>
      <c r="AA307" s="802"/>
      <c r="AB307" s="802"/>
    </row>
    <row r="308" spans="1:28" x14ac:dyDescent="0.25">
      <c r="A308" s="3" t="str">
        <f>Lang!$A$129</f>
        <v>Earnings per share</v>
      </c>
      <c r="C308" s="19">
        <f ca="1">C307/C344*100</f>
        <v>-0.11403285901713059</v>
      </c>
      <c r="D308" s="810">
        <f ca="1">'1'!$H78</f>
        <v>3.9469184354090245</v>
      </c>
      <c r="F308" s="3" t="str">
        <f>Lang!$A$129</f>
        <v>Earnings per share</v>
      </c>
      <c r="H308" s="19">
        <f ca="1">H307/H344*100</f>
        <v>2.5998364933120675</v>
      </c>
      <c r="I308" s="810">
        <f ca="1">'2'!$H78</f>
        <v>2.4758001286639688</v>
      </c>
      <c r="K308" s="3" t="str">
        <f>Lang!$A$129</f>
        <v>Earnings per share</v>
      </c>
      <c r="M308" s="19">
        <f ca="1">M307/M344*100</f>
        <v>3.5382525818679857</v>
      </c>
      <c r="N308" s="810">
        <f ca="1">'3'!$H78</f>
        <v>6.893116677719183</v>
      </c>
      <c r="P308" s="3" t="str">
        <f>Lang!$A$129</f>
        <v>Earnings per share</v>
      </c>
      <c r="R308" s="19">
        <f ca="1">R307/R344*100</f>
        <v>4.9502066394400286</v>
      </c>
      <c r="S308" s="810">
        <f ca="1">'4'!$H78</f>
        <v>9.5324526878719791</v>
      </c>
      <c r="U308" s="3" t="str">
        <f>Lang!$A$129</f>
        <v>Earnings per share</v>
      </c>
      <c r="W308" s="19" t="e">
        <f ca="1">W307/W344*100</f>
        <v>#DIV/0!</v>
      </c>
      <c r="X308" s="810" t="e">
        <f ca="1">'5'!$H78</f>
        <v>#VALUE!</v>
      </c>
      <c r="Z308" s="802" t="e">
        <f ca="1">C308+H308+M308+R308+W308</f>
        <v>#DIV/0!</v>
      </c>
      <c r="AA308" s="802"/>
      <c r="AB308" s="802"/>
    </row>
    <row r="309" spans="1:28" x14ac:dyDescent="0.25">
      <c r="A309" s="20"/>
      <c r="C309" s="810"/>
      <c r="D309" s="810"/>
      <c r="F309" s="20"/>
      <c r="H309" s="810"/>
      <c r="I309" s="810"/>
      <c r="K309" s="20"/>
      <c r="M309" s="810"/>
      <c r="N309" s="810"/>
      <c r="P309" s="20"/>
      <c r="R309" s="810"/>
      <c r="S309" s="810"/>
      <c r="U309" s="20"/>
      <c r="W309" s="810"/>
      <c r="X309" s="810"/>
      <c r="Z309" s="802"/>
      <c r="AA309" s="802"/>
      <c r="AB309" s="802"/>
    </row>
    <row r="310" spans="1:28" x14ac:dyDescent="0.25">
      <c r="A310" s="20" t="str">
        <f>Lang!$A$133</f>
        <v>Dividends paid</v>
      </c>
      <c r="C310" s="19">
        <f>C193*'53'!R33</f>
        <v>0</v>
      </c>
      <c r="D310" s="810">
        <f>'1'!$H80</f>
        <v>0</v>
      </c>
      <c r="F310" s="20" t="str">
        <f>Lang!$A$133</f>
        <v>Dividends paid</v>
      </c>
      <c r="H310" s="19">
        <f ca="1">H193*C344</f>
        <v>0</v>
      </c>
      <c r="I310" s="810">
        <f>'2'!$H80</f>
        <v>0</v>
      </c>
      <c r="K310" s="20" t="str">
        <f>Lang!$A$133</f>
        <v>Dividends paid</v>
      </c>
      <c r="M310" s="19">
        <f ca="1">M193*H344</f>
        <v>0</v>
      </c>
      <c r="N310" s="810">
        <f>'3'!$H80</f>
        <v>0</v>
      </c>
      <c r="P310" s="20" t="str">
        <f>Lang!$A$133</f>
        <v>Dividends paid</v>
      </c>
      <c r="R310" s="19">
        <f ca="1">R193*M344</f>
        <v>0</v>
      </c>
      <c r="S310" s="810">
        <f>'4'!$H80</f>
        <v>40000</v>
      </c>
      <c r="U310" s="20" t="str">
        <f>Lang!$A$133</f>
        <v>Dividends paid</v>
      </c>
      <c r="W310" s="19">
        <f ca="1">W193*R344</f>
        <v>0</v>
      </c>
      <c r="X310" s="810">
        <f>'5'!$H80</f>
        <v>0</v>
      </c>
      <c r="Y310" s="150"/>
      <c r="Z310" s="802">
        <f ca="1">C310+H310+M310+R310+W310</f>
        <v>0</v>
      </c>
      <c r="AA310" s="802"/>
      <c r="AB310" s="802"/>
    </row>
    <row r="311" spans="1:28" x14ac:dyDescent="0.25">
      <c r="A311" s="20" t="str">
        <f>Lang!$A$136</f>
        <v>Transferred to retained earnings</v>
      </c>
      <c r="C311" s="19">
        <f ca="1">C307-C310</f>
        <v>-5017.4457967537455</v>
      </c>
      <c r="D311" s="810">
        <f ca="1">'1'!$H81</f>
        <v>157876.73741636099</v>
      </c>
      <c r="F311" s="20" t="str">
        <f>Lang!$A$136</f>
        <v>Transferred to retained earnings</v>
      </c>
      <c r="H311" s="19">
        <f ca="1">H307-H310</f>
        <v>114392.80570573096</v>
      </c>
      <c r="I311" s="810">
        <f ca="1">'2'!$H81</f>
        <v>99032.005146558746</v>
      </c>
      <c r="K311" s="20" t="str">
        <f>Lang!$A$136</f>
        <v>Transferred to retained earnings</v>
      </c>
      <c r="M311" s="19">
        <f ca="1">M307-M310</f>
        <v>155683.11360219138</v>
      </c>
      <c r="N311" s="810">
        <f ca="1">'3'!$H81</f>
        <v>275724.66710876732</v>
      </c>
      <c r="P311" s="20" t="str">
        <f>Lang!$A$136</f>
        <v>Transferred to retained earnings</v>
      </c>
      <c r="R311" s="19">
        <f ca="1">R307-R310</f>
        <v>217809.09213536125</v>
      </c>
      <c r="S311" s="810">
        <f ca="1">'4'!$H81</f>
        <v>341298.1075148792</v>
      </c>
      <c r="U311" s="20" t="str">
        <f>Lang!$A$136</f>
        <v>Transferred to retained earnings</v>
      </c>
      <c r="W311" s="19" t="e">
        <f ca="1">W307-W310</f>
        <v>#DIV/0!</v>
      </c>
      <c r="X311" s="810" t="e">
        <f ca="1">'5'!$H81</f>
        <v>#VALUE!</v>
      </c>
      <c r="Z311" s="802" t="e">
        <f ca="1">C311+H311+M311+R311+W311</f>
        <v>#DIV/0!</v>
      </c>
      <c r="AA311" s="802"/>
      <c r="AB311" s="802"/>
    </row>
    <row r="312" spans="1:28" x14ac:dyDescent="0.25">
      <c r="A312" s="3" t="str">
        <f>Lang!$A$138</f>
        <v>Previous retained earnings</v>
      </c>
      <c r="C312" s="19">
        <f>'53'!R35</f>
        <v>-186085</v>
      </c>
      <c r="D312" s="810">
        <f>'1'!$H82</f>
        <v>-186085</v>
      </c>
      <c r="F312" s="3" t="str">
        <f>Lang!$A$138</f>
        <v>Previous retained earnings</v>
      </c>
      <c r="H312" s="19">
        <f ca="1">C313</f>
        <v>-191102.44579675375</v>
      </c>
      <c r="I312" s="810">
        <f>'2'!$H82</f>
        <v>-154561</v>
      </c>
      <c r="K312" s="3" t="str">
        <f>Lang!$A$138</f>
        <v>Previous retained earnings</v>
      </c>
      <c r="M312" s="19">
        <f ca="1">H313</f>
        <v>-76709.640091022782</v>
      </c>
      <c r="N312" s="810">
        <f>'3'!$H82</f>
        <v>-236078</v>
      </c>
      <c r="P312" s="3" t="str">
        <f>Lang!$A$138</f>
        <v>Previous retained earnings</v>
      </c>
      <c r="R312" s="19">
        <f ca="1">M313</f>
        <v>78973.473511168602</v>
      </c>
      <c r="S312" s="810">
        <f>'4'!$H82</f>
        <v>-106809</v>
      </c>
      <c r="U312" s="3" t="str">
        <f>Lang!$A$138</f>
        <v>Previous retained earnings</v>
      </c>
      <c r="W312" s="19">
        <f ca="1">R313</f>
        <v>296782.56564652984</v>
      </c>
      <c r="X312" s="810">
        <f>'5'!$H82</f>
        <v>0</v>
      </c>
      <c r="Z312" s="802">
        <f ca="1">C312+H312+M312+R312+W312</f>
        <v>-78141.046730078058</v>
      </c>
      <c r="AA312" s="802"/>
      <c r="AB312" s="802"/>
    </row>
    <row r="313" spans="1:28" x14ac:dyDescent="0.25">
      <c r="A313" s="3" t="str">
        <f>Lang!$A$141</f>
        <v xml:space="preserve">Retained earnings </v>
      </c>
      <c r="C313" s="19">
        <f ca="1">C311+C312</f>
        <v>-191102.44579675375</v>
      </c>
      <c r="D313" s="810">
        <f ca="1">'1'!$H83</f>
        <v>-28208.262583639007</v>
      </c>
      <c r="F313" s="3" t="str">
        <f>Lang!$A$141</f>
        <v xml:space="preserve">Retained earnings </v>
      </c>
      <c r="H313" s="19">
        <f ca="1">H311+H312</f>
        <v>-76709.640091022782</v>
      </c>
      <c r="I313" s="810">
        <f ca="1">'2'!$H83</f>
        <v>-55528.994853441254</v>
      </c>
      <c r="K313" s="3" t="str">
        <f>Lang!$A$141</f>
        <v xml:space="preserve">Retained earnings </v>
      </c>
      <c r="M313" s="19">
        <f ca="1">M311+M312</f>
        <v>78973.473511168602</v>
      </c>
      <c r="N313" s="810">
        <f ca="1">'3'!$H83</f>
        <v>39646.667108767317</v>
      </c>
      <c r="P313" s="3" t="str">
        <f>Lang!$A$141</f>
        <v xml:space="preserve">Retained earnings </v>
      </c>
      <c r="R313" s="19">
        <f ca="1">R311+R312</f>
        <v>296782.56564652984</v>
      </c>
      <c r="S313" s="810">
        <f ca="1">'4'!$H83</f>
        <v>234489.1075148792</v>
      </c>
      <c r="U313" s="3" t="str">
        <f>Lang!$A$141</f>
        <v xml:space="preserve">Retained earnings </v>
      </c>
      <c r="W313" s="19" t="e">
        <f ca="1">W311+W312</f>
        <v>#DIV/0!</v>
      </c>
      <c r="X313" s="810" t="e">
        <f ca="1">'5'!$H83</f>
        <v>#VALUE!</v>
      </c>
      <c r="Z313" s="802" t="e">
        <f ca="1">C313+H313+M313+R313+W313</f>
        <v>#DIV/0!</v>
      </c>
      <c r="AA313" s="802"/>
      <c r="AB313" s="802"/>
    </row>
    <row r="314" spans="1:28" x14ac:dyDescent="0.25">
      <c r="Z314" s="802"/>
      <c r="AA314" s="802"/>
      <c r="AB314" s="802"/>
    </row>
    <row r="315" spans="1:28" x14ac:dyDescent="0.25">
      <c r="A315" s="501" t="str">
        <f>Lang!$A$98</f>
        <v>BALANCE SHEET</v>
      </c>
      <c r="B315" s="501"/>
      <c r="C315" s="653"/>
      <c r="D315" s="654"/>
      <c r="E315" s="810"/>
      <c r="F315" s="501" t="str">
        <f>Lang!$A$98</f>
        <v>BALANCE SHEET</v>
      </c>
      <c r="G315" s="501"/>
      <c r="H315" s="653"/>
      <c r="I315" s="654"/>
      <c r="J315" s="810"/>
      <c r="K315" s="501" t="str">
        <f>Lang!$A$98</f>
        <v>BALANCE SHEET</v>
      </c>
      <c r="L315" s="501"/>
      <c r="M315" s="653"/>
      <c r="N315" s="654"/>
      <c r="O315" s="810"/>
      <c r="P315" s="501" t="str">
        <f>Lang!$A$98</f>
        <v>BALANCE SHEET</v>
      </c>
      <c r="Q315" s="501"/>
      <c r="R315" s="653"/>
      <c r="S315" s="654"/>
      <c r="T315" s="810"/>
      <c r="U315" s="501" t="str">
        <f>Lang!$A$98</f>
        <v>BALANCE SHEET</v>
      </c>
      <c r="V315" s="501"/>
      <c r="W315" s="653"/>
      <c r="X315" s="654"/>
      <c r="Y315" s="810"/>
      <c r="Z315" s="802"/>
      <c r="AA315" s="802"/>
      <c r="AB315" s="802"/>
    </row>
    <row r="316" spans="1:28" x14ac:dyDescent="0.25">
      <c r="A316" s="501" t="str">
        <f>Lang!$A$153</f>
        <v>Non-current assets</v>
      </c>
      <c r="B316" s="501"/>
      <c r="C316" s="20"/>
      <c r="D316" s="655"/>
      <c r="E316" s="810"/>
      <c r="F316" s="501" t="str">
        <f>Lang!$A$153</f>
        <v>Non-current assets</v>
      </c>
      <c r="G316" s="501"/>
      <c r="H316" s="20"/>
      <c r="I316" s="655"/>
      <c r="J316" s="810"/>
      <c r="K316" s="501" t="str">
        <f>Lang!$A$153</f>
        <v>Non-current assets</v>
      </c>
      <c r="L316" s="501"/>
      <c r="M316" s="20"/>
      <c r="N316" s="655"/>
      <c r="O316" s="810"/>
      <c r="P316" s="501" t="str">
        <f>Lang!$A$153</f>
        <v>Non-current assets</v>
      </c>
      <c r="Q316" s="501"/>
      <c r="R316" s="20"/>
      <c r="S316" s="655"/>
      <c r="T316" s="810"/>
      <c r="U316" s="501" t="str">
        <f>Lang!$A$153</f>
        <v>Non-current assets</v>
      </c>
      <c r="V316" s="501"/>
      <c r="W316" s="20"/>
      <c r="X316" s="655"/>
      <c r="Y316" s="810"/>
      <c r="Z316" s="802"/>
      <c r="AA316" s="802"/>
      <c r="AB316" s="802"/>
    </row>
    <row r="317" spans="1:28" x14ac:dyDescent="0.25">
      <c r="A317" s="3" t="str">
        <f>Lang!$A$238</f>
        <v>Land</v>
      </c>
      <c r="B317" s="2"/>
      <c r="C317" s="19">
        <f>'53'!R9</f>
        <v>50000</v>
      </c>
      <c r="D317" s="810">
        <f>'1'!$M56</f>
        <v>50000</v>
      </c>
      <c r="E317" s="655"/>
      <c r="F317" s="3" t="str">
        <f>Lang!$A$238</f>
        <v>Land</v>
      </c>
      <c r="G317" s="2"/>
      <c r="H317" s="19">
        <f>C317</f>
        <v>50000</v>
      </c>
      <c r="I317" s="810">
        <f>'2'!$M56</f>
        <v>50000</v>
      </c>
      <c r="J317" s="655"/>
      <c r="K317" s="3" t="str">
        <f>Lang!$A$238</f>
        <v>Land</v>
      </c>
      <c r="L317" s="2"/>
      <c r="M317" s="19">
        <f>H317</f>
        <v>50000</v>
      </c>
      <c r="N317" s="810">
        <f>'3'!$M56</f>
        <v>50000</v>
      </c>
      <c r="O317" s="655"/>
      <c r="P317" s="3" t="str">
        <f>Lang!$A$238</f>
        <v>Land</v>
      </c>
      <c r="Q317" s="2"/>
      <c r="R317" s="19">
        <f>M317</f>
        <v>50000</v>
      </c>
      <c r="S317" s="810">
        <f>'4'!$M56</f>
        <v>50000</v>
      </c>
      <c r="T317" s="655"/>
      <c r="U317" s="3" t="str">
        <f>Lang!$A$238</f>
        <v>Land</v>
      </c>
      <c r="V317" s="2"/>
      <c r="W317" s="19">
        <f>R317</f>
        <v>50000</v>
      </c>
      <c r="X317" s="810">
        <f>'5'!$M56</f>
        <v>0</v>
      </c>
      <c r="Y317" s="655"/>
      <c r="Z317" s="802">
        <f>C317+H317+M317+R317+W317</f>
        <v>250000</v>
      </c>
      <c r="AA317" s="802"/>
      <c r="AB317" s="802"/>
    </row>
    <row r="318" spans="1:28" x14ac:dyDescent="0.25">
      <c r="A318" s="20" t="str">
        <f>Lang!$A$239</f>
        <v>Buildings</v>
      </c>
      <c r="B318" s="20"/>
      <c r="C318" s="19">
        <f ca="1">'53'!R10+D113*500</f>
        <v>250000</v>
      </c>
      <c r="D318" s="810">
        <f>'1'!$M57</f>
        <v>275000</v>
      </c>
      <c r="E318" s="655"/>
      <c r="F318" s="20" t="str">
        <f>Lang!$A$239</f>
        <v>Buildings</v>
      </c>
      <c r="G318" s="20"/>
      <c r="H318" s="19">
        <f ca="1">'63'!R10+I113*500</f>
        <v>290500</v>
      </c>
      <c r="I318" s="810">
        <f>'2'!$M57</f>
        <v>375000</v>
      </c>
      <c r="J318" s="655"/>
      <c r="K318" s="20" t="str">
        <f>Lang!$A$239</f>
        <v>Buildings</v>
      </c>
      <c r="L318" s="20"/>
      <c r="M318" s="19">
        <f ca="1">'73'!R10+N113*500</f>
        <v>382000</v>
      </c>
      <c r="N318" s="810">
        <f>'3'!$M57</f>
        <v>400000</v>
      </c>
      <c r="O318" s="655"/>
      <c r="P318" s="20" t="str">
        <f>Lang!$A$239</f>
        <v>Buildings</v>
      </c>
      <c r="Q318" s="20"/>
      <c r="R318" s="19">
        <f ca="1">'83'!R10+S113*500</f>
        <v>400000</v>
      </c>
      <c r="S318" s="810">
        <f>'4'!$M57</f>
        <v>400000</v>
      </c>
      <c r="T318" s="655"/>
      <c r="U318" s="20" t="str">
        <f>Lang!$A$239</f>
        <v>Buildings</v>
      </c>
      <c r="V318" s="20"/>
      <c r="W318" s="19">
        <f ca="1">'93'!R10+X113*500</f>
        <v>13000</v>
      </c>
      <c r="X318" s="810">
        <f>'5'!$M57</f>
        <v>0</v>
      </c>
      <c r="Y318" s="655"/>
      <c r="Z318" s="802">
        <f ca="1">C318+H318+M318+R318+W318</f>
        <v>1335500</v>
      </c>
      <c r="AA318" s="802"/>
      <c r="AB318" s="802"/>
    </row>
    <row r="319" spans="1:28" x14ac:dyDescent="0.25">
      <c r="A319" s="2" t="str">
        <f>Lang!$A$240</f>
        <v>Machinery</v>
      </c>
      <c r="B319" s="2"/>
      <c r="C319" s="19">
        <f>IF('52'!G21&gt;0,('53'!R11+C159*300000-'53'!R11/'52'!G21*C160)*0.975,0)</f>
        <v>1044098.25</v>
      </c>
      <c r="D319" s="810">
        <f>'1'!$M58</f>
        <v>1336598.25</v>
      </c>
      <c r="E319" s="655"/>
      <c r="F319" s="2" t="str">
        <f>Lang!$A$240</f>
        <v>Machinery</v>
      </c>
      <c r="G319" s="2"/>
      <c r="H319" s="19">
        <f>IF(C158+C159=0,0,(IF(H$203=1,'63'!$R11,C319)+H159*300000-IF(H$203=1,'63'!$R11,C319)/(C158+C159)*H160)*0.975)</f>
        <v>1310495.79375</v>
      </c>
      <c r="I319" s="810">
        <f>'2'!$M58</f>
        <v>1303185</v>
      </c>
      <c r="J319" s="655"/>
      <c r="K319" s="2" t="str">
        <f>Lang!$A$240</f>
        <v>Machinery</v>
      </c>
      <c r="L319" s="2"/>
      <c r="M319" s="19">
        <f>IF(H158+H159=0,0,(IF(M$203=1,'73'!$R11,H319)+M159*300000-IF(M$203=1,'73'!$R11,H319)/(H158+H159)*M160)*0.975)</f>
        <v>1277733.39890625</v>
      </c>
      <c r="N319" s="810">
        <f>'3'!$M58</f>
        <v>1270606.3499999999</v>
      </c>
      <c r="O319" s="655"/>
      <c r="P319" s="2" t="str">
        <f>Lang!$A$240</f>
        <v>Machinery</v>
      </c>
      <c r="Q319" s="2"/>
      <c r="R319" s="19">
        <f>IF(M158+M159=0,0,(IF(R$203=1,'83'!$R11,M319)+R159*300000-IF(R$203=1,'83'!$R11,M319)/(M158+M159)*R160)*0.975)</f>
        <v>1245790.0639335937</v>
      </c>
      <c r="S319" s="810">
        <f>'4'!$M58</f>
        <v>1238840.8499999999</v>
      </c>
      <c r="T319" s="655"/>
      <c r="U319" s="2" t="str">
        <f>Lang!$A$240</f>
        <v>Machinery</v>
      </c>
      <c r="V319" s="2"/>
      <c r="W319" s="19">
        <f>IF(R158+R159=0,0,(IF(W$203=1,'93'!$R11,R319)+W159*300000-IF(W$203=1,'93'!$R11,R319)/(R158+R159)*W160)*0.975)</f>
        <v>1214645.3123352539</v>
      </c>
      <c r="X319" s="810">
        <f>'5'!$M58</f>
        <v>0</v>
      </c>
      <c r="Y319" s="655"/>
      <c r="Z319" s="802">
        <f>C319+H319+M319+R319+W319</f>
        <v>6092762.8189250976</v>
      </c>
      <c r="AA319" s="802"/>
      <c r="AB319" s="802"/>
    </row>
    <row r="320" spans="1:28" x14ac:dyDescent="0.25">
      <c r="A320" s="20" t="str">
        <f>Lang!$A$103</f>
        <v>Property, plant and equipment</v>
      </c>
      <c r="B320" s="20"/>
      <c r="C320" s="19">
        <f ca="1">SUM(C317:C319)</f>
        <v>1344098.25</v>
      </c>
      <c r="D320" s="810">
        <f>'1'!$M59</f>
        <v>1661598.25</v>
      </c>
      <c r="E320" s="655"/>
      <c r="F320" s="20" t="str">
        <f>Lang!$A$103</f>
        <v>Property, plant and equipment</v>
      </c>
      <c r="G320" s="20"/>
      <c r="H320" s="19">
        <f ca="1">SUM(H317:H319)</f>
        <v>1650995.79375</v>
      </c>
      <c r="I320" s="810">
        <f>'2'!$M59</f>
        <v>1728185</v>
      </c>
      <c r="J320" s="655"/>
      <c r="K320" s="20" t="str">
        <f>Lang!$A$103</f>
        <v>Property, plant and equipment</v>
      </c>
      <c r="L320" s="20"/>
      <c r="M320" s="19">
        <f ca="1">SUM(M317:M319)</f>
        <v>1709733.39890625</v>
      </c>
      <c r="N320" s="810">
        <f>'3'!$M59</f>
        <v>1720606.3499999999</v>
      </c>
      <c r="O320" s="655"/>
      <c r="P320" s="20" t="str">
        <f>Lang!$A$103</f>
        <v>Property, plant and equipment</v>
      </c>
      <c r="Q320" s="20"/>
      <c r="R320" s="19">
        <f ca="1">SUM(R317:R319)</f>
        <v>1695790.0639335937</v>
      </c>
      <c r="S320" s="810">
        <f>'4'!$M59</f>
        <v>1688840.8499999999</v>
      </c>
      <c r="T320" s="655"/>
      <c r="U320" s="20" t="str">
        <f>Lang!$A$103</f>
        <v>Property, plant and equipment</v>
      </c>
      <c r="V320" s="20"/>
      <c r="W320" s="19">
        <f ca="1">SUM(W317:W319)</f>
        <v>1277645.3123352539</v>
      </c>
      <c r="X320" s="810">
        <f>'5'!$M59</f>
        <v>0</v>
      </c>
      <c r="Y320" s="655"/>
      <c r="Z320" s="802">
        <f ca="1">C320+H320+M320+R320+W320</f>
        <v>7678262.8189250985</v>
      </c>
      <c r="AA320" s="802"/>
      <c r="AB320" s="802"/>
    </row>
    <row r="321" spans="1:28" x14ac:dyDescent="0.25">
      <c r="B321" s="2"/>
      <c r="D321" s="810"/>
      <c r="E321" s="655"/>
      <c r="G321" s="2"/>
      <c r="I321" s="810"/>
      <c r="J321" s="655"/>
      <c r="L321" s="2"/>
      <c r="N321" s="810"/>
      <c r="O321" s="655"/>
      <c r="Q321" s="2"/>
      <c r="S321" s="810"/>
      <c r="T321" s="655"/>
      <c r="V321" s="2"/>
      <c r="X321" s="810"/>
      <c r="Y321" s="655"/>
      <c r="Z321" s="802"/>
      <c r="AA321" s="802"/>
      <c r="AB321" s="802"/>
    </row>
    <row r="322" spans="1:28" x14ac:dyDescent="0.25">
      <c r="A322" s="365" t="str">
        <f>Lang!$A$113</f>
        <v>Current assets</v>
      </c>
      <c r="B322" s="2"/>
      <c r="D322" s="810"/>
      <c r="F322" s="365" t="str">
        <f>Lang!$A$113</f>
        <v>Current assets</v>
      </c>
      <c r="G322" s="2"/>
      <c r="I322" s="810"/>
      <c r="K322" s="365" t="str">
        <f>Lang!$A$113</f>
        <v>Current assets</v>
      </c>
      <c r="L322" s="2"/>
      <c r="N322" s="810"/>
      <c r="P322" s="365" t="str">
        <f>Lang!$A$113</f>
        <v>Current assets</v>
      </c>
      <c r="Q322" s="2"/>
      <c r="S322" s="810"/>
      <c r="U322" s="365" t="str">
        <f>Lang!$A$113</f>
        <v>Current assets</v>
      </c>
      <c r="V322" s="2"/>
      <c r="X322" s="810"/>
      <c r="Z322" s="802"/>
      <c r="AA322" s="802"/>
      <c r="AB322" s="802"/>
    </row>
    <row r="323" spans="1:28" x14ac:dyDescent="0.25">
      <c r="A323" s="2" t="str">
        <f>Lang!$A$241</f>
        <v>Product inventories</v>
      </c>
      <c r="B323" s="2"/>
      <c r="C323" s="19">
        <f ca="1">(SUMIF(A239:A241,"&gt;0")*1*(1+B122)+SUMIF(B239:B241,"&gt;0")*2*(1+C122)+SUMIF(C239:C241,"&gt;0")*3*(1+D122))*MIN(B184:B186)/1000*C190*0.9+(SUMIF(A239:A241,"&gt;0")*B120+SUMIF(B239:B241,"&gt;0")*C120+SUMIF(C239:C241,"&gt;0")*D120)/60*(C293/IF(C166&gt;0,C166,1))+(SUMIF(A239:A241,"&gt;0")*60+SUMIF(B239:B241,"&gt;0")*75+SUMIF(C239:C241,"&gt;0")*120)/60*(C292/IF(C153&lt;(C175+C176)*360/4,(C175+C176)*360/4,IF(C153&gt;0,C153,1)))</f>
        <v>82212.862478401541</v>
      </c>
      <c r="D323" s="810">
        <f ca="1">'1'!$M62</f>
        <v>87378.51772506471</v>
      </c>
      <c r="E323" s="8"/>
      <c r="F323" s="2" t="str">
        <f>Lang!$A$241</f>
        <v>Product inventories</v>
      </c>
      <c r="G323" s="2"/>
      <c r="H323" s="19">
        <f ca="1">(SUMIF(F239:F241,"&gt;0")*1*(1+G122)+SUMIF(G239:G241,"&gt;0")*2*(1+H122)+SUMIF(H239:H241,"&gt;0")*3*(1+I122))*MIN(G184:G186)/1000*H190*0.9+(SUMIF(F239:F241,"&gt;0")*G120+SUMIF(G239:G241,"&gt;0")*H120+SUMIF(H239:H241,"&gt;0")*I120)/60*(H293/IF(H166&gt;0,H166,1))+(SUMIF(F239:F241,"&gt;0")*60+SUMIF(G239:G241,"&gt;0")*75+SUMIF(H239:H241,"&gt;0")*120)/60*(H292/IF(H153&lt;(H175+H176)*360/4,(H175+H176)*360/4,IF(H153&gt;0,H153,1)))</f>
        <v>117734.50972086652</v>
      </c>
      <c r="I323" s="810">
        <f ca="1">'2'!$M62</f>
        <v>48788.782042033061</v>
      </c>
      <c r="J323" s="8"/>
      <c r="K323" s="2" t="str">
        <f>Lang!$A$241</f>
        <v>Product inventories</v>
      </c>
      <c r="L323" s="2"/>
      <c r="M323" s="19">
        <f ca="1">(SUMIF(K239:K241,"&gt;0")*1*(1+L122)+SUMIF(L239:L241,"&gt;0")*2*(1+M122)+SUMIF(M239:M241,"&gt;0")*3*(1+N122))*MIN(L184:L186)/1000*M190*0.9+(SUMIF(K239:K241,"&gt;0")*L120+SUMIF(L239:L241,"&gt;0")*M120+SUMIF(M239:M241,"&gt;0")*N120)/60*(M293/IF(M166&gt;0,M166,1))+(SUMIF(K239:K241,"&gt;0")*60+SUMIF(L239:L241,"&gt;0")*75+SUMIF(M239:M241,"&gt;0")*120)/60*(M292/IF(M153&lt;(M175+M176)*360/4,(M175+M176)*360/4,IF(M153&gt;0,M153,1)))</f>
        <v>160566.99429476896</v>
      </c>
      <c r="N323" s="810">
        <f ca="1">'3'!$M62</f>
        <v>0</v>
      </c>
      <c r="O323" s="8"/>
      <c r="P323" s="2" t="str">
        <f>Lang!$A$241</f>
        <v>Product inventories</v>
      </c>
      <c r="Q323" s="2"/>
      <c r="R323" s="19">
        <f ca="1">(SUMIF(P239:P241,"&gt;0")*1*(1+Q122)+SUMIF(Q239:Q241,"&gt;0")*2*(1+R122)+SUMIF(R239:R241,"&gt;0")*3*(1+S122))*MIN(Q184:Q186)/1000*R190*0.9+(SUMIF(P239:P241,"&gt;0")*Q120+SUMIF(Q239:Q241,"&gt;0")*R120+SUMIF(R239:R241,"&gt;0")*S120)/60*(R293/IF(R166&gt;0,R166,1))+(SUMIF(P239:P241,"&gt;0")*60+SUMIF(Q239:Q241,"&gt;0")*75+SUMIF(R239:R241,"&gt;0")*120)/60*(R292/IF(R153&lt;(R175+R176)*360/4,(R175+R176)*360/4,IF(R153&gt;0,R153,1)))</f>
        <v>104249.2282516971</v>
      </c>
      <c r="S323" s="810">
        <f ca="1">'4'!$M62</f>
        <v>72709.076887507181</v>
      </c>
      <c r="T323" s="8"/>
      <c r="U323" s="2" t="str">
        <f>Lang!$A$241</f>
        <v>Product inventories</v>
      </c>
      <c r="V323" s="2"/>
      <c r="W323" s="19" t="e">
        <f ca="1">(SUMIF(U239:U241,"&gt;0")*1*(1+V122)+SUMIF(V239:V241,"&gt;0")*2*(1+W122)+SUMIF(W239:W241,"&gt;0")*3*(1+X122))*MIN(V184:V186)/1000*W190*0.9+(SUMIF(U239:U241,"&gt;0")*V120+SUMIF(V239:V241,"&gt;0")*W120+SUMIF(W239:W241,"&gt;0")*X120)/60*(W293/IF(W166&gt;0,W166,1))+(SUMIF(U239:U241,"&gt;0")*60+SUMIF(V239:V241,"&gt;0")*75+SUMIF(W239:W241,"&gt;0")*120)/60*(W292/IF(W153&lt;(W175+W176)*360/4,(W175+W176)*360/4,IF(W153&gt;0,W153,1)))</f>
        <v>#DIV/0!</v>
      </c>
      <c r="X323" s="810" t="e">
        <f ca="1">'5'!$M62</f>
        <v>#VALUE!</v>
      </c>
      <c r="Y323" s="8"/>
      <c r="Z323" s="802" t="e">
        <f t="shared" ref="Z323:Z329" ca="1" si="37">C323+H323+M323+R323+W323</f>
        <v>#DIV/0!</v>
      </c>
      <c r="AA323" s="802"/>
      <c r="AB323" s="802"/>
    </row>
    <row r="324" spans="1:28" x14ac:dyDescent="0.25">
      <c r="A324" s="8" t="str">
        <f>Lang!$A$242</f>
        <v>Component inventories</v>
      </c>
      <c r="B324" s="2"/>
      <c r="C324" s="19">
        <f ca="1">(B108*B110+C108*C110+D108*D110)+OFFSET($AL$153,B253,0)</f>
        <v>26000</v>
      </c>
      <c r="D324" s="810">
        <f ca="1">'1'!$M63</f>
        <v>165000</v>
      </c>
      <c r="E324" s="656"/>
      <c r="F324" s="8" t="str">
        <f>Lang!$A$242</f>
        <v>Component inventories</v>
      </c>
      <c r="G324" s="2"/>
      <c r="H324" s="19">
        <f ca="1">(G108*G110+H108*H110+I108*I110)+OFFSET($AL$153,G253,0)</f>
        <v>0</v>
      </c>
      <c r="I324" s="810">
        <f ca="1">'2'!$M63</f>
        <v>271944</v>
      </c>
      <c r="J324" s="656"/>
      <c r="K324" s="8" t="str">
        <f>Lang!$A$242</f>
        <v>Component inventories</v>
      </c>
      <c r="L324" s="2"/>
      <c r="M324" s="19">
        <f ca="1">(L108*L110+M108*M110+N108*N110)+OFFSET($AL$153,L253,0)</f>
        <v>0</v>
      </c>
      <c r="N324" s="810">
        <f ca="1">'3'!$M63</f>
        <v>499140</v>
      </c>
      <c r="O324" s="656"/>
      <c r="P324" s="8" t="str">
        <f>Lang!$A$242</f>
        <v>Component inventories</v>
      </c>
      <c r="Q324" s="2"/>
      <c r="R324" s="19">
        <f ca="1">(Q108*Q110+R108*R110+S108*S110)+OFFSET($AL$153,Q253,0)</f>
        <v>111489</v>
      </c>
      <c r="S324" s="810">
        <f ca="1">'4'!$M63</f>
        <v>915520</v>
      </c>
      <c r="T324" s="656"/>
      <c r="U324" s="8" t="str">
        <f>Lang!$A$242</f>
        <v>Component inventories</v>
      </c>
      <c r="V324" s="2"/>
      <c r="W324" s="19">
        <f ca="1">(V108*V110+W108*W110+X108*X110)+OFFSET($AL$153,V253,0)</f>
        <v>0</v>
      </c>
      <c r="X324" s="810" t="e">
        <f ca="1">'5'!$M63</f>
        <v>#VALUE!</v>
      </c>
      <c r="Y324" s="656"/>
      <c r="Z324" s="802">
        <f t="shared" ca="1" si="37"/>
        <v>137489</v>
      </c>
      <c r="AA324" s="802"/>
      <c r="AB324" s="802"/>
    </row>
    <row r="325" spans="1:28" x14ac:dyDescent="0.25">
      <c r="A325" s="2" t="str">
        <f>Lang!$A$243</f>
        <v>Materials inventory</v>
      </c>
      <c r="B325" s="2"/>
      <c r="C325" s="19">
        <f ca="1">(IF(C182&lt;0,0,C182)+C185+D185+C186)/1000*MIN(OFFSET(History!$N46:$P46,B253,))*OFFSET(History!$Q46,B253,)*0.9</f>
        <v>837245.48025212099</v>
      </c>
      <c r="D325" s="810">
        <f ca="1">'1'!$M64</f>
        <v>26397.976995319113</v>
      </c>
      <c r="E325" s="657"/>
      <c r="F325" s="2" t="str">
        <f>Lang!$A$243</f>
        <v>Materials inventory</v>
      </c>
      <c r="G325" s="2"/>
      <c r="H325" s="19">
        <f ca="1">(IF(H182&lt;0,0,H182)+H185+I185+H186)/1000*MIN(OFFSET(History!$N46:$P46,G253,))*OFFSET(History!$Q46,G253,)*0.9</f>
        <v>919337.77029375976</v>
      </c>
      <c r="I325" s="810">
        <f ca="1">'2'!$M64</f>
        <v>440951.61164098181</v>
      </c>
      <c r="J325" s="657"/>
      <c r="K325" s="2" t="str">
        <f>Lang!$A$243</f>
        <v>Materials inventory</v>
      </c>
      <c r="L325" s="2"/>
      <c r="M325" s="19">
        <f ca="1">(IF(M182&lt;0,0,M182)+M185+N185+M186)/1000*MIN(OFFSET(History!$N46:$P46,L253,))*OFFSET(History!$Q46,L253,)*0.9</f>
        <v>840314.55564500496</v>
      </c>
      <c r="N325" s="810">
        <f ca="1">'3'!$M64</f>
        <v>676575.21988951042</v>
      </c>
      <c r="O325" s="657"/>
      <c r="P325" s="2" t="str">
        <f>Lang!$A$243</f>
        <v>Materials inventory</v>
      </c>
      <c r="Q325" s="2"/>
      <c r="R325" s="19">
        <f ca="1">(IF(R182&lt;0,0,R182)+R185+S185+R186)/1000*MIN(OFFSET(History!$N46:$P46,Q253,))*OFFSET(History!$Q46,Q253,)*0.9</f>
        <v>361063.49834656878</v>
      </c>
      <c r="S325" s="810">
        <f ca="1">'4'!$M64</f>
        <v>452228.19317586883</v>
      </c>
      <c r="T325" s="657"/>
      <c r="U325" s="2" t="str">
        <f>Lang!$A$243</f>
        <v>Materials inventory</v>
      </c>
      <c r="V325" s="2"/>
      <c r="W325" s="19">
        <f ca="1">(IF(W182&lt;0,0,W182)+W185+X185+W186)/1000*MIN(OFFSET(History!$N46:$P46,V253,))*OFFSET(History!$Q46,V253,)*0.9</f>
        <v>29956.068139464001</v>
      </c>
      <c r="X325" s="810" t="e">
        <f ca="1">'5'!$M64</f>
        <v>#VALUE!</v>
      </c>
      <c r="Y325" s="657"/>
      <c r="Z325" s="802">
        <f t="shared" ca="1" si="37"/>
        <v>2987917.3726769187</v>
      </c>
      <c r="AA325" s="802"/>
      <c r="AB325" s="802"/>
    </row>
    <row r="326" spans="1:28" x14ac:dyDescent="0.25">
      <c r="A326" s="2" t="str">
        <f>Lang!$A$155</f>
        <v>Trade receivables</v>
      </c>
      <c r="B326" s="20"/>
      <c r="C326" s="19">
        <f ca="1">'53'!R18+C286-C351</f>
        <v>895847.22770173009</v>
      </c>
      <c r="D326" s="810">
        <f ca="1">'1'!$M65</f>
        <v>860786.89698487497</v>
      </c>
      <c r="E326" s="658"/>
      <c r="F326" s="2" t="str">
        <f>Lang!$A$155</f>
        <v>Trade receivables</v>
      </c>
      <c r="G326" s="20"/>
      <c r="H326" s="19">
        <f ca="1">C326+H286-H351</f>
        <v>1311517.9039682811</v>
      </c>
      <c r="I326" s="810">
        <f ca="1">'2'!$M65</f>
        <v>891807.64000000013</v>
      </c>
      <c r="J326" s="658"/>
      <c r="K326" s="2" t="str">
        <f>Lang!$A$155</f>
        <v>Trade receivables</v>
      </c>
      <c r="L326" s="20"/>
      <c r="M326" s="19">
        <f ca="1">H326+M286-M351</f>
        <v>1564481.8208306439</v>
      </c>
      <c r="N326" s="810">
        <f ca="1">'3'!$M65</f>
        <v>1295942.83</v>
      </c>
      <c r="O326" s="658"/>
      <c r="P326" s="2" t="str">
        <f>Lang!$A$155</f>
        <v>Trade receivables</v>
      </c>
      <c r="Q326" s="20"/>
      <c r="R326" s="19">
        <f ca="1">M326+R286-R351</f>
        <v>1805354.7367986627</v>
      </c>
      <c r="S326" s="810">
        <f ca="1">'4'!$M65</f>
        <v>1788712.873105532</v>
      </c>
      <c r="T326" s="658"/>
      <c r="U326" s="2" t="str">
        <f>Lang!$A$155</f>
        <v>Trade receivables</v>
      </c>
      <c r="V326" s="20"/>
      <c r="W326" s="19">
        <f ca="1">R326+W286-W351</f>
        <v>1611499.3752524075</v>
      </c>
      <c r="X326" s="810" t="e">
        <f ca="1">'5'!$M65</f>
        <v>#VALUE!</v>
      </c>
      <c r="Y326" s="658"/>
      <c r="Z326" s="802">
        <f t="shared" ca="1" si="37"/>
        <v>7188701.064551726</v>
      </c>
      <c r="AA326" s="802"/>
      <c r="AB326" s="802"/>
    </row>
    <row r="327" spans="1:28" x14ac:dyDescent="0.25">
      <c r="A327" s="20" t="str">
        <f>Lang!$A$244</f>
        <v>Cash</v>
      </c>
      <c r="B327" s="20"/>
      <c r="C327" s="19">
        <f ca="1">IF(C379&gt;0,C379,0)</f>
        <v>720921.33677266724</v>
      </c>
      <c r="D327" s="659">
        <f ca="1">'1'!$M66</f>
        <v>460003.92727715545</v>
      </c>
      <c r="E327" s="660">
        <f ca="1">(C327+C328-C336)/C341</f>
        <v>0.44267728398093192</v>
      </c>
      <c r="F327" s="20" t="str">
        <f>Lang!$A$244</f>
        <v>Cash</v>
      </c>
      <c r="G327" s="20"/>
      <c r="H327" s="19">
        <f ca="1">IF(H379&gt;0,H379,0)</f>
        <v>224441.0615749436</v>
      </c>
      <c r="I327" s="810">
        <f ca="1">'2'!$M66</f>
        <v>626109.58543778048</v>
      </c>
      <c r="J327" s="660">
        <f ca="1">(H327+H328-H336)/H341</f>
        <v>0.2002947909502906</v>
      </c>
      <c r="K327" s="20" t="str">
        <f>Lang!$A$244</f>
        <v>Cash</v>
      </c>
      <c r="L327" s="20"/>
      <c r="M327" s="19">
        <f ca="1">IF(M379&gt;0,M379,0)</f>
        <v>141502.42836415232</v>
      </c>
      <c r="N327" s="810">
        <f ca="1">'3'!$M66</f>
        <v>0</v>
      </c>
      <c r="O327" s="660">
        <f ca="1">(M327+M328-M336)/M341</f>
        <v>0.17184333991128689</v>
      </c>
      <c r="P327" s="20" t="str">
        <f>Lang!$A$244</f>
        <v>Cash</v>
      </c>
      <c r="Q327" s="20"/>
      <c r="R327" s="19">
        <f ca="1">IF(R379&gt;0,R379,0)</f>
        <v>435467.10978199705</v>
      </c>
      <c r="S327" s="810">
        <f ca="1">'4'!$M66</f>
        <v>0</v>
      </c>
      <c r="T327" s="660">
        <f ca="1">(R327+R328-R336)/R341</f>
        <v>0.2241884221014156</v>
      </c>
      <c r="U327" s="20" t="str">
        <f>Lang!$A$244</f>
        <v>Cash</v>
      </c>
      <c r="V327" s="20"/>
      <c r="W327" s="19" t="e">
        <f ca="1">IF(W379&gt;0,W379,0)</f>
        <v>#DIV/0!</v>
      </c>
      <c r="X327" s="810" t="e">
        <f ca="1">'5'!$M66</f>
        <v>#VALUE!</v>
      </c>
      <c r="Y327" s="660" t="e">
        <f ca="1">(W327+W328-W336)/W341</f>
        <v>#DIV/0!</v>
      </c>
      <c r="Z327" s="802" t="e">
        <f t="shared" ca="1" si="37"/>
        <v>#DIV/0!</v>
      </c>
      <c r="AA327" s="802"/>
      <c r="AB327" s="802"/>
    </row>
    <row r="328" spans="1:28" x14ac:dyDescent="0.25">
      <c r="A328" s="3" t="str">
        <f>Lang!$A$245</f>
        <v>Cash equivalents</v>
      </c>
      <c r="C328" s="19">
        <f>'53'!X32+C194*1000</f>
        <v>1150000</v>
      </c>
      <c r="D328" s="659">
        <f>'1'!$M67</f>
        <v>1150000</v>
      </c>
      <c r="E328" s="660">
        <f>C191/100</f>
        <v>5.0000000000000001E-3</v>
      </c>
      <c r="F328" s="3" t="str">
        <f>Lang!$A$245</f>
        <v>Cash equivalents</v>
      </c>
      <c r="H328" s="19">
        <f>C328+H194*1000</f>
        <v>650000</v>
      </c>
      <c r="I328" s="810">
        <f>'2'!$M67</f>
        <v>650000</v>
      </c>
      <c r="J328" s="660">
        <f>H191/100</f>
        <v>5.0000000000000001E-3</v>
      </c>
      <c r="K328" s="3" t="str">
        <f>Lang!$A$245</f>
        <v>Cash equivalents</v>
      </c>
      <c r="M328" s="19">
        <f>H328+M194*1000</f>
        <v>650000</v>
      </c>
      <c r="N328" s="810">
        <f>'3'!$M67</f>
        <v>650000</v>
      </c>
      <c r="O328" s="660">
        <f>M191/100</f>
        <v>5.0000000000000001E-3</v>
      </c>
      <c r="P328" s="3" t="str">
        <f>Lang!$A$245</f>
        <v>Cash equivalents</v>
      </c>
      <c r="R328" s="19">
        <f>M328+R194*1000</f>
        <v>650000</v>
      </c>
      <c r="S328" s="810">
        <f>'4'!$M67</f>
        <v>350000</v>
      </c>
      <c r="T328" s="660">
        <f>R191/100</f>
        <v>6.0000000000000001E-3</v>
      </c>
      <c r="U328" s="3" t="str">
        <f>Lang!$A$245</f>
        <v>Cash equivalents</v>
      </c>
      <c r="W328" s="19">
        <f>R328+W194*1000</f>
        <v>150000</v>
      </c>
      <c r="X328" s="810">
        <f>'5'!$M67</f>
        <v>-500000</v>
      </c>
      <c r="Y328" s="660">
        <f>W191/100</f>
        <v>0</v>
      </c>
      <c r="Z328" s="802">
        <f t="shared" si="37"/>
        <v>3250000</v>
      </c>
      <c r="AA328" s="802"/>
      <c r="AB328" s="802"/>
    </row>
    <row r="329" spans="1:28" x14ac:dyDescent="0.25">
      <c r="A329" s="3" t="str">
        <f>Lang!$A$113</f>
        <v>Current assets</v>
      </c>
      <c r="B329" s="20"/>
      <c r="C329" s="19">
        <f ca="1">SUM(C323:C328)</f>
        <v>3712226.90720492</v>
      </c>
      <c r="D329" s="810">
        <f ca="1">'1'!$M68</f>
        <v>2749567.318982414</v>
      </c>
      <c r="E329" s="658"/>
      <c r="F329" s="3" t="str">
        <f>Lang!$A$113</f>
        <v>Current assets</v>
      </c>
      <c r="G329" s="20"/>
      <c r="H329" s="19">
        <f ca="1">SUM(H323:H328)</f>
        <v>3223031.2455578512</v>
      </c>
      <c r="I329" s="810">
        <f ca="1">'2'!$M68</f>
        <v>2929601.6191207953</v>
      </c>
      <c r="J329" s="658"/>
      <c r="K329" s="3" t="str">
        <f>Lang!$A$113</f>
        <v>Current assets</v>
      </c>
      <c r="L329" s="20"/>
      <c r="M329" s="19">
        <f ca="1">SUM(M323:M328)</f>
        <v>3356865.7991345702</v>
      </c>
      <c r="N329" s="810">
        <f ca="1">'3'!$M68</f>
        <v>3121658.0498895105</v>
      </c>
      <c r="O329" s="658"/>
      <c r="P329" s="3" t="str">
        <f>Lang!$A$113</f>
        <v>Current assets</v>
      </c>
      <c r="Q329" s="20"/>
      <c r="R329" s="19">
        <f ca="1">SUM(R323:R328)</f>
        <v>3467623.5731789256</v>
      </c>
      <c r="S329" s="810">
        <f ca="1">'4'!$M68</f>
        <v>3579170.1431689081</v>
      </c>
      <c r="T329" s="658"/>
      <c r="U329" s="3" t="str">
        <f>Lang!$A$113</f>
        <v>Current assets</v>
      </c>
      <c r="V329" s="20"/>
      <c r="W329" s="19" t="e">
        <f ca="1">SUM(W323:W328)</f>
        <v>#DIV/0!</v>
      </c>
      <c r="X329" s="810" t="e">
        <f ca="1">'5'!$M68</f>
        <v>#VALUE!</v>
      </c>
      <c r="Y329" s="658"/>
      <c r="Z329" s="802" t="e">
        <f t="shared" ca="1" si="37"/>
        <v>#DIV/0!</v>
      </c>
      <c r="AA329" s="802"/>
      <c r="AB329" s="802"/>
    </row>
    <row r="330" spans="1:28" x14ac:dyDescent="0.25">
      <c r="C330" s="2"/>
      <c r="E330" s="658"/>
      <c r="H330" s="2"/>
      <c r="J330" s="658"/>
      <c r="M330" s="2"/>
      <c r="O330" s="658"/>
      <c r="R330" s="2"/>
      <c r="T330" s="658"/>
      <c r="W330" s="2"/>
      <c r="Y330" s="658"/>
      <c r="Z330" s="802"/>
      <c r="AA330" s="802"/>
      <c r="AB330" s="802"/>
    </row>
    <row r="331" spans="1:28" x14ac:dyDescent="0.25">
      <c r="A331" s="3" t="str">
        <f>Lang!$A$117</f>
        <v>Total assets</v>
      </c>
      <c r="B331" s="2"/>
      <c r="C331" s="19">
        <f ca="1">C320+C329</f>
        <v>5056325.1572049204</v>
      </c>
      <c r="D331" s="810">
        <f ca="1">'1'!$M70</f>
        <v>4411165.568982414</v>
      </c>
      <c r="F331" s="3" t="str">
        <f>Lang!$A$117</f>
        <v>Total assets</v>
      </c>
      <c r="G331" s="2"/>
      <c r="H331" s="19">
        <f ca="1">H320+H329</f>
        <v>4874027.0393078513</v>
      </c>
      <c r="I331" s="810">
        <f ca="1">'2'!$M70</f>
        <v>4657786.6191207953</v>
      </c>
      <c r="K331" s="3" t="str">
        <f>Lang!$A$117</f>
        <v>Total assets</v>
      </c>
      <c r="L331" s="2"/>
      <c r="M331" s="19">
        <f ca="1">M320+M329</f>
        <v>5066599.1980408207</v>
      </c>
      <c r="N331" s="810">
        <f ca="1">'3'!$M70</f>
        <v>4842264.3998895101</v>
      </c>
      <c r="P331" s="3" t="str">
        <f>Lang!$A$117</f>
        <v>Total assets</v>
      </c>
      <c r="Q331" s="2"/>
      <c r="R331" s="19">
        <f ca="1">R320+R329</f>
        <v>5163413.6371125188</v>
      </c>
      <c r="S331" s="810">
        <f ca="1">'4'!$M70</f>
        <v>5268010.9931689082</v>
      </c>
      <c r="U331" s="3" t="str">
        <f>Lang!$A$117</f>
        <v>Total assets</v>
      </c>
      <c r="V331" s="2"/>
      <c r="W331" s="19" t="e">
        <f ca="1">W320+W329</f>
        <v>#DIV/0!</v>
      </c>
      <c r="X331" s="810" t="e">
        <f ca="1">'5'!$M70</f>
        <v>#VALUE!</v>
      </c>
      <c r="Z331" s="802" t="e">
        <f ca="1">C331+H331+M331+R331+W331</f>
        <v>#DIV/0!</v>
      </c>
      <c r="AA331" s="802"/>
      <c r="AB331" s="802"/>
    </row>
    <row r="332" spans="1:28" x14ac:dyDescent="0.25">
      <c r="A332" s="20"/>
      <c r="B332" s="20"/>
      <c r="C332" s="661"/>
      <c r="D332" s="810"/>
      <c r="F332" s="20"/>
      <c r="G332" s="20"/>
      <c r="H332" s="661"/>
      <c r="I332" s="810"/>
      <c r="K332" s="20"/>
      <c r="L332" s="20"/>
      <c r="M332" s="661"/>
      <c r="N332" s="810"/>
      <c r="P332" s="20"/>
      <c r="Q332" s="20"/>
      <c r="R332" s="661"/>
      <c r="S332" s="810"/>
      <c r="U332" s="20"/>
      <c r="V332" s="20"/>
      <c r="W332" s="661"/>
      <c r="X332" s="810"/>
      <c r="Z332" s="802"/>
      <c r="AA332" s="802"/>
      <c r="AB332" s="802"/>
    </row>
    <row r="333" spans="1:28" x14ac:dyDescent="0.25">
      <c r="A333" s="501" t="str">
        <f>Lang!$A$120</f>
        <v>Liabilities</v>
      </c>
      <c r="B333" s="20"/>
      <c r="C333" s="661"/>
      <c r="D333" s="810"/>
      <c r="E333" s="658"/>
      <c r="F333" s="501" t="str">
        <f>Lang!$A$120</f>
        <v>Liabilities</v>
      </c>
      <c r="G333" s="20"/>
      <c r="H333" s="661"/>
      <c r="I333" s="810"/>
      <c r="J333" s="658"/>
      <c r="K333" s="501" t="str">
        <f>Lang!$A$120</f>
        <v>Liabilities</v>
      </c>
      <c r="L333" s="20"/>
      <c r="M333" s="661"/>
      <c r="N333" s="810"/>
      <c r="O333" s="658"/>
      <c r="P333" s="501" t="str">
        <f>Lang!$A$120</f>
        <v>Liabilities</v>
      </c>
      <c r="Q333" s="20"/>
      <c r="R333" s="661"/>
      <c r="S333" s="810"/>
      <c r="T333" s="658"/>
      <c r="U333" s="501" t="str">
        <f>Lang!$A$120</f>
        <v>Liabilities</v>
      </c>
      <c r="V333" s="20"/>
      <c r="W333" s="661"/>
      <c r="X333" s="810"/>
      <c r="Y333" s="658"/>
      <c r="Z333" s="802"/>
      <c r="AA333" s="802"/>
      <c r="AB333" s="802"/>
    </row>
    <row r="334" spans="1:28" x14ac:dyDescent="0.25">
      <c r="A334" s="20" t="str">
        <f>Lang!$A$246</f>
        <v>Tax due</v>
      </c>
      <c r="B334" s="20"/>
      <c r="C334" s="19">
        <f>IF(D253=4,IF((C275+C276)&gt;0,(C275+C276)*0.3,0),IF(D253=2,0,'53'!R24))</f>
        <v>0</v>
      </c>
      <c r="D334" s="810">
        <f>'1'!$M73</f>
        <v>0</v>
      </c>
      <c r="F334" s="20" t="str">
        <f>Lang!$A$246</f>
        <v>Tax due</v>
      </c>
      <c r="G334" s="20"/>
      <c r="H334" s="19">
        <f ca="1">IF(I253=4,IF((H275+H276)&gt;0,(H275+H276)*0.3,0),IF(I253=2,0,C334))</f>
        <v>0</v>
      </c>
      <c r="I334" s="810">
        <f ca="1">'2'!$M73</f>
        <v>0</v>
      </c>
      <c r="K334" s="20" t="str">
        <f>Lang!$A$246</f>
        <v>Tax due</v>
      </c>
      <c r="L334" s="20"/>
      <c r="M334" s="19">
        <f ca="1">IF(N253=4,IF((M275+M276)&gt;0,(M275+M276)*0.3,0),IF(N253=2,0,H334))</f>
        <v>0</v>
      </c>
      <c r="N334" s="810">
        <f>'3'!$M73</f>
        <v>0</v>
      </c>
      <c r="P334" s="20" t="str">
        <f>Lang!$A$246</f>
        <v>Tax due</v>
      </c>
      <c r="Q334" s="20"/>
      <c r="R334" s="19">
        <f>IF(S253=4,IF((R275+R276)&gt;0,(R275+R276)*0.3,0),IF(S253=2,0,M334))</f>
        <v>0</v>
      </c>
      <c r="S334" s="810">
        <f>'4'!$M73</f>
        <v>0</v>
      </c>
      <c r="U334" s="20" t="str">
        <f>Lang!$A$246</f>
        <v>Tax due</v>
      </c>
      <c r="V334" s="20"/>
      <c r="W334" s="19">
        <f>IF(X253=4,IF((W275+W276)&gt;0,(W275+W276)*0.3,0),IF(X253=2,0,R334))</f>
        <v>0</v>
      </c>
      <c r="X334" s="810">
        <f>'5'!$M73</f>
        <v>0</v>
      </c>
      <c r="Z334" s="802">
        <f t="shared" ref="Z334:Z339" ca="1" si="38">C334+H334+M334+R334+W334</f>
        <v>0</v>
      </c>
      <c r="AA334" s="802"/>
      <c r="AB334" s="802"/>
    </row>
    <row r="335" spans="1:28" x14ac:dyDescent="0.25">
      <c r="A335" s="2" t="str">
        <f>Lang!$A$247</f>
        <v>Trade payables</v>
      </c>
      <c r="B335" s="20"/>
      <c r="C335" s="19">
        <f ca="1">C256+C261+C295+C263+C265+C266+C267+(C289+C290)/2</f>
        <v>829947.60300167382</v>
      </c>
      <c r="D335" s="810">
        <f ca="1">'1'!$M74</f>
        <v>439373.83156605315</v>
      </c>
      <c r="F335" s="2" t="str">
        <f>Lang!$A$247</f>
        <v>Trade payables</v>
      </c>
      <c r="G335" s="20"/>
      <c r="H335" s="19">
        <f ca="1">H256+H261+H295+H263+H265+H266+H267+(H289+H290)/2</f>
        <v>508256.67939887365</v>
      </c>
      <c r="I335" s="810">
        <f ca="1">'2'!$M74</f>
        <v>713315.61397423677</v>
      </c>
      <c r="K335" s="2" t="str">
        <f>Lang!$A$247</f>
        <v>Trade payables</v>
      </c>
      <c r="L335" s="20"/>
      <c r="M335" s="19">
        <f ca="1">M256+M261+M295+M263+M265+M266+M267+(M289+M290)/2</f>
        <v>460645.72452965158</v>
      </c>
      <c r="N335" s="810">
        <f ca="1">'3'!$M74</f>
        <v>785124.75164919766</v>
      </c>
      <c r="P335" s="2" t="str">
        <f>Lang!$A$247</f>
        <v>Trade payables</v>
      </c>
      <c r="Q335" s="20"/>
      <c r="R335" s="19">
        <f ca="1">R256+R261+R295+R263+R265+R266+R267+(R289+R290)/2</f>
        <v>321651.07146598946</v>
      </c>
      <c r="S335" s="810">
        <f ca="1">'4'!$M74</f>
        <v>886467.26798785012</v>
      </c>
      <c r="U335" s="2" t="str">
        <f>Lang!$A$247</f>
        <v>Trade payables</v>
      </c>
      <c r="V335" s="20"/>
      <c r="W335" s="19">
        <f ca="1">W256+W261+W295+W263+W265+W266+W267+(W289+W290)/2</f>
        <v>321403.61648947443</v>
      </c>
      <c r="X335" s="810" t="e">
        <f ca="1">'5'!$M74</f>
        <v>#VALUE!</v>
      </c>
      <c r="Z335" s="802">
        <f t="shared" ca="1" si="38"/>
        <v>2441904.6948856628</v>
      </c>
      <c r="AA335" s="802"/>
      <c r="AB335" s="802"/>
    </row>
    <row r="336" spans="1:28" x14ac:dyDescent="0.25">
      <c r="A336" s="20" t="str">
        <f>Lang!$A$158</f>
        <v>Bank overdraft</v>
      </c>
      <c r="B336" s="20"/>
      <c r="C336" s="19">
        <f ca="1">IF(C380&gt;0,IF(C380&gt;C376,C376,C380),0)</f>
        <v>0</v>
      </c>
      <c r="D336" s="659">
        <f ca="1">'1'!$M75</f>
        <v>0</v>
      </c>
      <c r="E336" s="662">
        <f>(C191+4)/100</f>
        <v>4.4999999999999998E-2</v>
      </c>
      <c r="F336" s="20" t="str">
        <f>Lang!$A$158</f>
        <v>Bank overdraft</v>
      </c>
      <c r="G336" s="20"/>
      <c r="H336" s="19">
        <f ca="1">IF(H380&gt;0,IF(H380&gt;H376,H376,H380),0)</f>
        <v>0</v>
      </c>
      <c r="I336" s="659">
        <f ca="1">'2'!$M75</f>
        <v>0</v>
      </c>
      <c r="J336" s="662">
        <f>(H191+4)/100</f>
        <v>4.4999999999999998E-2</v>
      </c>
      <c r="K336" s="20" t="str">
        <f>Lang!$A$158</f>
        <v>Bank overdraft</v>
      </c>
      <c r="L336" s="20"/>
      <c r="M336" s="19">
        <f ca="1">IF(M380&gt;0,IF(M380&gt;M376,M376,M380),0)</f>
        <v>0</v>
      </c>
      <c r="N336" s="659">
        <f ca="1">'3'!$M75</f>
        <v>17395.133505576989</v>
      </c>
      <c r="O336" s="662">
        <f>(M191+4)/100</f>
        <v>4.4999999999999998E-2</v>
      </c>
      <c r="P336" s="20" t="str">
        <f>Lang!$A$158</f>
        <v>Bank overdraft</v>
      </c>
      <c r="Q336" s="20"/>
      <c r="R336" s="19">
        <f ca="1">IF(R380&gt;0,IF(R380&gt;R376,R376,R380),0)</f>
        <v>0</v>
      </c>
      <c r="S336" s="659">
        <f ca="1">'4'!$M75</f>
        <v>146016.28676726716</v>
      </c>
      <c r="T336" s="662">
        <f>(R191+4)/100</f>
        <v>4.5999999999999999E-2</v>
      </c>
      <c r="U336" s="20" t="str">
        <f>Lang!$A$158</f>
        <v>Bank overdraft</v>
      </c>
      <c r="V336" s="20"/>
      <c r="W336" s="19" t="e">
        <f ca="1">IF(W380&gt;0,IF(W380&gt;W376,W376,W380),0)</f>
        <v>#DIV/0!</v>
      </c>
      <c r="X336" s="659" t="e">
        <f ca="1">'5'!$M75</f>
        <v>#VALUE!</v>
      </c>
      <c r="Y336" s="662">
        <f>(W191+4)/100</f>
        <v>0.04</v>
      </c>
      <c r="Z336" s="802" t="e">
        <f t="shared" ca="1" si="38"/>
        <v>#DIV/0!</v>
      </c>
      <c r="AA336" s="802"/>
      <c r="AB336" s="802"/>
    </row>
    <row r="337" spans="1:28" x14ac:dyDescent="0.25">
      <c r="A337" s="2" t="str">
        <f>Lang!$A$248</f>
        <v>Borrowing power</v>
      </c>
      <c r="C337" s="19">
        <f ca="1">IF(C380&gt;0,IF(C380&gt;C376,C380-C376,0),0)</f>
        <v>0</v>
      </c>
      <c r="D337" s="659">
        <f ca="1">'1'!$M76</f>
        <v>0</v>
      </c>
      <c r="E337" s="662">
        <f>(C191+10)/100</f>
        <v>0.105</v>
      </c>
      <c r="F337" s="2" t="str">
        <f>Lang!$A$248</f>
        <v>Borrowing power</v>
      </c>
      <c r="H337" s="19">
        <f ca="1">IF(H380&gt;0,IF(H380&gt;H376,H380-H376,0),0)</f>
        <v>0</v>
      </c>
      <c r="I337" s="659">
        <f ca="1">'2'!$M76</f>
        <v>0</v>
      </c>
      <c r="J337" s="662">
        <f>(H191+10)/100</f>
        <v>0.105</v>
      </c>
      <c r="K337" s="2" t="str">
        <f>Lang!$A$248</f>
        <v>Borrowing power</v>
      </c>
      <c r="M337" s="19">
        <f ca="1">IF(M380&gt;0,IF(M380&gt;M376,M380-M376,0),0)</f>
        <v>0</v>
      </c>
      <c r="N337" s="659">
        <f ca="1">'3'!$M76</f>
        <v>0</v>
      </c>
      <c r="O337" s="662">
        <f>(M191+10)/100</f>
        <v>0.105</v>
      </c>
      <c r="P337" s="2" t="str">
        <f>Lang!$A$248</f>
        <v>Borrowing power</v>
      </c>
      <c r="R337" s="19">
        <f ca="1">IF(R380&gt;0,IF(R380&gt;R376,R380-R376,0),0)</f>
        <v>0</v>
      </c>
      <c r="S337" s="659">
        <f ca="1">'4'!$M76</f>
        <v>0</v>
      </c>
      <c r="T337" s="662">
        <f>(R191+10)/100</f>
        <v>0.106</v>
      </c>
      <c r="U337" s="2" t="str">
        <f>Lang!$A$248</f>
        <v>Borrowing power</v>
      </c>
      <c r="W337" s="19" t="e">
        <f ca="1">IF(W380&gt;0,IF(W380&gt;W376,W380-W376,0),0)</f>
        <v>#DIV/0!</v>
      </c>
      <c r="X337" s="659" t="e">
        <f ca="1">'5'!$M76</f>
        <v>#VALUE!</v>
      </c>
      <c r="Y337" s="662">
        <f>(W191+10)/100</f>
        <v>0.1</v>
      </c>
      <c r="Z337" s="802" t="e">
        <f t="shared" ca="1" si="38"/>
        <v>#DIV/0!</v>
      </c>
      <c r="AA337" s="802"/>
      <c r="AB337" s="802"/>
    </row>
    <row r="338" spans="1:28" x14ac:dyDescent="0.25">
      <c r="A338" s="20" t="str">
        <f>Lang!$A$126</f>
        <v>Current liabilities</v>
      </c>
      <c r="B338" s="20"/>
      <c r="C338" s="19">
        <f ca="1">SUM(C334:C337)</f>
        <v>829947.60300167382</v>
      </c>
      <c r="D338" s="810">
        <f ca="1">'1'!$M77</f>
        <v>439373.83156605315</v>
      </c>
      <c r="F338" s="20" t="str">
        <f>Lang!$A$126</f>
        <v>Current liabilities</v>
      </c>
      <c r="G338" s="20"/>
      <c r="H338" s="19">
        <f ca="1">SUM(H334:H337)</f>
        <v>508256.67939887365</v>
      </c>
      <c r="I338" s="810">
        <f ca="1">'2'!$M77</f>
        <v>713315.61397423677</v>
      </c>
      <c r="K338" s="20" t="str">
        <f>Lang!$A$126</f>
        <v>Current liabilities</v>
      </c>
      <c r="L338" s="20"/>
      <c r="M338" s="19">
        <f ca="1">SUM(M334:M337)</f>
        <v>460645.72452965158</v>
      </c>
      <c r="N338" s="810">
        <f ca="1">'3'!$M77</f>
        <v>802519.88515477465</v>
      </c>
      <c r="P338" s="20" t="str">
        <f>Lang!$A$126</f>
        <v>Current liabilities</v>
      </c>
      <c r="Q338" s="20"/>
      <c r="R338" s="19">
        <f ca="1">SUM(R334:R337)</f>
        <v>321651.07146598946</v>
      </c>
      <c r="S338" s="810">
        <f ca="1">'4'!$M77</f>
        <v>1032483.5547551173</v>
      </c>
      <c r="U338" s="20" t="str">
        <f>Lang!$A$126</f>
        <v>Current liabilities</v>
      </c>
      <c r="V338" s="20"/>
      <c r="W338" s="19" t="e">
        <f ca="1">SUM(W334:W337)</f>
        <v>#DIV/0!</v>
      </c>
      <c r="X338" s="810" t="e">
        <f ca="1">'5'!$M77</f>
        <v>#VALUE!</v>
      </c>
      <c r="Z338" s="802" t="e">
        <f t="shared" ca="1" si="38"/>
        <v>#DIV/0!</v>
      </c>
      <c r="AA338" s="802"/>
      <c r="AB338" s="802"/>
    </row>
    <row r="339" spans="1:28" x14ac:dyDescent="0.25">
      <c r="A339" s="20" t="str">
        <f>Lang!$A$87</f>
        <v>Term loans</v>
      </c>
      <c r="B339" s="20"/>
      <c r="C339" s="19">
        <f>C195*1000+'53'!R28</f>
        <v>0</v>
      </c>
      <c r="D339" s="810">
        <f>'1'!$M78</f>
        <v>0</v>
      </c>
      <c r="E339" s="662">
        <v>0.1</v>
      </c>
      <c r="F339" s="20" t="str">
        <f>Lang!$A$87</f>
        <v>Term loans</v>
      </c>
      <c r="G339" s="20"/>
      <c r="H339" s="19">
        <f>H195*1000+C339</f>
        <v>0</v>
      </c>
      <c r="I339" s="810">
        <f>'2'!$M78</f>
        <v>0</v>
      </c>
      <c r="J339" s="662">
        <v>0.1</v>
      </c>
      <c r="K339" s="20" t="str">
        <f>Lang!$A$87</f>
        <v>Term loans</v>
      </c>
      <c r="L339" s="20"/>
      <c r="M339" s="19">
        <f>M195*1000+H339</f>
        <v>0</v>
      </c>
      <c r="N339" s="810">
        <f>'3'!$M78</f>
        <v>0</v>
      </c>
      <c r="O339" s="662">
        <v>0.1</v>
      </c>
      <c r="P339" s="20" t="str">
        <f>Lang!$A$87</f>
        <v>Term loans</v>
      </c>
      <c r="Q339" s="20"/>
      <c r="R339" s="19">
        <f>R195*1000+M339</f>
        <v>0</v>
      </c>
      <c r="S339" s="810">
        <f>'4'!$M78</f>
        <v>0</v>
      </c>
      <c r="T339" s="662">
        <v>0.1</v>
      </c>
      <c r="U339" s="20" t="str">
        <f>Lang!$A$87</f>
        <v>Term loans</v>
      </c>
      <c r="V339" s="20"/>
      <c r="W339" s="19">
        <f>W195*1000+R339</f>
        <v>0</v>
      </c>
      <c r="X339" s="810">
        <f>'5'!$M78</f>
        <v>0</v>
      </c>
      <c r="Y339" s="662">
        <v>0.1</v>
      </c>
      <c r="Z339" s="802">
        <f t="shared" si="38"/>
        <v>0</v>
      </c>
      <c r="AA339" s="802"/>
      <c r="AB339" s="802"/>
    </row>
    <row r="340" spans="1:28" x14ac:dyDescent="0.25">
      <c r="B340" s="2"/>
      <c r="D340" s="810"/>
      <c r="E340" s="655"/>
      <c r="G340" s="2"/>
      <c r="I340" s="810"/>
      <c r="J340" s="655"/>
      <c r="L340" s="2"/>
      <c r="N340" s="810"/>
      <c r="O340" s="655"/>
      <c r="Q340" s="2"/>
      <c r="S340" s="810"/>
      <c r="T340" s="655"/>
      <c r="V340" s="2"/>
      <c r="X340" s="810"/>
      <c r="Y340" s="655"/>
      <c r="Z340" s="802"/>
      <c r="AA340" s="802"/>
      <c r="AB340" s="802"/>
    </row>
    <row r="341" spans="1:28" x14ac:dyDescent="0.25">
      <c r="A341" s="20" t="str">
        <f>Lang!$A$134</f>
        <v>Net assets</v>
      </c>
      <c r="B341" s="20"/>
      <c r="C341" s="19">
        <f ca="1">C331-SUM(C338:C339)</f>
        <v>4226377.5542032467</v>
      </c>
      <c r="D341" s="810">
        <f ca="1">'1'!$M80</f>
        <v>3971791.737416361</v>
      </c>
      <c r="E341" s="653"/>
      <c r="F341" s="20" t="str">
        <f>Lang!$A$134</f>
        <v>Net assets</v>
      </c>
      <c r="G341" s="20"/>
      <c r="H341" s="19">
        <f ca="1">H331-SUM(H338:H339)</f>
        <v>4365770.3599089775</v>
      </c>
      <c r="I341" s="810">
        <f ca="1">'2'!$M80</f>
        <v>3944471.0051465584</v>
      </c>
      <c r="J341" s="653"/>
      <c r="K341" s="20" t="str">
        <f>Lang!$A$134</f>
        <v>Net assets</v>
      </c>
      <c r="L341" s="20"/>
      <c r="M341" s="19">
        <f ca="1">M331-SUM(M338:M339)</f>
        <v>4605953.4735111687</v>
      </c>
      <c r="N341" s="810">
        <f ca="1">'3'!$M80</f>
        <v>4039744.5147347357</v>
      </c>
      <c r="O341" s="653"/>
      <c r="P341" s="20" t="str">
        <f>Lang!$A$134</f>
        <v>Net assets</v>
      </c>
      <c r="Q341" s="20"/>
      <c r="R341" s="19">
        <f ca="1">R331-SUM(R338:R339)</f>
        <v>4841762.5656465292</v>
      </c>
      <c r="S341" s="810">
        <f ca="1">'4'!$M80</f>
        <v>4235527.4384137914</v>
      </c>
      <c r="T341" s="653"/>
      <c r="U341" s="20" t="str">
        <f>Lang!$A$134</f>
        <v>Net assets</v>
      </c>
      <c r="V341" s="20"/>
      <c r="W341" s="19" t="e">
        <f ca="1">W331-SUM(W338:W339)</f>
        <v>#DIV/0!</v>
      </c>
      <c r="X341" s="810" t="e">
        <f ca="1">'5'!$M80</f>
        <v>#VALUE!</v>
      </c>
      <c r="Y341" s="653"/>
      <c r="Z341" s="802" t="e">
        <f ca="1">C341+H341+M341+R341+W341</f>
        <v>#DIV/0!</v>
      </c>
      <c r="AA341" s="802"/>
      <c r="AB341" s="802"/>
    </row>
    <row r="342" spans="1:28" x14ac:dyDescent="0.25">
      <c r="D342" s="810"/>
      <c r="I342" s="810"/>
      <c r="N342" s="810"/>
      <c r="S342" s="810"/>
      <c r="X342" s="810"/>
      <c r="Z342" s="802"/>
      <c r="AA342" s="802"/>
      <c r="AB342" s="802"/>
    </row>
    <row r="343" spans="1:28" x14ac:dyDescent="0.25">
      <c r="A343" s="501" t="str">
        <f>Lang!$A$139</f>
        <v>Equity</v>
      </c>
      <c r="B343" s="20"/>
      <c r="D343" s="810"/>
      <c r="F343" s="501" t="str">
        <f>Lang!$A$139</f>
        <v>Equity</v>
      </c>
      <c r="G343" s="20"/>
      <c r="I343" s="810"/>
      <c r="K343" s="501" t="str">
        <f>Lang!$A$139</f>
        <v>Equity</v>
      </c>
      <c r="L343" s="20"/>
      <c r="N343" s="810"/>
      <c r="P343" s="501" t="str">
        <f>Lang!$A$139</f>
        <v>Equity</v>
      </c>
      <c r="Q343" s="20"/>
      <c r="S343" s="810"/>
      <c r="U343" s="501" t="str">
        <f>Lang!$A$139</f>
        <v>Equity</v>
      </c>
      <c r="V343" s="20"/>
      <c r="X343" s="810"/>
      <c r="Z343" s="802"/>
      <c r="AA343" s="802"/>
      <c r="AB343" s="802"/>
    </row>
    <row r="344" spans="1:28" x14ac:dyDescent="0.25">
      <c r="A344" s="20" t="str">
        <f>Lang!$A$160</f>
        <v>Share capital</v>
      </c>
      <c r="B344" s="20"/>
      <c r="C344" s="19">
        <f ca="1">'53'!R33+C192*1000</f>
        <v>4400000</v>
      </c>
      <c r="D344" s="810">
        <f>'1'!$M83</f>
        <v>4000000</v>
      </c>
      <c r="F344" s="20" t="str">
        <f>Lang!$A$160</f>
        <v>Share capital</v>
      </c>
      <c r="G344" s="20"/>
      <c r="H344" s="19">
        <f ca="1">C344+H192*1000</f>
        <v>4400000</v>
      </c>
      <c r="I344" s="810">
        <f ca="1">'2'!$M83</f>
        <v>4000000</v>
      </c>
      <c r="K344" s="20" t="str">
        <f>Lang!$A$160</f>
        <v>Share capital</v>
      </c>
      <c r="L344" s="20"/>
      <c r="M344" s="19">
        <f ca="1">H344+M192*1000</f>
        <v>4400000</v>
      </c>
      <c r="N344" s="810">
        <f ca="1">'3'!$M83</f>
        <v>4000000</v>
      </c>
      <c r="P344" s="20" t="str">
        <f>Lang!$A$160</f>
        <v>Share capital</v>
      </c>
      <c r="Q344" s="20"/>
      <c r="R344" s="19">
        <f ca="1">M344+R192*1000</f>
        <v>4400000</v>
      </c>
      <c r="S344" s="810">
        <f ca="1">'4'!$M83</f>
        <v>4000000</v>
      </c>
      <c r="U344" s="20" t="str">
        <f>Lang!$A$160</f>
        <v>Share capital</v>
      </c>
      <c r="V344" s="20"/>
      <c r="W344" s="19">
        <f ca="1">R344+W192*1000</f>
        <v>4800000</v>
      </c>
      <c r="X344" s="810">
        <f ca="1">'5'!$M83</f>
        <v>0</v>
      </c>
      <c r="Z344" s="802">
        <f ca="1">C344+H344+M344+R344+W344</f>
        <v>22400000</v>
      </c>
      <c r="AA344" s="802"/>
      <c r="AB344" s="802"/>
    </row>
    <row r="345" spans="1:28" x14ac:dyDescent="0.25">
      <c r="A345" s="8" t="str">
        <f>Lang!$A$161</f>
        <v>Share premium account</v>
      </c>
      <c r="B345" s="2"/>
      <c r="C345" s="19">
        <f ca="1">IF('53'!R34+(C189-100)*C192*10&gt;0,'53'!R34+(C189-100)*C192*10,0)</f>
        <v>17480.000000000018</v>
      </c>
      <c r="D345" s="810">
        <f ca="1">'1'!$M84</f>
        <v>0</v>
      </c>
      <c r="F345" s="8" t="str">
        <f>Lang!$A$161</f>
        <v>Share premium account</v>
      </c>
      <c r="G345" s="2"/>
      <c r="H345" s="19">
        <f ca="1">IF(C345+(H189-100)*H192*10&gt;0,C345+(H189-100)*H192*10,0)</f>
        <v>17480.000000000018</v>
      </c>
      <c r="I345" s="810">
        <f ca="1">'2'!$M84</f>
        <v>0</v>
      </c>
      <c r="K345" s="8" t="str">
        <f>Lang!$A$161</f>
        <v>Share premium account</v>
      </c>
      <c r="L345" s="2"/>
      <c r="M345" s="19">
        <f ca="1">IF(H345+(M189-100)*M192*10&gt;0,H345+(M189-100)*M192*10,0)</f>
        <v>17480.000000000018</v>
      </c>
      <c r="N345" s="810">
        <f ca="1">'3'!$M84</f>
        <v>0</v>
      </c>
      <c r="P345" s="8" t="str">
        <f>Lang!$A$161</f>
        <v>Share premium account</v>
      </c>
      <c r="Q345" s="2"/>
      <c r="R345" s="19">
        <f ca="1">IF(M345+(R189-100)*R192*10&gt;0,M345+(R189-100)*R192*10,0)</f>
        <v>17480.000000000018</v>
      </c>
      <c r="S345" s="810">
        <f ca="1">'4'!$M84</f>
        <v>0</v>
      </c>
      <c r="U345" s="8" t="str">
        <f>Lang!$A$161</f>
        <v>Share premium account</v>
      </c>
      <c r="V345" s="2"/>
      <c r="W345" s="19">
        <f ca="1">IF(R345+(W189-100)*W192*10&gt;0,R345+(W189-100)*W192*10,0)</f>
        <v>0</v>
      </c>
      <c r="X345" s="810">
        <f ca="1">'5'!$M84</f>
        <v>0</v>
      </c>
      <c r="Z345" s="802">
        <f ca="1">C345+H345+M345+R345+W345</f>
        <v>69920.000000000073</v>
      </c>
      <c r="AA345" s="802"/>
      <c r="AB345" s="802"/>
    </row>
    <row r="346" spans="1:28" x14ac:dyDescent="0.25">
      <c r="A346" s="20" t="str">
        <f>Lang!$A$141</f>
        <v xml:space="preserve">Retained earnings </v>
      </c>
      <c r="B346" s="20"/>
      <c r="C346" s="19">
        <f ca="1">C313</f>
        <v>-191102.44579675375</v>
      </c>
      <c r="D346" s="810">
        <f ca="1">'1'!$M85</f>
        <v>-28208.262583639007</v>
      </c>
      <c r="F346" s="20" t="str">
        <f>Lang!$A$141</f>
        <v xml:space="preserve">Retained earnings </v>
      </c>
      <c r="G346" s="20"/>
      <c r="H346" s="19">
        <f ca="1">H313</f>
        <v>-76709.640091022782</v>
      </c>
      <c r="I346" s="810">
        <f ca="1">'2'!$M85</f>
        <v>-55528.994853441254</v>
      </c>
      <c r="K346" s="20" t="str">
        <f>Lang!$A$141</f>
        <v xml:space="preserve">Retained earnings </v>
      </c>
      <c r="L346" s="20"/>
      <c r="M346" s="19">
        <f ca="1">M313</f>
        <v>78973.473511168602</v>
      </c>
      <c r="N346" s="810">
        <f ca="1">'3'!$M85</f>
        <v>39646.667108767317</v>
      </c>
      <c r="P346" s="20" t="str">
        <f>Lang!$A$141</f>
        <v xml:space="preserve">Retained earnings </v>
      </c>
      <c r="Q346" s="20"/>
      <c r="R346" s="19">
        <f ca="1">R313</f>
        <v>296782.56564652984</v>
      </c>
      <c r="S346" s="810">
        <f ca="1">'4'!$M85</f>
        <v>234489.1075148792</v>
      </c>
      <c r="U346" s="20" t="str">
        <f>Lang!$A$141</f>
        <v xml:space="preserve">Retained earnings </v>
      </c>
      <c r="V346" s="20"/>
      <c r="W346" s="19" t="e">
        <f ca="1">W313</f>
        <v>#DIV/0!</v>
      </c>
      <c r="X346" s="810" t="e">
        <f ca="1">'5'!$M85</f>
        <v>#VALUE!</v>
      </c>
      <c r="Z346" s="802" t="e">
        <f ca="1">C346+H346+M346+R346+W346</f>
        <v>#DIV/0!</v>
      </c>
      <c r="AA346" s="802"/>
      <c r="AB346" s="802"/>
    </row>
    <row r="347" spans="1:28" x14ac:dyDescent="0.25">
      <c r="A347" s="20" t="str">
        <f>Lang!$A$143</f>
        <v>Total equity</v>
      </c>
      <c r="B347" s="20"/>
      <c r="C347" s="19">
        <f ca="1">C344+C345+C346</f>
        <v>4226377.5542032458</v>
      </c>
      <c r="D347" s="810">
        <f ca="1">'1'!$M86</f>
        <v>3971791.737416361</v>
      </c>
      <c r="F347" s="20" t="str">
        <f>Lang!$A$143</f>
        <v>Total equity</v>
      </c>
      <c r="G347" s="20"/>
      <c r="H347" s="19">
        <f ca="1">H344+H345+H346</f>
        <v>4340770.3599089775</v>
      </c>
      <c r="I347" s="810">
        <f ca="1">'2'!$M86</f>
        <v>3944471.0051465589</v>
      </c>
      <c r="K347" s="20" t="str">
        <f>Lang!$A$143</f>
        <v>Total equity</v>
      </c>
      <c r="L347" s="20"/>
      <c r="M347" s="19">
        <f ca="1">M344+M345+M346</f>
        <v>4496453.4735111687</v>
      </c>
      <c r="N347" s="810">
        <f ca="1">'3'!$M86</f>
        <v>4039646.6671087672</v>
      </c>
      <c r="P347" s="20" t="str">
        <f>Lang!$A$143</f>
        <v>Total equity</v>
      </c>
      <c r="Q347" s="20"/>
      <c r="R347" s="19">
        <f ca="1">R344+R345+R346</f>
        <v>4714262.5656465301</v>
      </c>
      <c r="S347" s="810">
        <f ca="1">'4'!$M86</f>
        <v>4234489.1075148787</v>
      </c>
      <c r="U347" s="20" t="str">
        <f>Lang!$A$143</f>
        <v>Total equity</v>
      </c>
      <c r="V347" s="20"/>
      <c r="W347" s="19" t="e">
        <f ca="1">W344+W345+W346</f>
        <v>#DIV/0!</v>
      </c>
      <c r="X347" s="810" t="e">
        <f ca="1">'5'!$M86</f>
        <v>#VALUE!</v>
      </c>
      <c r="Z347" s="802" t="e">
        <f ca="1">C347+H347+M347+R347+W347</f>
        <v>#DIV/0!</v>
      </c>
      <c r="AA347" s="802"/>
      <c r="AB347" s="802"/>
    </row>
    <row r="348" spans="1:28" x14ac:dyDescent="0.25">
      <c r="Z348" s="802"/>
      <c r="AA348" s="802"/>
      <c r="AB348" s="802"/>
    </row>
    <row r="349" spans="1:28" x14ac:dyDescent="0.25">
      <c r="A349" s="149" t="str">
        <f>Lang!$A$99</f>
        <v>CASH FLOW STATEMENT</v>
      </c>
      <c r="F349" s="149" t="str">
        <f>Lang!$A$99</f>
        <v>CASH FLOW STATEMENT</v>
      </c>
      <c r="K349" s="149" t="str">
        <f>Lang!$A$99</f>
        <v>CASH FLOW STATEMENT</v>
      </c>
      <c r="P349" s="149" t="str">
        <f>Lang!$A$99</f>
        <v>CASH FLOW STATEMENT</v>
      </c>
      <c r="U349" s="149" t="str">
        <f>Lang!$A$99</f>
        <v>CASH FLOW STATEMENT</v>
      </c>
      <c r="Z349" s="802"/>
      <c r="AA349" s="802"/>
      <c r="AB349" s="802"/>
    </row>
    <row r="350" spans="1:28" x14ac:dyDescent="0.25">
      <c r="A350" s="149" t="str">
        <f>Lang!$A$101</f>
        <v>Operating activities</v>
      </c>
      <c r="F350" s="149" t="str">
        <f>Lang!$A$101</f>
        <v>Operating activities</v>
      </c>
      <c r="K350" s="149" t="str">
        <f>Lang!$A$101</f>
        <v>Operating activities</v>
      </c>
      <c r="P350" s="149" t="str">
        <f>Lang!$A$101</f>
        <v>Operating activities</v>
      </c>
      <c r="U350" s="149" t="str">
        <f>Lang!$A$101</f>
        <v>Operating activities</v>
      </c>
      <c r="Z350" s="802"/>
      <c r="AA350" s="802"/>
      <c r="AB350" s="802"/>
    </row>
    <row r="351" spans="1:28" x14ac:dyDescent="0.25">
      <c r="A351" s="3" t="str">
        <f>Lang!$A$249</f>
        <v>Trading receipts</v>
      </c>
      <c r="C351" s="19">
        <f ca="1">(A219*A244+B219*B244+C219*C244)*0.34+('51'!F19*'52'!U22+'51'!H19*'52'!W22+'51'!J19*'52'!Y22)*0.66+('51'!F20*'52'!U23+'51'!H20*'52'!W23+'51'!J20*'52'!Y23)+(A221*A246+B221*B246+C221*C246)</f>
        <v>1515067.654994431</v>
      </c>
      <c r="D351" s="810">
        <f ca="1">'1'!$R56</f>
        <v>1575394.6351158235</v>
      </c>
      <c r="F351" s="3" t="str">
        <f>Lang!$A$249</f>
        <v>Trading receipts</v>
      </c>
      <c r="H351" s="19">
        <f ca="1">(F219*F244+G219*G244+H219*H244)*0.34+(A219*A244+B219*B244+C219*C244)*0.66+(A220*A245+B220*B245+C220*C245)+(F221*F246+G221*G246+H221*H246)</f>
        <v>1572101.2601622161</v>
      </c>
      <c r="I351" s="810">
        <f ca="1">'2'!$R56</f>
        <v>1758157.3599999999</v>
      </c>
      <c r="K351" s="3" t="str">
        <f>Lang!$A$249</f>
        <v>Trading receipts</v>
      </c>
      <c r="M351" s="19">
        <f ca="1">(K219*K244+L219*L244+M219*M244)*0.34+(F219*F244+G219*G244+H219*H244)*0.66+(F220*F245+G220*G245+H220*H245)+(K221*K246+L221*L246+M221*M246)</f>
        <v>2008496.6139731028</v>
      </c>
      <c r="N351" s="810">
        <f ca="1">'3'!$R56</f>
        <v>1905586.1400000001</v>
      </c>
      <c r="P351" s="3" t="str">
        <f>Lang!$A$249</f>
        <v>Trading receipts</v>
      </c>
      <c r="R351" s="19">
        <f ca="1">(P219*P244+Q219*Q244+R219*R244)*0.34+(K219*K244+L219*L244+M219*M244)*0.66+(K220*K245+L220*L245+M220*M245)+(P221*P246+Q221*Q246+R221*R246)</f>
        <v>2351985.9315310894</v>
      </c>
      <c r="S351" s="810">
        <f ca="1">'4'!$R56</f>
        <v>2430114.0297311763</v>
      </c>
      <c r="U351" s="3" t="str">
        <f>Lang!$A$249</f>
        <v>Trading receipts</v>
      </c>
      <c r="W351" s="19">
        <f ca="1">(U219*U244+V219*V244+W219*W244)*0.34+(P219*P244+Q219*Q244+R219*R244)*0.66+(P220*P245+Q220*Q245+R220*R245)+(U221*U246+V221*V246+W221*W246)</f>
        <v>2412645.5151622561</v>
      </c>
      <c r="X351" s="810" t="e">
        <f ca="1">'5'!$R56</f>
        <v>#VALUE!</v>
      </c>
      <c r="Z351" s="802">
        <f ca="1">C351+H351+M351+R351+W351</f>
        <v>9860296.9758230951</v>
      </c>
      <c r="AA351" s="802"/>
      <c r="AB351" s="802"/>
    </row>
    <row r="352" spans="1:28" x14ac:dyDescent="0.25">
      <c r="A352" s="3" t="str">
        <f>Lang!$A$234</f>
        <v>Insurance receipts</v>
      </c>
      <c r="C352" s="19">
        <f ca="1">C300</f>
        <v>0</v>
      </c>
      <c r="D352" s="810">
        <f ca="1">'1'!$R57</f>
        <v>0</v>
      </c>
      <c r="F352" s="3" t="str">
        <f>Lang!$A$234</f>
        <v>Insurance receipts</v>
      </c>
      <c r="H352" s="19">
        <f ca="1">H300</f>
        <v>30750.773629077907</v>
      </c>
      <c r="I352" s="810">
        <f ca="1">'2'!$R57</f>
        <v>32032.652000000002</v>
      </c>
      <c r="K352" s="3" t="str">
        <f>Lang!$A$234</f>
        <v>Insurance receipts</v>
      </c>
      <c r="M352" s="19">
        <f ca="1">M300</f>
        <v>30975.727704941492</v>
      </c>
      <c r="N352" s="810">
        <f ca="1">'3'!$R57</f>
        <v>31628.268</v>
      </c>
      <c r="P352" s="3" t="str">
        <f>Lang!$A$234</f>
        <v>Insurance receipts</v>
      </c>
      <c r="R352" s="19">
        <f ca="1">R300</f>
        <v>0</v>
      </c>
      <c r="S352" s="810">
        <f ca="1">'4'!$R57</f>
        <v>0</v>
      </c>
      <c r="U352" s="3" t="str">
        <f>Lang!$A$234</f>
        <v>Insurance receipts</v>
      </c>
      <c r="W352" s="19">
        <f ca="1">W300</f>
        <v>0</v>
      </c>
      <c r="X352" s="810">
        <f ca="1">'5'!$R57</f>
        <v>0</v>
      </c>
      <c r="Z352" s="802">
        <f ca="1">C352+H352+M352+R352+W352</f>
        <v>61726.501334019398</v>
      </c>
      <c r="AA352" s="802"/>
      <c r="AB352" s="802"/>
    </row>
    <row r="353" spans="1:28" x14ac:dyDescent="0.25">
      <c r="A353" s="3" t="str">
        <f>Lang!$A$250</f>
        <v>Trading payments</v>
      </c>
      <c r="C353" s="19">
        <f ca="1">(C272+C289+C290+C293+C292+C291+C294+C295+'53'!R25)-C335</f>
        <v>1892068.8182217637</v>
      </c>
      <c r="D353" s="810">
        <f ca="1">'1'!$R58</f>
        <v>1470833.207838668</v>
      </c>
      <c r="F353" s="3" t="str">
        <f>Lang!$A$250</f>
        <v>Trading payments</v>
      </c>
      <c r="H353" s="19">
        <f ca="1">(H272+H289+H290+H293+H292+H291+H294+H295+C335)-H335</f>
        <v>2284644.8089890177</v>
      </c>
      <c r="I353" s="810">
        <f ca="1">'2'!$R58</f>
        <v>1928335.9265622194</v>
      </c>
      <c r="K353" s="3" t="str">
        <f>Lang!$A$250</f>
        <v>Trading payments</v>
      </c>
      <c r="M353" s="19">
        <f ca="1">(M272+M289+M290+M293+M292+M291+M294+M295+H335)-M335</f>
        <v>2116223.4748888356</v>
      </c>
      <c r="N353" s="810">
        <f ca="1">'3'!$R58</f>
        <v>2471517.041505577</v>
      </c>
      <c r="P353" s="3" t="str">
        <f>Lang!$A$250</f>
        <v>Trading payments</v>
      </c>
      <c r="R353" s="19">
        <f ca="1">(R272+R289+R290+R293+R292+R291+R294+R295+M335)-R335</f>
        <v>2058996.2501132446</v>
      </c>
      <c r="S353" s="810">
        <f ca="1">'4'!$R58</f>
        <v>2802092.3164984435</v>
      </c>
      <c r="U353" s="3" t="str">
        <f>Lang!$A$250</f>
        <v>Trading payments</v>
      </c>
      <c r="W353" s="19" t="e">
        <f ca="1">(W272+W289+W290+W293+W292+W291+W294+W295+R335)-W335</f>
        <v>#DIV/0!</v>
      </c>
      <c r="X353" s="810" t="e">
        <f ca="1">'5'!$R58</f>
        <v>#VALUE!</v>
      </c>
      <c r="Z353" s="802" t="e">
        <f ca="1">C353+H353+M353+R353+W353</f>
        <v>#DIV/0!</v>
      </c>
      <c r="AA353" s="802"/>
      <c r="AB353" s="802"/>
    </row>
    <row r="354" spans="1:28" x14ac:dyDescent="0.25">
      <c r="A354" s="3" t="str">
        <f>Lang!$A$251</f>
        <v>Tax paid</v>
      </c>
      <c r="C354" s="19">
        <f>IF(D253=2,'53'!R24,0)</f>
        <v>0</v>
      </c>
      <c r="D354" s="810">
        <f>'1'!$R59</f>
        <v>0</v>
      </c>
      <c r="F354" s="3" t="str">
        <f>Lang!$A$251</f>
        <v>Tax paid</v>
      </c>
      <c r="H354" s="19">
        <f>IF(I253=2,C334,0)</f>
        <v>0</v>
      </c>
      <c r="I354" s="810">
        <f>'2'!$R59</f>
        <v>0</v>
      </c>
      <c r="K354" s="3" t="str">
        <f>Lang!$A$251</f>
        <v>Tax paid</v>
      </c>
      <c r="M354" s="19">
        <f>IF(N253=2,H334,0)</f>
        <v>0</v>
      </c>
      <c r="N354" s="810">
        <f>'3'!$R59</f>
        <v>0</v>
      </c>
      <c r="P354" s="3" t="str">
        <f>Lang!$A$251</f>
        <v>Tax paid</v>
      </c>
      <c r="R354" s="19">
        <f ca="1">IF(S253=2,M334,0)</f>
        <v>0</v>
      </c>
      <c r="S354" s="810">
        <f>'4'!$R59</f>
        <v>0</v>
      </c>
      <c r="U354" s="3" t="str">
        <f>Lang!$A$251</f>
        <v>Tax paid</v>
      </c>
      <c r="W354" s="19">
        <f>IF(X253=2,R334,0)</f>
        <v>0</v>
      </c>
      <c r="X354" s="810">
        <f>'5'!$R59</f>
        <v>0</v>
      </c>
      <c r="Z354" s="802">
        <f ca="1">C354+H354+M354+R354+W354</f>
        <v>0</v>
      </c>
      <c r="AA354" s="802"/>
      <c r="AB354" s="802"/>
    </row>
    <row r="355" spans="1:28" x14ac:dyDescent="0.25">
      <c r="A355" s="3" t="str">
        <f>Lang!$A$104</f>
        <v>Net cash flow from operations</v>
      </c>
      <c r="C355" s="19">
        <f ca="1">C351+C352-C353-C354</f>
        <v>-377001.16322733276</v>
      </c>
      <c r="D355" s="810">
        <f ca="1">'1'!$R60</f>
        <v>104561.42727715545</v>
      </c>
      <c r="F355" s="3" t="str">
        <f>Lang!$A$104</f>
        <v>Net cash flow from operations</v>
      </c>
      <c r="H355" s="19">
        <f ca="1">H351+H352-H353-H354</f>
        <v>-681792.77519772365</v>
      </c>
      <c r="I355" s="810">
        <f ca="1">'2'!$R60</f>
        <v>-138145.91456221952</v>
      </c>
      <c r="K355" s="3" t="str">
        <f>Lang!$A$104</f>
        <v>Net cash flow from operations</v>
      </c>
      <c r="M355" s="19">
        <f ca="1">M351+M352-M353-M354</f>
        <v>-76751.133210791275</v>
      </c>
      <c r="N355" s="810">
        <f ca="1">'3'!$R60</f>
        <v>-534302.63350557699</v>
      </c>
      <c r="P355" s="3" t="str">
        <f>Lang!$A$104</f>
        <v>Net cash flow from operations</v>
      </c>
      <c r="R355" s="19">
        <f ca="1">R351+R352-R353-R354</f>
        <v>292989.68141784472</v>
      </c>
      <c r="S355" s="810">
        <f ca="1">'4'!$R60</f>
        <v>-371978.28676726716</v>
      </c>
      <c r="U355" s="3" t="str">
        <f>Lang!$A$104</f>
        <v>Net cash flow from operations</v>
      </c>
      <c r="W355" s="19" t="e">
        <f ca="1">W351+W352-W353-W354</f>
        <v>#DIV/0!</v>
      </c>
      <c r="X355" s="810" t="e">
        <f ca="1">'5'!$R60</f>
        <v>#VALUE!</v>
      </c>
      <c r="Z355" s="802" t="e">
        <f ca="1">C355+H355+M355+R355+W355</f>
        <v>#DIV/0!</v>
      </c>
      <c r="AA355" s="802"/>
      <c r="AB355" s="802"/>
    </row>
    <row r="356" spans="1:28" x14ac:dyDescent="0.25">
      <c r="D356" s="810"/>
      <c r="I356" s="810"/>
      <c r="N356" s="810"/>
      <c r="S356" s="810"/>
      <c r="X356" s="810"/>
      <c r="Z356" s="802"/>
      <c r="AA356" s="802"/>
      <c r="AB356" s="802"/>
    </row>
    <row r="357" spans="1:28" x14ac:dyDescent="0.25">
      <c r="A357" s="149" t="str">
        <f>Lang!$A$105</f>
        <v>Investing activities</v>
      </c>
      <c r="D357" s="810"/>
      <c r="F357" s="149" t="str">
        <f>Lang!$A$105</f>
        <v>Investing activities</v>
      </c>
      <c r="I357" s="810"/>
      <c r="K357" s="149" t="str">
        <f>Lang!$A$105</f>
        <v>Investing activities</v>
      </c>
      <c r="N357" s="810"/>
      <c r="P357" s="149" t="str">
        <f>Lang!$A$105</f>
        <v>Investing activities</v>
      </c>
      <c r="S357" s="810"/>
      <c r="U357" s="149" t="str">
        <f>Lang!$A$105</f>
        <v>Investing activities</v>
      </c>
      <c r="X357" s="810"/>
      <c r="Z357" s="802"/>
      <c r="AA357" s="802"/>
      <c r="AB357" s="802"/>
    </row>
    <row r="358" spans="1:28" x14ac:dyDescent="0.25">
      <c r="A358" s="3" t="str">
        <f>Lang!$A$252</f>
        <v>Interest received</v>
      </c>
      <c r="C358" s="19">
        <f>C303</f>
        <v>1437.5</v>
      </c>
      <c r="D358" s="810">
        <f>'1'!$R63</f>
        <v>1437.5</v>
      </c>
      <c r="F358" s="3" t="str">
        <f>Lang!$A$252</f>
        <v>Interest received</v>
      </c>
      <c r="H358" s="19">
        <f>H303</f>
        <v>812.5</v>
      </c>
      <c r="I358" s="810">
        <f>'2'!$R63</f>
        <v>812.5</v>
      </c>
      <c r="K358" s="3" t="str">
        <f>Lang!$A$252</f>
        <v>Interest received</v>
      </c>
      <c r="M358" s="19">
        <f>M303</f>
        <v>812.5</v>
      </c>
      <c r="N358" s="810">
        <f>'3'!$R63</f>
        <v>812.5</v>
      </c>
      <c r="P358" s="3" t="str">
        <f>Lang!$A$252</f>
        <v>Interest received</v>
      </c>
      <c r="R358" s="19">
        <f>R303</f>
        <v>975</v>
      </c>
      <c r="S358" s="810">
        <f>'4'!$R63</f>
        <v>525</v>
      </c>
      <c r="U358" s="3" t="str">
        <f>Lang!$A$252</f>
        <v>Interest received</v>
      </c>
      <c r="W358" s="19">
        <f>W303</f>
        <v>0</v>
      </c>
      <c r="X358" s="810">
        <f>'5'!$R63</f>
        <v>0</v>
      </c>
      <c r="Z358" s="802">
        <f>C358+H358+M358+R358+W358</f>
        <v>4037.5</v>
      </c>
      <c r="AA358" s="802"/>
      <c r="AB358" s="802"/>
    </row>
    <row r="359" spans="1:28" x14ac:dyDescent="0.25">
      <c r="A359" s="3" t="str">
        <f>Lang!$A$253</f>
        <v>Asset sales</v>
      </c>
      <c r="C359" s="19">
        <f>'53'!R11/'52'!G21*C160</f>
        <v>0</v>
      </c>
      <c r="D359" s="810">
        <f>'1'!$R64</f>
        <v>0</v>
      </c>
      <c r="F359" s="3" t="str">
        <f>Lang!$A$253</f>
        <v>Asset sales</v>
      </c>
      <c r="H359" s="19">
        <f>IF(C158=0,0,C319/C158*H160)</f>
        <v>0</v>
      </c>
      <c r="I359" s="810">
        <f>'2'!$R64</f>
        <v>0</v>
      </c>
      <c r="K359" s="3" t="str">
        <f>Lang!$A$253</f>
        <v>Asset sales</v>
      </c>
      <c r="M359" s="19">
        <f>IF(H158=0,0,H319/H158*M160)</f>
        <v>0</v>
      </c>
      <c r="N359" s="810">
        <f>'3'!$R64</f>
        <v>0</v>
      </c>
      <c r="P359" s="3" t="str">
        <f>Lang!$A$253</f>
        <v>Asset sales</v>
      </c>
      <c r="R359" s="19">
        <f>IF(M158=0,0,M319/M158*R160)</f>
        <v>0</v>
      </c>
      <c r="S359" s="810">
        <f>'4'!$R64</f>
        <v>0</v>
      </c>
      <c r="U359" s="3" t="str">
        <f>Lang!$A$253</f>
        <v>Asset sales</v>
      </c>
      <c r="W359" s="19">
        <f>IF(R158=0,0,R319/R158*W160)</f>
        <v>0</v>
      </c>
      <c r="X359" s="810">
        <f>'5'!$R64</f>
        <v>0</v>
      </c>
      <c r="Z359" s="802">
        <f>C359+H359+M359+R359+W359</f>
        <v>0</v>
      </c>
      <c r="AA359" s="802"/>
      <c r="AB359" s="802"/>
    </row>
    <row r="360" spans="1:28" x14ac:dyDescent="0.25">
      <c r="A360" s="8" t="str">
        <f>Lang!$A$254</f>
        <v>Assets purchased</v>
      </c>
      <c r="B360" s="8"/>
      <c r="C360" s="19">
        <f ca="1">C159*300000+D113*500</f>
        <v>0</v>
      </c>
      <c r="D360" s="810">
        <f>'1'!$R65</f>
        <v>325000</v>
      </c>
      <c r="F360" s="8" t="str">
        <f>Lang!$A$254</f>
        <v>Assets purchased</v>
      </c>
      <c r="G360" s="8"/>
      <c r="H360" s="19">
        <f ca="1">H159*300000+I113*500</f>
        <v>315500</v>
      </c>
      <c r="I360" s="810">
        <f>'2'!$R65</f>
        <v>100000</v>
      </c>
      <c r="K360" s="8" t="str">
        <f>Lang!$A$254</f>
        <v>Assets purchased</v>
      </c>
      <c r="L360" s="8"/>
      <c r="M360" s="19">
        <f ca="1">M159*300000+N113*500</f>
        <v>7000</v>
      </c>
      <c r="N360" s="810">
        <f>'3'!$R65</f>
        <v>25000</v>
      </c>
      <c r="P360" s="8" t="str">
        <f>Lang!$A$254</f>
        <v>Assets purchased</v>
      </c>
      <c r="Q360" s="8"/>
      <c r="R360" s="19">
        <f ca="1">R159*300000+S113*500</f>
        <v>0</v>
      </c>
      <c r="S360" s="810">
        <f>'4'!$R65</f>
        <v>0</v>
      </c>
      <c r="U360" s="8" t="str">
        <f>Lang!$A$254</f>
        <v>Assets purchased</v>
      </c>
      <c r="V360" s="8"/>
      <c r="W360" s="19">
        <f ca="1">W159*300000+X113*500</f>
        <v>13000</v>
      </c>
      <c r="X360" s="810">
        <f>'5'!$R65</f>
        <v>0</v>
      </c>
      <c r="Z360" s="802">
        <f ca="1">C360+H360+M360+R360+W360</f>
        <v>335500</v>
      </c>
      <c r="AA360" s="802"/>
      <c r="AB360" s="802"/>
    </row>
    <row r="361" spans="1:28" x14ac:dyDescent="0.25">
      <c r="A361" s="3" t="str">
        <f>Lang!$A$109</f>
        <v>Net cash flow from investing</v>
      </c>
      <c r="C361" s="19">
        <f ca="1">C358+C359-C360</f>
        <v>1437.5</v>
      </c>
      <c r="D361" s="810">
        <f>'1'!$R66</f>
        <v>-323562.5</v>
      </c>
      <c r="F361" s="3" t="str">
        <f>Lang!$A$109</f>
        <v>Net cash flow from investing</v>
      </c>
      <c r="H361" s="19">
        <f ca="1">H358+H359-H360</f>
        <v>-314687.5</v>
      </c>
      <c r="I361" s="810">
        <f>'2'!$R66</f>
        <v>-99187.5</v>
      </c>
      <c r="K361" s="3" t="str">
        <f>Lang!$A$109</f>
        <v>Net cash flow from investing</v>
      </c>
      <c r="M361" s="19">
        <f ca="1">M358+M359-M360</f>
        <v>-6187.5</v>
      </c>
      <c r="N361" s="810">
        <f>'3'!$R66</f>
        <v>-24187.5</v>
      </c>
      <c r="P361" s="3" t="str">
        <f>Lang!$A$109</f>
        <v>Net cash flow from investing</v>
      </c>
      <c r="R361" s="19">
        <f ca="1">R358+R359-R360</f>
        <v>975</v>
      </c>
      <c r="S361" s="810">
        <f>'4'!$R66</f>
        <v>525</v>
      </c>
      <c r="U361" s="3" t="str">
        <f>Lang!$A$109</f>
        <v>Net cash flow from investing</v>
      </c>
      <c r="W361" s="19">
        <f ca="1">W358+W359-W360</f>
        <v>-13000</v>
      </c>
      <c r="X361" s="810">
        <f>'5'!$R66</f>
        <v>0</v>
      </c>
      <c r="Z361" s="802">
        <f ca="1">C361+H361+M361+R361+W361</f>
        <v>-331462.5</v>
      </c>
      <c r="AA361" s="802"/>
      <c r="AB361" s="802"/>
    </row>
    <row r="362" spans="1:28" x14ac:dyDescent="0.25">
      <c r="D362" s="810"/>
      <c r="I362" s="810"/>
      <c r="N362" s="810"/>
      <c r="S362" s="810"/>
      <c r="X362" s="810"/>
      <c r="Z362" s="802"/>
      <c r="AA362" s="802"/>
      <c r="AB362" s="802"/>
    </row>
    <row r="363" spans="1:28" x14ac:dyDescent="0.25">
      <c r="A363" s="149" t="str">
        <f>Lang!$A$114</f>
        <v>Financing activities</v>
      </c>
      <c r="D363" s="810"/>
      <c r="F363" s="149" t="str">
        <f>Lang!$A$114</f>
        <v>Financing activities</v>
      </c>
      <c r="I363" s="810"/>
      <c r="K363" s="149" t="str">
        <f>Lang!$A$114</f>
        <v>Financing activities</v>
      </c>
      <c r="N363" s="810"/>
      <c r="P363" s="149" t="str">
        <f>Lang!$A$114</f>
        <v>Financing activities</v>
      </c>
      <c r="S363" s="810"/>
      <c r="U363" s="149" t="str">
        <f>Lang!$A$114</f>
        <v>Financing activities</v>
      </c>
      <c r="X363" s="810"/>
      <c r="Z363" s="802"/>
      <c r="AA363" s="802"/>
      <c r="AB363" s="802"/>
    </row>
    <row r="364" spans="1:28" x14ac:dyDescent="0.25">
      <c r="A364" s="2" t="str">
        <f>Lang!$A$255</f>
        <v>Shares issued</v>
      </c>
      <c r="B364" s="2"/>
      <c r="C364" s="19">
        <f ca="1">IF(C192&gt;0,C189*C192*10,0)</f>
        <v>417480</v>
      </c>
      <c r="D364" s="810">
        <f>'1'!$R69</f>
        <v>0</v>
      </c>
      <c r="F364" s="2" t="str">
        <f>Lang!$A$255</f>
        <v>Shares issued</v>
      </c>
      <c r="G364" s="2"/>
      <c r="H364" s="19">
        <f ca="1">IF(H192&gt;0,H189*H192*10,0)</f>
        <v>0</v>
      </c>
      <c r="I364" s="810">
        <f ca="1">'2'!$R69</f>
        <v>0</v>
      </c>
      <c r="K364" s="2" t="str">
        <f>Lang!$A$255</f>
        <v>Shares issued</v>
      </c>
      <c r="L364" s="2"/>
      <c r="M364" s="19">
        <f ca="1">IF(M192&gt;0,M189*M192*10,0)</f>
        <v>0</v>
      </c>
      <c r="N364" s="810">
        <f ca="1">'3'!$R69</f>
        <v>0</v>
      </c>
      <c r="P364" s="2" t="str">
        <f>Lang!$A$255</f>
        <v>Shares issued</v>
      </c>
      <c r="Q364" s="2"/>
      <c r="R364" s="19">
        <f ca="1">IF(R192&gt;0,R189*R192*10,0)</f>
        <v>0</v>
      </c>
      <c r="S364" s="810">
        <f ca="1">'4'!$R69</f>
        <v>0</v>
      </c>
      <c r="U364" s="2" t="str">
        <f>Lang!$A$255</f>
        <v>Shares issued</v>
      </c>
      <c r="V364" s="2"/>
      <c r="W364" s="19">
        <f ca="1">IF(W192&gt;0,W189*W192*10,0)</f>
        <v>0</v>
      </c>
      <c r="X364" s="810">
        <f ca="1">'5'!$R69</f>
        <v>0</v>
      </c>
      <c r="Z364" s="802">
        <f t="shared" ref="Z364:Z369" ca="1" si="39">C364+H364+M364+R364+W364</f>
        <v>417480</v>
      </c>
      <c r="AA364" s="802"/>
      <c r="AB364" s="802"/>
    </row>
    <row r="365" spans="1:28" x14ac:dyDescent="0.25">
      <c r="A365" s="2" t="str">
        <f>Lang!$A$256</f>
        <v>Shares repurchased</v>
      </c>
      <c r="B365" s="2"/>
      <c r="C365" s="19">
        <f ca="1">IF(C192&lt;0,-C189*C192*10,0)</f>
        <v>0</v>
      </c>
      <c r="D365" s="810">
        <f>'1'!$R70</f>
        <v>0</v>
      </c>
      <c r="F365" s="2" t="str">
        <f>Lang!$A$256</f>
        <v>Shares repurchased</v>
      </c>
      <c r="G365" s="2"/>
      <c r="H365" s="19">
        <f ca="1">IF(H192&lt;0,-H189*H192*10,0)</f>
        <v>0</v>
      </c>
      <c r="I365" s="810">
        <f ca="1">'2'!$R70</f>
        <v>0</v>
      </c>
      <c r="K365" s="2" t="str">
        <f>Lang!$A$256</f>
        <v>Shares repurchased</v>
      </c>
      <c r="L365" s="2"/>
      <c r="M365" s="19">
        <f ca="1">IF(M192&lt;0,-M189*M192*10,0)</f>
        <v>0</v>
      </c>
      <c r="N365" s="810">
        <f ca="1">'3'!$R70</f>
        <v>0</v>
      </c>
      <c r="P365" s="2" t="str">
        <f>Lang!$A$256</f>
        <v>Shares repurchased</v>
      </c>
      <c r="Q365" s="2"/>
      <c r="R365" s="19">
        <f ca="1">IF(R192&lt;0,-R189*R192*10,0)</f>
        <v>0</v>
      </c>
      <c r="S365" s="810">
        <f ca="1">'4'!$R70</f>
        <v>0</v>
      </c>
      <c r="U365" s="2" t="str">
        <f>Lang!$A$256</f>
        <v>Shares repurchased</v>
      </c>
      <c r="V365" s="2"/>
      <c r="W365" s="19">
        <f ca="1">IF(W192&lt;0,-W189*W192*10,0)</f>
        <v>0</v>
      </c>
      <c r="X365" s="810">
        <f ca="1">'5'!$R70</f>
        <v>0</v>
      </c>
      <c r="Z365" s="802">
        <f t="shared" ca="1" si="39"/>
        <v>0</v>
      </c>
      <c r="AA365" s="802"/>
      <c r="AB365" s="802"/>
    </row>
    <row r="366" spans="1:28" ht="12.75" customHeight="1" x14ac:dyDescent="0.25">
      <c r="A366" s="2" t="str">
        <f>Lang!$A$133</f>
        <v>Dividends paid</v>
      </c>
      <c r="B366" s="2"/>
      <c r="C366" s="19">
        <f>C310</f>
        <v>0</v>
      </c>
      <c r="D366" s="810">
        <f>'1'!$R71</f>
        <v>0</v>
      </c>
      <c r="F366" s="2" t="str">
        <f>Lang!$A$133</f>
        <v>Dividends paid</v>
      </c>
      <c r="G366" s="2"/>
      <c r="H366" s="19">
        <f ca="1">H310</f>
        <v>0</v>
      </c>
      <c r="I366" s="810">
        <f>'2'!$R71</f>
        <v>0</v>
      </c>
      <c r="K366" s="2" t="str">
        <f>Lang!$A$133</f>
        <v>Dividends paid</v>
      </c>
      <c r="L366" s="2"/>
      <c r="M366" s="19">
        <f ca="1">M310</f>
        <v>0</v>
      </c>
      <c r="N366" s="810">
        <f>'3'!$R71</f>
        <v>0</v>
      </c>
      <c r="P366" s="2" t="str">
        <f>Lang!$A$133</f>
        <v>Dividends paid</v>
      </c>
      <c r="Q366" s="2"/>
      <c r="R366" s="19">
        <f ca="1">R310</f>
        <v>0</v>
      </c>
      <c r="S366" s="810">
        <f>'4'!$R71</f>
        <v>40000</v>
      </c>
      <c r="U366" s="2" t="str">
        <f>Lang!$A$133</f>
        <v>Dividends paid</v>
      </c>
      <c r="V366" s="2"/>
      <c r="W366" s="19">
        <f ca="1">W310</f>
        <v>0</v>
      </c>
      <c r="X366" s="810">
        <f>'5'!$R71</f>
        <v>0</v>
      </c>
      <c r="Z366" s="802">
        <f t="shared" ca="1" si="39"/>
        <v>0</v>
      </c>
      <c r="AA366" s="802"/>
      <c r="AB366" s="802"/>
    </row>
    <row r="367" spans="1:28" x14ac:dyDescent="0.25">
      <c r="A367" s="3" t="str">
        <f>Lang!$A$257</f>
        <v>Additional loans</v>
      </c>
      <c r="C367" s="19">
        <f>C195*1000</f>
        <v>0</v>
      </c>
      <c r="D367" s="810">
        <f>'1'!$R72</f>
        <v>0</v>
      </c>
      <c r="F367" s="3" t="str">
        <f>Lang!$A$257</f>
        <v>Additional loans</v>
      </c>
      <c r="H367" s="19">
        <f>H195*1000</f>
        <v>0</v>
      </c>
      <c r="I367" s="810">
        <f>'2'!$R72</f>
        <v>0</v>
      </c>
      <c r="K367" s="3" t="str">
        <f>Lang!$A$257</f>
        <v>Additional loans</v>
      </c>
      <c r="M367" s="19">
        <f>M195*1000</f>
        <v>0</v>
      </c>
      <c r="N367" s="810">
        <f>'3'!$R72</f>
        <v>0</v>
      </c>
      <c r="P367" s="3" t="str">
        <f>Lang!$A$257</f>
        <v>Additional loans</v>
      </c>
      <c r="R367" s="19">
        <f>R195*1000</f>
        <v>0</v>
      </c>
      <c r="S367" s="810">
        <f>'4'!$R72</f>
        <v>0</v>
      </c>
      <c r="U367" s="3" t="str">
        <f>Lang!$A$257</f>
        <v>Additional loans</v>
      </c>
      <c r="W367" s="19">
        <f>W195*1000</f>
        <v>0</v>
      </c>
      <c r="X367" s="810">
        <f>'5'!$R72</f>
        <v>0</v>
      </c>
      <c r="Z367" s="802">
        <f t="shared" si="39"/>
        <v>0</v>
      </c>
      <c r="AA367" s="802"/>
      <c r="AB367" s="802"/>
    </row>
    <row r="368" spans="1:28" x14ac:dyDescent="0.25">
      <c r="A368" s="3" t="str">
        <f>Lang!$A$258</f>
        <v>Interest paid</v>
      </c>
      <c r="C368" s="19">
        <f ca="1">C304</f>
        <v>0</v>
      </c>
      <c r="D368" s="810">
        <f ca="1">'1'!$R73</f>
        <v>0</v>
      </c>
      <c r="F368" s="3" t="str">
        <f>Lang!$A$258</f>
        <v>Interest paid</v>
      </c>
      <c r="H368" s="19">
        <f ca="1">H304</f>
        <v>0</v>
      </c>
      <c r="I368" s="810">
        <f ca="1">'2'!$R73</f>
        <v>0</v>
      </c>
      <c r="K368" s="3" t="str">
        <f>Lang!$A$258</f>
        <v>Interest paid</v>
      </c>
      <c r="M368" s="19">
        <f ca="1">M304</f>
        <v>0</v>
      </c>
      <c r="N368" s="810">
        <f ca="1">'3'!$R73</f>
        <v>97.84762596887056</v>
      </c>
      <c r="P368" s="3" t="str">
        <f>Lang!$A$258</f>
        <v>Interest paid</v>
      </c>
      <c r="R368" s="19">
        <f ca="1">R304</f>
        <v>0</v>
      </c>
      <c r="S368" s="810">
        <f ca="1">'4'!$R73</f>
        <v>1038.3308989117861</v>
      </c>
      <c r="U368" s="3" t="str">
        <f>Lang!$A$258</f>
        <v>Interest paid</v>
      </c>
      <c r="W368" s="19" t="e">
        <f ca="1">W304</f>
        <v>#DIV/0!</v>
      </c>
      <c r="X368" s="810" t="e">
        <f ca="1">'5'!$R73</f>
        <v>#VALUE!</v>
      </c>
      <c r="Z368" s="802" t="e">
        <f t="shared" ca="1" si="39"/>
        <v>#DIV/0!</v>
      </c>
      <c r="AA368" s="802"/>
      <c r="AB368" s="802"/>
    </row>
    <row r="369" spans="1:28" x14ac:dyDescent="0.25">
      <c r="A369" s="3" t="str">
        <f>Lang!$A$122</f>
        <v>Net cash flow from financing</v>
      </c>
      <c r="C369" s="19">
        <f ca="1">(C367+C364)-(C368+C366+C365)</f>
        <v>417480</v>
      </c>
      <c r="D369" s="810">
        <f ca="1">'1'!$R74</f>
        <v>0</v>
      </c>
      <c r="F369" s="3" t="str">
        <f>Lang!$A$122</f>
        <v>Net cash flow from financing</v>
      </c>
      <c r="H369" s="19">
        <f ca="1">(H367+H364)-(H368+H366+H365)</f>
        <v>0</v>
      </c>
      <c r="I369" s="810">
        <f ca="1">'2'!$R74</f>
        <v>0</v>
      </c>
      <c r="K369" s="3" t="str">
        <f>Lang!$A$122</f>
        <v>Net cash flow from financing</v>
      </c>
      <c r="M369" s="19">
        <f ca="1">(M367+M364)-(M368+M366+M365)</f>
        <v>0</v>
      </c>
      <c r="N369" s="810">
        <f ca="1">'3'!$R74</f>
        <v>-97.84762596887056</v>
      </c>
      <c r="P369" s="3" t="str">
        <f>Lang!$A$122</f>
        <v>Net cash flow from financing</v>
      </c>
      <c r="R369" s="19">
        <f ca="1">(R367+R364)-(R368+R366+R365)</f>
        <v>0</v>
      </c>
      <c r="S369" s="810">
        <f ca="1">'4'!$R74</f>
        <v>-41038.330898911787</v>
      </c>
      <c r="U369" s="3" t="str">
        <f>Lang!$A$122</f>
        <v>Net cash flow from financing</v>
      </c>
      <c r="W369" s="19" t="e">
        <f ca="1">(W367+W364)-(W368+W366+W365)</f>
        <v>#DIV/0!</v>
      </c>
      <c r="X369" s="810" t="e">
        <f ca="1">'5'!$R74</f>
        <v>#VALUE!</v>
      </c>
      <c r="Z369" s="802" t="e">
        <f t="shared" ca="1" si="39"/>
        <v>#DIV/0!</v>
      </c>
      <c r="AA369" s="802"/>
      <c r="AB369" s="802"/>
    </row>
    <row r="370" spans="1:28" ht="12.75" customHeight="1" x14ac:dyDescent="0.25">
      <c r="A370" s="2"/>
      <c r="B370" s="2"/>
      <c r="D370" s="810"/>
      <c r="F370" s="2"/>
      <c r="G370" s="2"/>
      <c r="I370" s="810"/>
      <c r="K370" s="2"/>
      <c r="L370" s="2"/>
      <c r="N370" s="810"/>
      <c r="P370" s="2"/>
      <c r="Q370" s="2"/>
      <c r="S370" s="810"/>
      <c r="U370" s="2"/>
      <c r="V370" s="2"/>
      <c r="X370" s="810"/>
      <c r="Z370" s="802"/>
      <c r="AA370" s="802"/>
      <c r="AB370" s="802"/>
    </row>
    <row r="371" spans="1:28" x14ac:dyDescent="0.25">
      <c r="A371" s="3" t="str">
        <f>Lang!$A$124</f>
        <v>Net cash flow</v>
      </c>
      <c r="C371" s="19">
        <f ca="1">C355+C361+C369</f>
        <v>41916.336772667244</v>
      </c>
      <c r="D371" s="810">
        <f ca="1">'1'!$R76</f>
        <v>-219001.07272284455</v>
      </c>
      <c r="F371" s="3" t="str">
        <f>Lang!$A$124</f>
        <v>Net cash flow</v>
      </c>
      <c r="H371" s="19">
        <f ca="1">H355+H361+H369</f>
        <v>-996480.27519772365</v>
      </c>
      <c r="I371" s="810">
        <f ca="1">'2'!$R76</f>
        <v>-237333.41456221952</v>
      </c>
      <c r="K371" s="3" t="str">
        <f>Lang!$A$124</f>
        <v>Net cash flow</v>
      </c>
      <c r="M371" s="19">
        <f ca="1">M355+M361+M369</f>
        <v>-82938.633210791275</v>
      </c>
      <c r="N371" s="810">
        <f ca="1">'3'!$R76</f>
        <v>-558587.98113154585</v>
      </c>
      <c r="P371" s="3" t="str">
        <f>Lang!$A$124</f>
        <v>Net cash flow</v>
      </c>
      <c r="R371" s="19">
        <f ca="1">R355+R361+R369</f>
        <v>293964.68141784472</v>
      </c>
      <c r="S371" s="810">
        <f ca="1">'4'!$R76</f>
        <v>-412491.61766617897</v>
      </c>
      <c r="U371" s="3" t="str">
        <f>Lang!$A$124</f>
        <v>Net cash flow</v>
      </c>
      <c r="W371" s="19" t="e">
        <f ca="1">W355+W361+W369</f>
        <v>#DIV/0!</v>
      </c>
      <c r="X371" s="810" t="e">
        <f ca="1">'5'!$R76</f>
        <v>#VALUE!</v>
      </c>
      <c r="Z371" s="802" t="e">
        <f ca="1">C371+H371+M371+R371+W371</f>
        <v>#DIV/0!</v>
      </c>
      <c r="AA371" s="802"/>
      <c r="AB371" s="802"/>
    </row>
    <row r="372" spans="1:28" x14ac:dyDescent="0.25">
      <c r="A372" s="2" t="str">
        <f>Lang!$A$127</f>
        <v>Previous cash balance</v>
      </c>
      <c r="B372" s="2"/>
      <c r="C372" s="19">
        <f>'53'!X31</f>
        <v>1829005</v>
      </c>
      <c r="D372" s="810">
        <f>'1'!$R77</f>
        <v>1829005</v>
      </c>
      <c r="F372" s="2" t="str">
        <f>Lang!$A$127</f>
        <v>Previous cash balance</v>
      </c>
      <c r="G372" s="2"/>
      <c r="H372" s="19">
        <f ca="1">C373</f>
        <v>1870921.3367726672</v>
      </c>
      <c r="I372" s="810">
        <f>'2'!$R77</f>
        <v>1513443</v>
      </c>
      <c r="K372" s="2" t="str">
        <f>Lang!$A$127</f>
        <v>Previous cash balance</v>
      </c>
      <c r="L372" s="2"/>
      <c r="M372" s="19">
        <f ca="1">H373</f>
        <v>874441.0615749436</v>
      </c>
      <c r="N372" s="810">
        <f>'3'!$R77</f>
        <v>1191095</v>
      </c>
      <c r="P372" s="2" t="str">
        <f>Lang!$A$127</f>
        <v>Previous cash balance</v>
      </c>
      <c r="Q372" s="2"/>
      <c r="R372" s="19">
        <f ca="1">M373</f>
        <v>791502.42836415232</v>
      </c>
      <c r="S372" s="810">
        <f>'4'!$R77</f>
        <v>615437</v>
      </c>
      <c r="U372" s="2" t="str">
        <f>Lang!$A$127</f>
        <v>Previous cash balance</v>
      </c>
      <c r="V372" s="2"/>
      <c r="W372" s="19">
        <f ca="1">R373</f>
        <v>1085467.109781997</v>
      </c>
      <c r="X372" s="810">
        <f>'5'!$R77</f>
        <v>0</v>
      </c>
      <c r="Z372" s="802">
        <f ca="1">C372+H372+M372+R372+W372</f>
        <v>6451336.93649376</v>
      </c>
      <c r="AA372" s="802"/>
      <c r="AB372" s="802"/>
    </row>
    <row r="373" spans="1:28" x14ac:dyDescent="0.25">
      <c r="A373" s="3" t="str">
        <f>Lang!$A$130</f>
        <v>Cash balance</v>
      </c>
      <c r="C373" s="19">
        <f ca="1">C371+C372</f>
        <v>1870921.3367726672</v>
      </c>
      <c r="D373" s="810">
        <f ca="1">'1'!$R78</f>
        <v>1610003.9272771555</v>
      </c>
      <c r="F373" s="3" t="str">
        <f>Lang!$A$130</f>
        <v>Cash balance</v>
      </c>
      <c r="H373" s="19">
        <f ca="1">H371+H372</f>
        <v>874441.0615749436</v>
      </c>
      <c r="I373" s="810">
        <f ca="1">'2'!$R78</f>
        <v>1276109.5854377805</v>
      </c>
      <c r="K373" s="3" t="str">
        <f>Lang!$A$130</f>
        <v>Cash balance</v>
      </c>
      <c r="M373" s="19">
        <f ca="1">M371+M372</f>
        <v>791502.42836415232</v>
      </c>
      <c r="N373" s="810">
        <f ca="1">'3'!$R78</f>
        <v>632507.01886845415</v>
      </c>
      <c r="P373" s="3" t="str">
        <f>Lang!$A$130</f>
        <v>Cash balance</v>
      </c>
      <c r="R373" s="19">
        <f ca="1">R371+R372</f>
        <v>1085467.109781997</v>
      </c>
      <c r="S373" s="810">
        <f ca="1">'4'!$R78</f>
        <v>202945.38233382103</v>
      </c>
      <c r="U373" s="3" t="str">
        <f>Lang!$A$130</f>
        <v>Cash balance</v>
      </c>
      <c r="W373" s="19" t="e">
        <f ca="1">W371+W372</f>
        <v>#DIV/0!</v>
      </c>
      <c r="X373" s="810" t="e">
        <f ca="1">'5'!$R78</f>
        <v>#VALUE!</v>
      </c>
      <c r="Z373" s="802" t="e">
        <f ca="1">C373+H373+M373+R373+W373</f>
        <v>#DIV/0!</v>
      </c>
      <c r="AA373" s="802"/>
      <c r="AB373" s="802"/>
    </row>
    <row r="374" spans="1:28" ht="12.75" customHeight="1" x14ac:dyDescent="0.25">
      <c r="A374" s="2" t="str">
        <f>Lang!$A$131</f>
        <v>Including a term deposit</v>
      </c>
      <c r="B374" s="2"/>
      <c r="C374" s="19">
        <f>C328</f>
        <v>1150000</v>
      </c>
      <c r="D374" s="810">
        <f>'1'!$R79</f>
        <v>1150000</v>
      </c>
      <c r="F374" s="2" t="str">
        <f>Lang!$A$131</f>
        <v>Including a term deposit</v>
      </c>
      <c r="G374" s="2"/>
      <c r="H374" s="19">
        <f>H328</f>
        <v>650000</v>
      </c>
      <c r="I374" s="810">
        <f>'2'!$R79</f>
        <v>650000</v>
      </c>
      <c r="K374" s="2" t="str">
        <f>Lang!$A$131</f>
        <v>Including a term deposit</v>
      </c>
      <c r="L374" s="2"/>
      <c r="M374" s="19">
        <f>M328</f>
        <v>650000</v>
      </c>
      <c r="N374" s="810">
        <f>'3'!$R79</f>
        <v>650000</v>
      </c>
      <c r="P374" s="2" t="str">
        <f>Lang!$A$131</f>
        <v>Including a term deposit</v>
      </c>
      <c r="Q374" s="2"/>
      <c r="R374" s="19">
        <f>R328</f>
        <v>650000</v>
      </c>
      <c r="S374" s="810">
        <f>'4'!$R79</f>
        <v>350000</v>
      </c>
      <c r="U374" s="2" t="str">
        <f>Lang!$A$131</f>
        <v>Including a term deposit</v>
      </c>
      <c r="V374" s="2"/>
      <c r="W374" s="19">
        <f>W328</f>
        <v>150000</v>
      </c>
      <c r="X374" s="810">
        <f>'5'!$R79</f>
        <v>-500000</v>
      </c>
      <c r="Z374" s="802">
        <f>C374+H374+M374+R374+W374</f>
        <v>3250000</v>
      </c>
      <c r="AA374" s="802"/>
      <c r="AB374" s="802"/>
    </row>
    <row r="375" spans="1:28" x14ac:dyDescent="0.25">
      <c r="A375" s="2"/>
      <c r="B375" s="2"/>
      <c r="F375" s="2"/>
      <c r="G375" s="2"/>
      <c r="K375" s="2"/>
      <c r="L375" s="2"/>
      <c r="P375" s="2"/>
      <c r="Q375" s="2"/>
      <c r="U375" s="2"/>
      <c r="V375" s="2"/>
      <c r="Z375" s="802"/>
      <c r="AA375" s="802"/>
      <c r="AB375" s="802"/>
    </row>
    <row r="376" spans="1:28" x14ac:dyDescent="0.25">
      <c r="A376" s="3" t="str">
        <f>Lang!$A$259</f>
        <v>Overdraft limit for next quarter</v>
      </c>
      <c r="C376" s="19">
        <f>'53'!X34</f>
        <v>619000</v>
      </c>
      <c r="D376" s="810">
        <f>'1'!$R81</f>
        <v>619000</v>
      </c>
      <c r="F376" s="3" t="str">
        <f>Lang!$A$259</f>
        <v>Overdraft limit for next quarter</v>
      </c>
      <c r="H376" s="19">
        <f>C376</f>
        <v>619000</v>
      </c>
      <c r="I376" s="810">
        <f>'2'!$R81</f>
        <v>600000</v>
      </c>
      <c r="K376" s="3" t="str">
        <f>Lang!$A$259</f>
        <v>Overdraft limit for next quarter</v>
      </c>
      <c r="M376" s="19">
        <f>H376</f>
        <v>619000</v>
      </c>
      <c r="N376" s="810">
        <f>'3'!$R81</f>
        <v>584000</v>
      </c>
      <c r="P376" s="3" t="str">
        <f>Lang!$A$259</f>
        <v>Overdraft limit for next quarter</v>
      </c>
      <c r="R376" s="19">
        <f>M376</f>
        <v>619000</v>
      </c>
      <c r="S376" s="810">
        <f>'4'!$R81</f>
        <v>1028000</v>
      </c>
      <c r="U376" s="3" t="str">
        <f>Lang!$A$259</f>
        <v>Overdraft limit for next quarter</v>
      </c>
      <c r="W376" s="19">
        <f>R376</f>
        <v>619000</v>
      </c>
      <c r="X376" s="810">
        <f>'5'!$R81</f>
        <v>0</v>
      </c>
      <c r="Z376" s="802">
        <f>C376+H376+M376+R376+W376</f>
        <v>3095000</v>
      </c>
      <c r="AA376" s="802"/>
      <c r="AB376" s="802"/>
    </row>
    <row r="377" spans="1:28" x14ac:dyDescent="0.25">
      <c r="A377" s="3" t="str">
        <f>Lang!$A$260</f>
        <v>Borrowing power next quarter</v>
      </c>
      <c r="C377" s="19">
        <f>'53'!X35</f>
        <v>1468000</v>
      </c>
      <c r="D377" s="810">
        <f>'1'!$R82</f>
        <v>1468000</v>
      </c>
      <c r="F377" s="3" t="str">
        <f>Lang!$A$260</f>
        <v>Borrowing power next quarter</v>
      </c>
      <c r="H377" s="19">
        <f>C377</f>
        <v>1468000</v>
      </c>
      <c r="I377" s="810">
        <f>'2'!$R82</f>
        <v>1371000</v>
      </c>
      <c r="K377" s="3" t="str">
        <f>Lang!$A$260</f>
        <v>Borrowing power next quarter</v>
      </c>
      <c r="M377" s="19">
        <f>H377</f>
        <v>1468000</v>
      </c>
      <c r="N377" s="810">
        <f>'3'!$R82</f>
        <v>1307000</v>
      </c>
      <c r="P377" s="3" t="str">
        <f>Lang!$A$260</f>
        <v>Borrowing power next quarter</v>
      </c>
      <c r="R377" s="19">
        <f>M377</f>
        <v>1468000</v>
      </c>
      <c r="S377" s="810">
        <f>'4'!$R82</f>
        <v>1080000</v>
      </c>
      <c r="U377" s="3" t="str">
        <f>Lang!$A$260</f>
        <v>Borrowing power next quarter</v>
      </c>
      <c r="W377" s="19">
        <f>R377</f>
        <v>1468000</v>
      </c>
      <c r="X377" s="810">
        <f>'5'!$R82</f>
        <v>0</v>
      </c>
      <c r="Z377" s="802">
        <f>C377+H377+M377+R377+W377</f>
        <v>7340000</v>
      </c>
      <c r="AA377" s="802"/>
      <c r="AB377" s="802"/>
    </row>
    <row r="378" spans="1:28" x14ac:dyDescent="0.25">
      <c r="Z378" s="802"/>
      <c r="AA378" s="802"/>
      <c r="AB378" s="802"/>
    </row>
    <row r="379" spans="1:28" x14ac:dyDescent="0.25">
      <c r="A379" s="8" t="str">
        <f>Lang!$A$140</f>
        <v>Balance</v>
      </c>
      <c r="B379" s="2"/>
      <c r="C379" s="19">
        <f ca="1">(C351+C352-C353-C354)+(C358+C359-C360)+(C367+C364)-(C366+C365)+'53'!X31-C374</f>
        <v>720921.33677266724</v>
      </c>
      <c r="D379" s="810">
        <f ca="1">'1'!$R84</f>
        <v>460003.92727715545</v>
      </c>
      <c r="F379" s="8" t="str">
        <f>Lang!$A$140</f>
        <v>Balance</v>
      </c>
      <c r="G379" s="2"/>
      <c r="H379" s="19">
        <f ca="1">(H351+H352-H353-H354)+(H358+H359-H360)+(H367+H364)-(H366+H365)+C373-H374</f>
        <v>224441.0615749436</v>
      </c>
      <c r="I379" s="810">
        <f ca="1">'2'!$R84</f>
        <v>626109.58543778048</v>
      </c>
      <c r="K379" s="8" t="str">
        <f>Lang!$A$140</f>
        <v>Balance</v>
      </c>
      <c r="L379" s="2"/>
      <c r="M379" s="19">
        <f ca="1">(M351+M352-M353-M354)+(M358+M359-M360)+(M367+M364)-(M366+M365)+H373-M374</f>
        <v>141502.42836415232</v>
      </c>
      <c r="N379" s="810">
        <f ca="1">'3'!$R84</f>
        <v>-17395.133505576989</v>
      </c>
      <c r="P379" s="8" t="str">
        <f>Lang!$A$140</f>
        <v>Balance</v>
      </c>
      <c r="Q379" s="2"/>
      <c r="R379" s="19">
        <f ca="1">(R351+R352-R353-R354)+(R358+R359-R360)+(R367+R364)-(R366+R365)+M373-R374</f>
        <v>435467.10978199705</v>
      </c>
      <c r="S379" s="810">
        <f ca="1">'4'!$R84</f>
        <v>-146016.28676726716</v>
      </c>
      <c r="U379" s="8" t="str">
        <f>Lang!$A$140</f>
        <v>Balance</v>
      </c>
      <c r="V379" s="2"/>
      <c r="W379" s="19" t="e">
        <f ca="1">(W351+W352-W353-W354)+(W358+W359-W360)+(W367+W364)-(W366+W365)+R373-W374</f>
        <v>#DIV/0!</v>
      </c>
      <c r="X379" s="810" t="e">
        <f ca="1">'5'!$R84</f>
        <v>#VALUE!</v>
      </c>
      <c r="Z379" s="802" t="e">
        <f ca="1">C379+H379+M379+R379+W379</f>
        <v>#DIV/0!</v>
      </c>
      <c r="AA379" s="802"/>
      <c r="AB379" s="802"/>
    </row>
    <row r="380" spans="1:28" x14ac:dyDescent="0.25">
      <c r="A380" s="8" t="str">
        <f>Lang!$A$142</f>
        <v>Credit</v>
      </c>
      <c r="B380" s="2"/>
      <c r="C380" s="19">
        <f ca="1">IF(C379&lt;0,-C379,)</f>
        <v>0</v>
      </c>
      <c r="D380" s="810">
        <f ca="1">'1'!$R85</f>
        <v>0</v>
      </c>
      <c r="F380" s="8" t="str">
        <f>Lang!$A$142</f>
        <v>Credit</v>
      </c>
      <c r="G380" s="2"/>
      <c r="H380" s="19">
        <f ca="1">IF(H379&lt;0,-H379,)</f>
        <v>0</v>
      </c>
      <c r="I380" s="810">
        <f ca="1">'2'!$R85</f>
        <v>0</v>
      </c>
      <c r="K380" s="8" t="str">
        <f>Lang!$A$142</f>
        <v>Credit</v>
      </c>
      <c r="L380" s="2"/>
      <c r="M380" s="19">
        <f ca="1">IF(M379&lt;0,-M379,)</f>
        <v>0</v>
      </c>
      <c r="N380" s="810">
        <f ca="1">'3'!$R85</f>
        <v>17395.133505576989</v>
      </c>
      <c r="P380" s="8" t="str">
        <f>Lang!$A$142</f>
        <v>Credit</v>
      </c>
      <c r="Q380" s="2"/>
      <c r="R380" s="19">
        <f ca="1">IF(R379&lt;0,-R379,)</f>
        <v>0</v>
      </c>
      <c r="S380" s="810">
        <f ca="1">'4'!$R85</f>
        <v>146016.28676726716</v>
      </c>
      <c r="U380" s="8" t="str">
        <f>Lang!$A$142</f>
        <v>Credit</v>
      </c>
      <c r="V380" s="2"/>
      <c r="W380" s="19" t="e">
        <f ca="1">IF(W379&lt;0,-W379,)</f>
        <v>#DIV/0!</v>
      </c>
      <c r="X380" s="810" t="e">
        <f ca="1">'5'!$R85</f>
        <v>#VALUE!</v>
      </c>
      <c r="Z380" s="802" t="e">
        <f ca="1">C380+H380+M380+R380+W380</f>
        <v>#DIV/0!</v>
      </c>
      <c r="AA380" s="802"/>
      <c r="AB380" s="802"/>
    </row>
    <row r="381" spans="1:28" ht="13.8" thickBot="1" x14ac:dyDescent="0.3">
      <c r="Z381" s="8"/>
    </row>
    <row r="382" spans="1:28" ht="12.75" customHeight="1" x14ac:dyDescent="0.25">
      <c r="A382" s="136">
        <f ca="1">SUM(B383:D385)</f>
        <v>1604609.882696161</v>
      </c>
      <c r="B382" s="26"/>
      <c r="C382" s="26"/>
      <c r="D382" s="27"/>
      <c r="F382" s="136">
        <f ca="1">SUM(G383:I385)</f>
        <v>1961215.289563996</v>
      </c>
      <c r="G382" s="26"/>
      <c r="H382" s="26"/>
      <c r="I382" s="27"/>
      <c r="K382" s="136">
        <f ca="1">SUM(L383:N385)</f>
        <v>2215552.1023737756</v>
      </c>
      <c r="L382" s="26"/>
      <c r="M382" s="26"/>
      <c r="N382" s="27"/>
      <c r="P382" s="136">
        <f ca="1">SUM(Q383:S385)</f>
        <v>2525828.0972979078</v>
      </c>
      <c r="Q382" s="26"/>
      <c r="R382" s="26"/>
      <c r="S382" s="27"/>
      <c r="U382" s="136">
        <f ca="1">SUM(V383:X385)</f>
        <v>2171599.4679464921</v>
      </c>
      <c r="V382" s="26"/>
      <c r="W382" s="26"/>
      <c r="X382" s="27"/>
      <c r="Z382" s="8"/>
    </row>
    <row r="383" spans="1:28" x14ac:dyDescent="0.25">
      <c r="A383" s="5"/>
      <c r="B383" s="34">
        <f t="shared" ref="B383:D385" ca="1" si="40">A219*A244</f>
        <v>339980.80596339924</v>
      </c>
      <c r="C383" s="34">
        <f t="shared" ca="1" si="40"/>
        <v>335592.47476106894</v>
      </c>
      <c r="D383" s="35">
        <f t="shared" ca="1" si="40"/>
        <v>202180.86857155539</v>
      </c>
      <c r="F383" s="5"/>
      <c r="G383" s="34">
        <f t="shared" ref="G383:I385" ca="1" si="41">F219*F244</f>
        <v>403907.94649691886</v>
      </c>
      <c r="H383" s="34">
        <f t="shared" ca="1" si="41"/>
        <v>348447.93707686558</v>
      </c>
      <c r="I383" s="35">
        <f t="shared" ca="1" si="41"/>
        <v>198508.54312588231</v>
      </c>
      <c r="K383" s="5"/>
      <c r="L383" s="34">
        <f t="shared" ref="L383:N385" ca="1" si="42">K219*K244</f>
        <v>504020.10176374903</v>
      </c>
      <c r="M383" s="34">
        <f t="shared" ca="1" si="42"/>
        <v>368596.78173029347</v>
      </c>
      <c r="N383" s="35">
        <f t="shared" ca="1" si="42"/>
        <v>226973.90816092936</v>
      </c>
      <c r="P383" s="5"/>
      <c r="Q383" s="34">
        <f t="shared" ref="Q383:S385" ca="1" si="43">P219*P244</f>
        <v>559868.8040852967</v>
      </c>
      <c r="R383" s="34">
        <f t="shared" ca="1" si="43"/>
        <v>468332.65428198525</v>
      </c>
      <c r="S383" s="35">
        <f t="shared" ca="1" si="43"/>
        <v>258615.54293851429</v>
      </c>
      <c r="U383" s="5"/>
      <c r="V383" s="34">
        <f t="shared" ref="V383:X385" ca="1" si="44">U219*U244</f>
        <v>485793.1035605073</v>
      </c>
      <c r="W383" s="34">
        <f t="shared" ca="1" si="44"/>
        <v>371486.08295138262</v>
      </c>
      <c r="X383" s="35">
        <f t="shared" ca="1" si="44"/>
        <v>182790.57960958316</v>
      </c>
      <c r="Z383" s="3"/>
      <c r="AA383" s="3"/>
    </row>
    <row r="384" spans="1:28" x14ac:dyDescent="0.25">
      <c r="A384" s="5"/>
      <c r="B384" s="34">
        <f t="shared" ca="1" si="40"/>
        <v>93459.055266076102</v>
      </c>
      <c r="C384" s="34">
        <f t="shared" ca="1" si="40"/>
        <v>102133.80545990619</v>
      </c>
      <c r="D384" s="35">
        <f t="shared" ca="1" si="40"/>
        <v>57441.628440372348</v>
      </c>
      <c r="F384" s="5"/>
      <c r="G384" s="34">
        <f t="shared" ca="1" si="41"/>
        <v>239660.91509080943</v>
      </c>
      <c r="H384" s="34">
        <f t="shared" ca="1" si="41"/>
        <v>219437.15772722496</v>
      </c>
      <c r="I384" s="35">
        <f t="shared" ca="1" si="41"/>
        <v>134797.66266369566</v>
      </c>
      <c r="K384" s="5"/>
      <c r="L384" s="34">
        <f ca="1">K220*K245</f>
        <v>307958.63498110615</v>
      </c>
      <c r="M384" s="34">
        <f t="shared" ca="1" si="42"/>
        <v>229325.13959062396</v>
      </c>
      <c r="N384" s="35">
        <f t="shared" ca="1" si="42"/>
        <v>165508.04844017152</v>
      </c>
      <c r="P384" s="5"/>
      <c r="Q384" s="34">
        <f t="shared" ca="1" si="43"/>
        <v>288773.59897849645</v>
      </c>
      <c r="R384" s="34">
        <f t="shared" ca="1" si="43"/>
        <v>284665.93494090321</v>
      </c>
      <c r="S384" s="35">
        <f t="shared" ca="1" si="43"/>
        <v>179625.156489777</v>
      </c>
      <c r="U384" s="5"/>
      <c r="V384" s="34">
        <f t="shared" ca="1" si="44"/>
        <v>282053.26862853393</v>
      </c>
      <c r="W384" s="34">
        <f t="shared" ca="1" si="44"/>
        <v>250031.70080296983</v>
      </c>
      <c r="X384" s="35">
        <f t="shared" ca="1" si="44"/>
        <v>142786.84898356214</v>
      </c>
      <c r="Z384" s="3"/>
      <c r="AA384" s="3"/>
    </row>
    <row r="385" spans="1:27" ht="13.8" thickBot="1" x14ac:dyDescent="0.3">
      <c r="A385" s="9"/>
      <c r="B385" s="36">
        <f t="shared" ca="1" si="40"/>
        <v>192040.12412402575</v>
      </c>
      <c r="C385" s="36">
        <f t="shared" ca="1" si="40"/>
        <v>169151.95767326295</v>
      </c>
      <c r="D385" s="37">
        <f t="shared" ca="1" si="40"/>
        <v>112629.16243649409</v>
      </c>
      <c r="F385" s="9"/>
      <c r="G385" s="36">
        <f t="shared" ca="1" si="41"/>
        <v>179979.34482846232</v>
      </c>
      <c r="H385" s="36">
        <f t="shared" ca="1" si="41"/>
        <v>136431.5218434312</v>
      </c>
      <c r="I385" s="37">
        <f t="shared" ca="1" si="41"/>
        <v>100044.26071070567</v>
      </c>
      <c r="K385" s="9"/>
      <c r="L385" s="36">
        <f t="shared" ca="1" si="42"/>
        <v>202495.11320140873</v>
      </c>
      <c r="M385" s="36">
        <f t="shared" ca="1" si="42"/>
        <v>116832.57166972141</v>
      </c>
      <c r="N385" s="37">
        <f t="shared" ca="1" si="42"/>
        <v>93841.802835771974</v>
      </c>
      <c r="P385" s="9"/>
      <c r="Q385" s="36">
        <f t="shared" ca="1" si="43"/>
        <v>233525.0225509661</v>
      </c>
      <c r="R385" s="36">
        <f t="shared" ca="1" si="43"/>
        <v>144853.50236774539</v>
      </c>
      <c r="S385" s="37">
        <f t="shared" ca="1" si="43"/>
        <v>107567.88066422385</v>
      </c>
      <c r="U385" s="9"/>
      <c r="V385" s="36">
        <f t="shared" ca="1" si="44"/>
        <v>224118.68139533533</v>
      </c>
      <c r="W385" s="36">
        <f t="shared" ca="1" si="44"/>
        <v>138978.34033509751</v>
      </c>
      <c r="X385" s="37">
        <f t="shared" ca="1" si="44"/>
        <v>93560.861679520371</v>
      </c>
      <c r="Z385" s="3"/>
      <c r="AA385" s="3"/>
    </row>
    <row r="386" spans="1:27" ht="12.75" customHeight="1" x14ac:dyDescent="0.25">
      <c r="A386" s="136">
        <f ca="1">SUM(A390:D393)</f>
        <v>461861.54395492282</v>
      </c>
      <c r="B386" s="26"/>
      <c r="C386" s="26"/>
      <c r="D386" s="27"/>
      <c r="F386" s="136">
        <f ca="1">SUM(F390:I393)</f>
        <v>530607.69103602157</v>
      </c>
      <c r="G386" s="26"/>
      <c r="H386" s="26"/>
      <c r="I386" s="27"/>
      <c r="K386" s="136">
        <f ca="1">SUM(K390:N393)</f>
        <v>532072.11486621806</v>
      </c>
      <c r="L386" s="26"/>
      <c r="M386" s="26"/>
      <c r="N386" s="27"/>
      <c r="P386" s="136">
        <f ca="1">SUM(P390:S393)</f>
        <v>484416.80207389727</v>
      </c>
      <c r="Q386" s="26"/>
      <c r="R386" s="26"/>
      <c r="S386" s="27"/>
      <c r="U386" s="136" t="e">
        <f ca="1">SUM(U390:X393)</f>
        <v>#DIV/0!</v>
      </c>
      <c r="V386" s="26"/>
      <c r="W386" s="26"/>
      <c r="X386" s="27"/>
      <c r="Z386" s="3"/>
      <c r="AA386" s="3"/>
    </row>
    <row r="387" spans="1:27" x14ac:dyDescent="0.25">
      <c r="A387" s="5"/>
      <c r="B387" s="6"/>
      <c r="C387" s="6"/>
      <c r="D387" s="7"/>
      <c r="F387" s="5"/>
      <c r="G387" s="6"/>
      <c r="H387" s="6"/>
      <c r="I387" s="7"/>
      <c r="K387" s="5"/>
      <c r="L387" s="6"/>
      <c r="M387" s="6"/>
      <c r="N387" s="7"/>
      <c r="P387" s="5"/>
      <c r="Q387" s="6"/>
      <c r="R387" s="6"/>
      <c r="S387" s="7"/>
      <c r="U387" s="5"/>
      <c r="V387" s="6"/>
      <c r="W387" s="6"/>
      <c r="X387" s="7"/>
      <c r="Z387" s="3"/>
      <c r="AA387" s="3"/>
    </row>
    <row r="388" spans="1:27" x14ac:dyDescent="0.25">
      <c r="A388" s="5"/>
      <c r="B388" s="6"/>
      <c r="C388" s="6"/>
      <c r="D388" s="7"/>
      <c r="F388" s="5"/>
      <c r="G388" s="6"/>
      <c r="H388" s="6"/>
      <c r="I388" s="7"/>
      <c r="K388" s="5"/>
      <c r="L388" s="6"/>
      <c r="M388" s="6"/>
      <c r="N388" s="7"/>
      <c r="P388" s="5"/>
      <c r="Q388" s="6"/>
      <c r="R388" s="6"/>
      <c r="S388" s="7"/>
      <c r="U388" s="5"/>
      <c r="V388" s="6"/>
      <c r="W388" s="6"/>
      <c r="X388" s="7"/>
      <c r="Z388" s="3"/>
      <c r="AA388" s="3"/>
    </row>
    <row r="389" spans="1:27" ht="13.8" thickBot="1" x14ac:dyDescent="0.3">
      <c r="A389" s="9"/>
      <c r="B389" s="10"/>
      <c r="C389" s="10"/>
      <c r="D389" s="11"/>
      <c r="F389" s="9"/>
      <c r="G389" s="10"/>
      <c r="H389" s="10"/>
      <c r="I389" s="11"/>
      <c r="K389" s="9"/>
      <c r="L389" s="10"/>
      <c r="M389" s="10"/>
      <c r="N389" s="11"/>
      <c r="P389" s="9"/>
      <c r="Q389" s="10"/>
      <c r="R389" s="10"/>
      <c r="S389" s="11"/>
      <c r="U389" s="9"/>
      <c r="V389" s="10"/>
      <c r="W389" s="10"/>
      <c r="X389" s="11"/>
      <c r="Z389" s="3"/>
      <c r="AA389" s="3"/>
    </row>
    <row r="390" spans="1:27" ht="12.75" customHeight="1" x14ac:dyDescent="0.25">
      <c r="A390" s="5">
        <f ca="1">A394+A398+A402+A406+A410+A414+A418+A422+A426+A430+A434+A438+A442+A446+A450+A454+A458+A462+A466+A470+A474+A478+A482</f>
        <v>212621.54395492285</v>
      </c>
      <c r="B390" s="6">
        <f ca="1">B394+B398+B402+B406+B410+B414+B418+B422+B426+B430+B434+B438+B442+B446+B450+B454+B458+B462+B466+B470+B474+B478+B482</f>
        <v>29440</v>
      </c>
      <c r="C390" s="6">
        <f ca="1">C394+C398+C402+C406+C410+C414+C418+C422+C426+C430+C434+C438+C442+C446+C450+C454+C458+C462+C466+C470+C474+C478+C482</f>
        <v>18900</v>
      </c>
      <c r="D390" s="7">
        <f ca="1">D394+D398+D402+D406+D410+D414+D418+D422+D426+D430+D434+D438+D442+D446+D450+D454+D458+D462+D466+D470+D474+D478+D482</f>
        <v>11900</v>
      </c>
      <c r="F390" s="5">
        <f ca="1">F394+F398+F402+F406+F410+F414+F418+F422+F426+F430+F434+F438+F442+F446+F450+F454+F458+F462+F466+F470+F474+F478+F482</f>
        <v>250345.69103602163</v>
      </c>
      <c r="G390" s="6">
        <f ca="1">G394+G398+G402+G406+G410+G414+G418+G422+G426+G430+G434+G438+G442+G446+G450+G454+G458+G462+G466+G470+G474+G478+G482</f>
        <v>41932</v>
      </c>
      <c r="H390" s="6">
        <f ca="1">H394+H398+H402+H406+H410+H414+H418+H422+H426+H430+H434+H438+H442+H446+H450+H454+H458+H462+H466+H470+H474+H478+H482</f>
        <v>21680</v>
      </c>
      <c r="I390" s="7">
        <f ca="1">I394+I398+I402+I406+I410+I414+I418+I422+I426+I430+I434+I438+I442+I446+I450+I454+I458+I462+I466+I470+I474+I478+I482</f>
        <v>19650</v>
      </c>
      <c r="K390" s="5">
        <f ca="1">K394+K398+K402+K406+K410+K414+K418+K422+K426+K430+K434+K438+K442+K446+K450+K454+K458+K462+K466+K470+K474+K478+K482</f>
        <v>225124.11486621812</v>
      </c>
      <c r="L390" s="6">
        <f ca="1">L394+L398+L402+L406+L410+L414+L418+L422+L426+L430+L434+L438+L442+L446+L450+L454+L458+L462+L466+L470+L474+L478+L482</f>
        <v>47448</v>
      </c>
      <c r="M390" s="6">
        <f ca="1">M394+M398+M402+M406+M410+M414+M418+M422+M426+M430+M434+M438+M442+M446+M450+M454+M458+M462+M466+M470+M474+M478+M482</f>
        <v>37550</v>
      </c>
      <c r="N390" s="7">
        <f ca="1">N394+N398+N402+N406+N410+N414+N418+N422+N426+N430+N434+N438+N442+N446+N450+N454+N458+N462+N466+N470+N474+N478+N482</f>
        <v>32450</v>
      </c>
      <c r="P390" s="5">
        <f ca="1">P394+P398+P402+P406+P410+P414+P418+P422+P426+P430+P434+P438+P442+P446+P450+P454+P458+P462+P466+P470+P474+P478+P482</f>
        <v>228094.80207389727</v>
      </c>
      <c r="Q390" s="6">
        <f ca="1">Q394+Q398+Q402+Q406+Q410+Q414+Q418+Q422+Q426+Q430+Q434+Q438+Q442+Q446+Q450+Q454+Q458+Q462+Q466+Q470+Q474+Q478+Q482</f>
        <v>13012</v>
      </c>
      <c r="R390" s="6">
        <f ca="1">R394+R398+R402+R406+R410+R414+R418+R422+R426+R430+R434+R438+R442+R446+R450+R454+R458+R462+R466+R470+R474+R478+R482</f>
        <v>38510</v>
      </c>
      <c r="S390" s="7">
        <f ca="1">S394+S398+S402+S406+S410+S414+S418+S422+S426+S430+S434+S438+S442+S446+S450+S454+S458+S462+S466+S470+S474+S478+S482</f>
        <v>18300</v>
      </c>
      <c r="U390" s="5" t="e">
        <f ca="1">U394+U398+U402+U406+U410+U414+U418+U422+U426+U430+U434+U438+U442+U446+U450+U454+U458+U462+U466+U470+U474+U478+U482</f>
        <v>#DIV/0!</v>
      </c>
      <c r="V390" s="6">
        <f ca="1">V394+V398+V402+V406+V410+V414+V418+V422+V426+V430+V434+V438+V442+V446+V450+V454+V458+V462+V466+V470+V474+V478+V482</f>
        <v>13784</v>
      </c>
      <c r="W390" s="6">
        <f ca="1">W394+W398+W402+W406+W410+W414+W418+W422+W426+W430+W434+W438+W442+W446+W450+W454+W458+W462+W466+W470+W474+W478+W482</f>
        <v>28180</v>
      </c>
      <c r="X390" s="7">
        <f ca="1">X394+X398+X402+X406+X410+X414+X418+X422+X426+X430+X434+X438+X442+X446+X450+X454+X458+X462+X466+X470+X474+X478+X482</f>
        <v>19000</v>
      </c>
      <c r="Z390" s="3"/>
      <c r="AA390" s="3"/>
    </row>
    <row r="391" spans="1:27" x14ac:dyDescent="0.25">
      <c r="A391" s="5">
        <f ca="1">A395+A399+A403+A407+A411+A415+A419+A423+A427+A431+A435+A439+A443+A447+A451+A455+A459+A463+A467+A471+A475+A479+A483</f>
        <v>52500</v>
      </c>
      <c r="B391" s="6">
        <f t="shared" ref="A391:D393" si="45">B395+B399+B403+B407+B411+B415+B419+B423+B427+B431+B435+B439+B443+B447+B451+B455+B459+B463+B467+B471+B475+B479+B483</f>
        <v>10000</v>
      </c>
      <c r="C391" s="6">
        <f t="shared" si="45"/>
        <v>10000</v>
      </c>
      <c r="D391" s="7">
        <f t="shared" si="45"/>
        <v>12000</v>
      </c>
      <c r="F391" s="5">
        <f ca="1">F395+F399+F403+F407+F411+F415+F419+F423+F427+F431+F435+F439+F443+F447+F451+F455+F459+F463+F467+F471+F475+F479+F483</f>
        <v>58000</v>
      </c>
      <c r="G391" s="6">
        <f t="shared" ref="F391:I393" si="46">G395+G399+G403+G407+G411+G415+G419+G423+G427+G431+G435+G439+G443+G447+G451+G455+G459+G463+G467+G471+G475+G479+G483</f>
        <v>12000</v>
      </c>
      <c r="H391" s="6">
        <f t="shared" si="46"/>
        <v>10000</v>
      </c>
      <c r="I391" s="7">
        <f t="shared" si="46"/>
        <v>12000</v>
      </c>
      <c r="K391" s="5">
        <f ca="1">K395+K399+K403+K407+K411+K415+K419+K423+K427+K431+K435+K439+K443+K447+K451+K455+K459+K463+K467+K471+K475+K479+K483</f>
        <v>52500</v>
      </c>
      <c r="L391" s="6">
        <f t="shared" ref="K391:N393" si="47">L395+L399+L403+L407+L411+L415+L419+L423+L427+L431+L435+L439+L443+L447+L451+L455+L459+L463+L467+L471+L475+L479+L483</f>
        <v>12000</v>
      </c>
      <c r="M391" s="6">
        <f t="shared" si="47"/>
        <v>10000</v>
      </c>
      <c r="N391" s="7">
        <f t="shared" si="47"/>
        <v>12000</v>
      </c>
      <c r="P391" s="5">
        <f ca="1">P395+P399+P403+P407+P411+P415+P419+P423+P427+P431+P435+P439+P443+P447+P451+P455+P459+P463+P467+P471+P475+P479+P483</f>
        <v>47500</v>
      </c>
      <c r="Q391" s="6">
        <f t="shared" ref="P391:S393" si="48">Q395+Q399+Q403+Q407+Q411+Q415+Q419+Q423+Q427+Q431+Q435+Q439+Q443+Q447+Q451+Q455+Q459+Q463+Q467+Q471+Q475+Q479+Q483</f>
        <v>12000</v>
      </c>
      <c r="R391" s="6">
        <f t="shared" si="48"/>
        <v>10000</v>
      </c>
      <c r="S391" s="7">
        <f t="shared" si="48"/>
        <v>12000</v>
      </c>
      <c r="U391" s="5">
        <f ca="1">U395+U399+U403+U407+U411+U415+U419+U423+U427+U431+U435+U439+U443+U447+U451+U455+U459+U463+U467+U471+U475+U479+U483</f>
        <v>42500</v>
      </c>
      <c r="V391" s="6">
        <f t="shared" ref="U391:X393" si="49">V395+V399+V403+V407+V411+V415+V419+V423+V427+V431+V435+V439+V443+V447+V451+V455+V459+V463+V467+V471+V475+V479+V483</f>
        <v>12000</v>
      </c>
      <c r="W391" s="6">
        <f t="shared" si="49"/>
        <v>12000</v>
      </c>
      <c r="X391" s="7">
        <f t="shared" si="49"/>
        <v>14000</v>
      </c>
      <c r="Z391" s="3"/>
      <c r="AA391" s="3"/>
    </row>
    <row r="392" spans="1:27" x14ac:dyDescent="0.25">
      <c r="A392" s="5">
        <f ca="1">A396+A400+A404+A408+A412+A416+A420+A424+A428+A432+A436+A440+A444+A448+A452+A456+A460+A464+A468+A472+A476+A480+A484</f>
        <v>19500</v>
      </c>
      <c r="B392" s="6">
        <f t="shared" si="45"/>
        <v>7000</v>
      </c>
      <c r="C392" s="6">
        <f t="shared" si="45"/>
        <v>7000</v>
      </c>
      <c r="D392" s="7">
        <f t="shared" si="45"/>
        <v>7000</v>
      </c>
      <c r="F392" s="5">
        <f ca="1">F396+F400+F404+F408+F412+F416+F420+F424+F428+F432+F436+F440+F444+F448+F452+F456+F460+F464+F468+F472+F476+F480+F484</f>
        <v>17000</v>
      </c>
      <c r="G392" s="6">
        <f t="shared" si="46"/>
        <v>9000</v>
      </c>
      <c r="H392" s="6">
        <f t="shared" si="46"/>
        <v>7000</v>
      </c>
      <c r="I392" s="7">
        <f t="shared" si="46"/>
        <v>7000</v>
      </c>
      <c r="K392" s="5">
        <f ca="1">K396+K400+K404+K408+K412+K416+K420+K424+K428+K432+K436+K440+K444+K448+K452+K456+K460+K464+K468+K472+K476+K480+K484</f>
        <v>15000</v>
      </c>
      <c r="L392" s="6">
        <f t="shared" si="47"/>
        <v>10000</v>
      </c>
      <c r="M392" s="6">
        <f t="shared" si="47"/>
        <v>7000</v>
      </c>
      <c r="N392" s="7">
        <f t="shared" si="47"/>
        <v>7000</v>
      </c>
      <c r="P392" s="5">
        <f ca="1">P396+P400+P404+P408+P412+P416+P420+P424+P428+P432+P436+P440+P444+P448+P452+P456+P460+P464+P468+P472+P476+P480+P484</f>
        <v>15000</v>
      </c>
      <c r="Q392" s="6">
        <f t="shared" si="48"/>
        <v>10000</v>
      </c>
      <c r="R392" s="6">
        <f t="shared" si="48"/>
        <v>8000</v>
      </c>
      <c r="S392" s="7">
        <f t="shared" si="48"/>
        <v>8000</v>
      </c>
      <c r="U392" s="5">
        <f ca="1">U396+U400+U404+U408+U412+U416+U420+U424+U428+U432+U436+U440+U444+U448+U452+U456+U460+U464+U468+U472+U476+U480+U484</f>
        <v>21500</v>
      </c>
      <c r="V392" s="6">
        <f t="shared" si="49"/>
        <v>20000</v>
      </c>
      <c r="W392" s="6">
        <f t="shared" si="49"/>
        <v>10000</v>
      </c>
      <c r="X392" s="7">
        <f t="shared" si="49"/>
        <v>12000</v>
      </c>
      <c r="Z392" s="3"/>
      <c r="AA392" s="3"/>
    </row>
    <row r="393" spans="1:27" ht="13.8" thickBot="1" x14ac:dyDescent="0.3">
      <c r="A393" s="9">
        <f t="shared" si="45"/>
        <v>43000</v>
      </c>
      <c r="B393" s="10">
        <f t="shared" si="45"/>
        <v>7000</v>
      </c>
      <c r="C393" s="10">
        <f t="shared" si="45"/>
        <v>7000</v>
      </c>
      <c r="D393" s="11">
        <f t="shared" si="45"/>
        <v>7000</v>
      </c>
      <c r="F393" s="9">
        <f t="shared" si="46"/>
        <v>43000</v>
      </c>
      <c r="G393" s="10">
        <f t="shared" si="46"/>
        <v>8000</v>
      </c>
      <c r="H393" s="10">
        <f t="shared" si="46"/>
        <v>7000</v>
      </c>
      <c r="I393" s="11">
        <f t="shared" si="46"/>
        <v>7000</v>
      </c>
      <c r="K393" s="9">
        <f t="shared" si="47"/>
        <v>42000</v>
      </c>
      <c r="L393" s="10">
        <f t="shared" si="47"/>
        <v>8000</v>
      </c>
      <c r="M393" s="10">
        <f t="shared" si="47"/>
        <v>7000</v>
      </c>
      <c r="N393" s="11">
        <f t="shared" si="47"/>
        <v>7000</v>
      </c>
      <c r="P393" s="9">
        <f t="shared" si="48"/>
        <v>40000</v>
      </c>
      <c r="Q393" s="10">
        <f t="shared" si="48"/>
        <v>8000</v>
      </c>
      <c r="R393" s="10">
        <f t="shared" si="48"/>
        <v>8000</v>
      </c>
      <c r="S393" s="11">
        <f t="shared" si="48"/>
        <v>8000</v>
      </c>
      <c r="U393" s="9">
        <f t="shared" si="49"/>
        <v>26000</v>
      </c>
      <c r="V393" s="10">
        <f t="shared" si="49"/>
        <v>8000</v>
      </c>
      <c r="W393" s="10">
        <f t="shared" si="49"/>
        <v>8000</v>
      </c>
      <c r="X393" s="11">
        <f t="shared" si="49"/>
        <v>10000</v>
      </c>
      <c r="Z393" s="3"/>
      <c r="AA393" s="3"/>
    </row>
    <row r="394" spans="1:27" ht="12.75" customHeight="1" x14ac:dyDescent="0.25">
      <c r="A394" s="5"/>
      <c r="B394" s="6"/>
      <c r="C394" s="6"/>
      <c r="D394" s="7"/>
      <c r="F394" s="5"/>
      <c r="G394" s="6"/>
      <c r="H394" s="6"/>
      <c r="I394" s="7"/>
      <c r="K394" s="5"/>
      <c r="L394" s="6"/>
      <c r="M394" s="6"/>
      <c r="N394" s="7"/>
      <c r="P394" s="5"/>
      <c r="Q394" s="6"/>
      <c r="R394" s="6"/>
      <c r="S394" s="7"/>
      <c r="U394" s="5"/>
      <c r="V394" s="6"/>
      <c r="W394" s="6"/>
      <c r="X394" s="7"/>
      <c r="Z394" s="3"/>
      <c r="AA394" s="3"/>
    </row>
    <row r="395" spans="1:27" x14ac:dyDescent="0.25">
      <c r="A395" s="5">
        <f t="shared" ref="A395:D397" si="50">A138*1000</f>
        <v>15000</v>
      </c>
      <c r="B395" s="6">
        <f t="shared" si="50"/>
        <v>10000</v>
      </c>
      <c r="C395" s="6">
        <f t="shared" si="50"/>
        <v>10000</v>
      </c>
      <c r="D395" s="7">
        <f t="shared" si="50"/>
        <v>12000</v>
      </c>
      <c r="F395" s="5">
        <f t="shared" ref="F395:I397" si="51">F138*1000</f>
        <v>15000</v>
      </c>
      <c r="G395" s="6">
        <f t="shared" si="51"/>
        <v>12000</v>
      </c>
      <c r="H395" s="6">
        <f t="shared" si="51"/>
        <v>10000</v>
      </c>
      <c r="I395" s="7">
        <f t="shared" si="51"/>
        <v>12000</v>
      </c>
      <c r="K395" s="5">
        <f t="shared" ref="K395:N397" si="52">K138*1000</f>
        <v>10000</v>
      </c>
      <c r="L395" s="6">
        <f t="shared" si="52"/>
        <v>12000</v>
      </c>
      <c r="M395" s="6">
        <f t="shared" si="52"/>
        <v>10000</v>
      </c>
      <c r="N395" s="7">
        <f t="shared" si="52"/>
        <v>12000</v>
      </c>
      <c r="P395" s="5">
        <f t="shared" ref="P395:S397" si="53">P138*1000</f>
        <v>5000</v>
      </c>
      <c r="Q395" s="6">
        <f t="shared" si="53"/>
        <v>12000</v>
      </c>
      <c r="R395" s="6">
        <f t="shared" si="53"/>
        <v>10000</v>
      </c>
      <c r="S395" s="7">
        <f t="shared" si="53"/>
        <v>12000</v>
      </c>
      <c r="U395" s="5">
        <f t="shared" ref="U395:X397" si="54">U138*1000</f>
        <v>0</v>
      </c>
      <c r="V395" s="6">
        <f t="shared" si="54"/>
        <v>12000</v>
      </c>
      <c r="W395" s="6">
        <f t="shared" si="54"/>
        <v>12000</v>
      </c>
      <c r="X395" s="7">
        <f t="shared" si="54"/>
        <v>14000</v>
      </c>
      <c r="Z395" s="3"/>
      <c r="AA395" s="3"/>
    </row>
    <row r="396" spans="1:27" x14ac:dyDescent="0.25">
      <c r="A396" s="5">
        <f t="shared" si="50"/>
        <v>7000</v>
      </c>
      <c r="B396" s="6">
        <f t="shared" si="50"/>
        <v>7000</v>
      </c>
      <c r="C396" s="6">
        <f t="shared" si="50"/>
        <v>7000</v>
      </c>
      <c r="D396" s="7">
        <f t="shared" si="50"/>
        <v>7000</v>
      </c>
      <c r="F396" s="5">
        <f t="shared" si="51"/>
        <v>7000</v>
      </c>
      <c r="G396" s="6">
        <f t="shared" si="51"/>
        <v>9000</v>
      </c>
      <c r="H396" s="6">
        <f t="shared" si="51"/>
        <v>7000</v>
      </c>
      <c r="I396" s="7">
        <f t="shared" si="51"/>
        <v>7000</v>
      </c>
      <c r="K396" s="5">
        <f t="shared" si="52"/>
        <v>5000</v>
      </c>
      <c r="L396" s="6">
        <f t="shared" si="52"/>
        <v>10000</v>
      </c>
      <c r="M396" s="6">
        <f t="shared" si="52"/>
        <v>7000</v>
      </c>
      <c r="N396" s="7">
        <f t="shared" si="52"/>
        <v>7000</v>
      </c>
      <c r="P396" s="5">
        <f t="shared" si="53"/>
        <v>5000</v>
      </c>
      <c r="Q396" s="6">
        <f t="shared" si="53"/>
        <v>10000</v>
      </c>
      <c r="R396" s="6">
        <f t="shared" si="53"/>
        <v>8000</v>
      </c>
      <c r="S396" s="7">
        <f t="shared" si="53"/>
        <v>8000</v>
      </c>
      <c r="U396" s="5">
        <f t="shared" si="54"/>
        <v>0</v>
      </c>
      <c r="V396" s="6">
        <f t="shared" si="54"/>
        <v>20000</v>
      </c>
      <c r="W396" s="6">
        <f t="shared" si="54"/>
        <v>10000</v>
      </c>
      <c r="X396" s="7">
        <f t="shared" si="54"/>
        <v>12000</v>
      </c>
      <c r="Z396" s="3"/>
      <c r="AA396" s="3"/>
    </row>
    <row r="397" spans="1:27" ht="13.8" thickBot="1" x14ac:dyDescent="0.3">
      <c r="A397" s="9">
        <f t="shared" si="50"/>
        <v>12000</v>
      </c>
      <c r="B397" s="10">
        <f t="shared" si="50"/>
        <v>7000</v>
      </c>
      <c r="C397" s="10">
        <f t="shared" si="50"/>
        <v>7000</v>
      </c>
      <c r="D397" s="11">
        <f t="shared" si="50"/>
        <v>7000</v>
      </c>
      <c r="F397" s="9">
        <f t="shared" si="51"/>
        <v>12000</v>
      </c>
      <c r="G397" s="10">
        <f t="shared" si="51"/>
        <v>8000</v>
      </c>
      <c r="H397" s="10">
        <f t="shared" si="51"/>
        <v>7000</v>
      </c>
      <c r="I397" s="11">
        <f t="shared" si="51"/>
        <v>7000</v>
      </c>
      <c r="K397" s="9">
        <f t="shared" si="52"/>
        <v>10000</v>
      </c>
      <c r="L397" s="10">
        <f t="shared" si="52"/>
        <v>8000</v>
      </c>
      <c r="M397" s="10">
        <f t="shared" si="52"/>
        <v>7000</v>
      </c>
      <c r="N397" s="11">
        <f t="shared" si="52"/>
        <v>7000</v>
      </c>
      <c r="P397" s="9">
        <f t="shared" si="53"/>
        <v>5000</v>
      </c>
      <c r="Q397" s="10">
        <f t="shared" si="53"/>
        <v>8000</v>
      </c>
      <c r="R397" s="10">
        <f t="shared" si="53"/>
        <v>8000</v>
      </c>
      <c r="S397" s="11">
        <f t="shared" si="53"/>
        <v>8000</v>
      </c>
      <c r="U397" s="9">
        <f t="shared" si="54"/>
        <v>0</v>
      </c>
      <c r="V397" s="10">
        <f t="shared" si="54"/>
        <v>8000</v>
      </c>
      <c r="W397" s="10">
        <f t="shared" si="54"/>
        <v>8000</v>
      </c>
      <c r="X397" s="11">
        <f t="shared" si="54"/>
        <v>10000</v>
      </c>
      <c r="Z397" s="3"/>
      <c r="AA397" s="3"/>
    </row>
    <row r="398" spans="1:27" ht="12.75" customHeight="1" x14ac:dyDescent="0.25">
      <c r="A398" s="5"/>
      <c r="B398" s="6"/>
      <c r="C398" s="6"/>
      <c r="D398" s="7"/>
      <c r="F398" s="5"/>
      <c r="G398" s="6"/>
      <c r="H398" s="6"/>
      <c r="I398" s="7"/>
      <c r="K398" s="5"/>
      <c r="L398" s="6"/>
      <c r="M398" s="6"/>
      <c r="N398" s="7"/>
      <c r="P398" s="5"/>
      <c r="Q398" s="6"/>
      <c r="R398" s="6"/>
      <c r="S398" s="7"/>
      <c r="U398" s="5"/>
      <c r="V398" s="6"/>
      <c r="W398" s="6"/>
      <c r="X398" s="7"/>
      <c r="Z398" s="3"/>
      <c r="AA398" s="3"/>
    </row>
    <row r="399" spans="1:27" x14ac:dyDescent="0.25">
      <c r="A399" s="5"/>
      <c r="B399" s="6"/>
      <c r="C399" s="6"/>
      <c r="D399" s="7"/>
      <c r="F399" s="5"/>
      <c r="G399" s="6"/>
      <c r="H399" s="6"/>
      <c r="I399" s="7"/>
      <c r="K399" s="5"/>
      <c r="L399" s="6"/>
      <c r="M399" s="6"/>
      <c r="N399" s="7"/>
      <c r="P399" s="5"/>
      <c r="Q399" s="6"/>
      <c r="R399" s="6"/>
      <c r="S399" s="7"/>
      <c r="U399" s="5"/>
      <c r="V399" s="6"/>
      <c r="W399" s="6"/>
      <c r="X399" s="7"/>
      <c r="Z399" s="3"/>
      <c r="AA399" s="3"/>
    </row>
    <row r="400" spans="1:27" x14ac:dyDescent="0.25">
      <c r="A400" s="5"/>
      <c r="B400" s="6"/>
      <c r="C400" s="6"/>
      <c r="D400" s="7"/>
      <c r="F400" s="5"/>
      <c r="G400" s="6"/>
      <c r="H400" s="6"/>
      <c r="I400" s="7"/>
      <c r="K400" s="5"/>
      <c r="L400" s="6"/>
      <c r="M400" s="6"/>
      <c r="N400" s="7"/>
      <c r="P400" s="5"/>
      <c r="Q400" s="6"/>
      <c r="R400" s="6"/>
      <c r="S400" s="7"/>
      <c r="U400" s="5"/>
      <c r="V400" s="6"/>
      <c r="W400" s="6"/>
      <c r="X400" s="7"/>
      <c r="Z400" s="3"/>
      <c r="AA400" s="3"/>
    </row>
    <row r="401" spans="1:27" ht="13.8" thickBot="1" x14ac:dyDescent="0.3">
      <c r="A401" s="9">
        <f>C130*1000</f>
        <v>10000</v>
      </c>
      <c r="B401" s="10"/>
      <c r="C401" s="10"/>
      <c r="D401" s="11"/>
      <c r="F401" s="9">
        <f>H130*1000</f>
        <v>10000</v>
      </c>
      <c r="G401" s="10"/>
      <c r="H401" s="10"/>
      <c r="I401" s="11"/>
      <c r="K401" s="9">
        <f>M130*1000</f>
        <v>10000</v>
      </c>
      <c r="L401" s="10"/>
      <c r="M401" s="10"/>
      <c r="N401" s="11"/>
      <c r="P401" s="9">
        <f>R130*1000</f>
        <v>10000</v>
      </c>
      <c r="Q401" s="10"/>
      <c r="R401" s="10"/>
      <c r="S401" s="11"/>
      <c r="U401" s="9">
        <f>W130*1000</f>
        <v>10000</v>
      </c>
      <c r="V401" s="10"/>
      <c r="W401" s="10"/>
      <c r="X401" s="11"/>
      <c r="Z401" s="3"/>
      <c r="AA401" s="3"/>
    </row>
    <row r="402" spans="1:27" ht="12.75" customHeight="1" x14ac:dyDescent="0.25">
      <c r="A402" s="5"/>
      <c r="B402" s="6"/>
      <c r="C402" s="6"/>
      <c r="D402" s="7"/>
      <c r="F402" s="5"/>
      <c r="G402" s="6"/>
      <c r="H402" s="6"/>
      <c r="I402" s="7"/>
      <c r="K402" s="5"/>
      <c r="L402" s="6"/>
      <c r="M402" s="6"/>
      <c r="N402" s="7"/>
      <c r="P402" s="5"/>
      <c r="Q402" s="6"/>
      <c r="R402" s="6"/>
      <c r="S402" s="7"/>
      <c r="U402" s="5"/>
      <c r="V402" s="6"/>
      <c r="W402" s="6"/>
      <c r="X402" s="7"/>
      <c r="Z402" s="3"/>
      <c r="AA402" s="3"/>
    </row>
    <row r="403" spans="1:27" x14ac:dyDescent="0.25">
      <c r="A403" s="5"/>
      <c r="B403" s="6"/>
      <c r="C403" s="6"/>
      <c r="D403" s="7"/>
      <c r="F403" s="5"/>
      <c r="G403" s="6"/>
      <c r="H403" s="6"/>
      <c r="I403" s="7"/>
      <c r="K403" s="5"/>
      <c r="L403" s="6"/>
      <c r="M403" s="6"/>
      <c r="N403" s="7"/>
      <c r="P403" s="5"/>
      <c r="Q403" s="6"/>
      <c r="R403" s="6"/>
      <c r="S403" s="7"/>
      <c r="U403" s="5"/>
      <c r="V403" s="6"/>
      <c r="W403" s="6"/>
      <c r="X403" s="7"/>
      <c r="Z403" s="3"/>
      <c r="AA403" s="3"/>
    </row>
    <row r="404" spans="1:27" x14ac:dyDescent="0.25">
      <c r="A404" s="5"/>
      <c r="B404" s="6"/>
      <c r="C404" s="6"/>
      <c r="D404" s="7"/>
      <c r="F404" s="5"/>
      <c r="G404" s="6"/>
      <c r="H404" s="6"/>
      <c r="I404" s="7"/>
      <c r="K404" s="5"/>
      <c r="L404" s="6"/>
      <c r="M404" s="6"/>
      <c r="N404" s="7"/>
      <c r="P404" s="5"/>
      <c r="Q404" s="6"/>
      <c r="R404" s="6"/>
      <c r="S404" s="7"/>
      <c r="U404" s="5"/>
      <c r="V404" s="6"/>
      <c r="W404" s="6"/>
      <c r="X404" s="7"/>
      <c r="Z404" s="3"/>
      <c r="AA404" s="3"/>
    </row>
    <row r="405" spans="1:27" ht="13.8" thickBot="1" x14ac:dyDescent="0.3">
      <c r="A405" s="366">
        <f>'52'!G42*1000</f>
        <v>5000</v>
      </c>
      <c r="B405" s="10"/>
      <c r="C405" s="10"/>
      <c r="D405" s="11"/>
      <c r="F405" s="366">
        <f>'62'!G42*1000</f>
        <v>5000</v>
      </c>
      <c r="G405" s="10"/>
      <c r="H405" s="10"/>
      <c r="I405" s="11"/>
      <c r="K405" s="366">
        <f>'72'!G42*1000</f>
        <v>6000</v>
      </c>
      <c r="L405" s="10"/>
      <c r="M405" s="10"/>
      <c r="N405" s="11"/>
      <c r="P405" s="366">
        <f>'82'!G42*1000</f>
        <v>9000</v>
      </c>
      <c r="Q405" s="10"/>
      <c r="R405" s="10"/>
      <c r="S405" s="11"/>
      <c r="U405" s="366">
        <f>'92'!G42*1000</f>
        <v>0</v>
      </c>
      <c r="V405" s="10"/>
      <c r="W405" s="10"/>
      <c r="X405" s="11"/>
      <c r="Z405" s="3"/>
      <c r="AA405" s="3"/>
    </row>
    <row r="406" spans="1:27" ht="12.75" customHeight="1" x14ac:dyDescent="0.25">
      <c r="A406" s="5"/>
      <c r="B406" s="6"/>
      <c r="C406" s="6"/>
      <c r="D406" s="7"/>
      <c r="F406" s="5"/>
      <c r="G406" s="6"/>
      <c r="H406" s="6"/>
      <c r="I406" s="7"/>
      <c r="K406" s="5"/>
      <c r="L406" s="6"/>
      <c r="M406" s="6"/>
      <c r="N406" s="7"/>
      <c r="P406" s="5"/>
      <c r="Q406" s="6"/>
      <c r="R406" s="6"/>
      <c r="S406" s="7"/>
      <c r="U406" s="5"/>
      <c r="V406" s="6"/>
      <c r="W406" s="6"/>
      <c r="X406" s="7"/>
      <c r="Z406" s="3"/>
      <c r="AA406" s="3"/>
    </row>
    <row r="407" spans="1:27" x14ac:dyDescent="0.25">
      <c r="A407" s="5">
        <f ca="1">(E128*C128)*1000+(B128-E128)*7500</f>
        <v>37500</v>
      </c>
      <c r="B407" s="6"/>
      <c r="C407" s="6"/>
      <c r="D407" s="7"/>
      <c r="F407" s="5">
        <f ca="1">(J128*H128)*1000+(G128-J128)*7500</f>
        <v>43000</v>
      </c>
      <c r="G407" s="6"/>
      <c r="H407" s="6"/>
      <c r="I407" s="7"/>
      <c r="K407" s="5">
        <f ca="1">(O128*M128)*1000+(L128-O128)*7500</f>
        <v>42500</v>
      </c>
      <c r="L407" s="6"/>
      <c r="M407" s="6"/>
      <c r="N407" s="7"/>
      <c r="P407" s="5">
        <f ca="1">(T128*R128)*1000+(Q128-T128)*7500</f>
        <v>42500</v>
      </c>
      <c r="Q407" s="6"/>
      <c r="R407" s="6"/>
      <c r="S407" s="7"/>
      <c r="U407" s="5">
        <f ca="1">(Y128*W128)*1000+(V128-Y128)*7500</f>
        <v>42500</v>
      </c>
      <c r="V407" s="6"/>
      <c r="W407" s="6"/>
      <c r="X407" s="7"/>
      <c r="Z407" s="3"/>
      <c r="AA407" s="3"/>
    </row>
    <row r="408" spans="1:27" x14ac:dyDescent="0.25">
      <c r="A408" s="5">
        <f ca="1">(E129*C129)*1000+(B129-E129)*7500</f>
        <v>12500</v>
      </c>
      <c r="B408" s="6"/>
      <c r="C408" s="6"/>
      <c r="D408" s="7"/>
      <c r="F408" s="5">
        <f ca="1">(J129*H129)*1000+(G129-J129)*7500</f>
        <v>10000</v>
      </c>
      <c r="G408" s="6"/>
      <c r="H408" s="6"/>
      <c r="I408" s="7"/>
      <c r="K408" s="5">
        <f ca="1">(O129*M129)*1000+(L129-O129)*7500</f>
        <v>10000</v>
      </c>
      <c r="L408" s="6"/>
      <c r="M408" s="6"/>
      <c r="N408" s="7"/>
      <c r="P408" s="5">
        <f ca="1">(T129*R129)*1000+(Q129-T129)*7500</f>
        <v>10000</v>
      </c>
      <c r="Q408" s="6"/>
      <c r="R408" s="6"/>
      <c r="S408" s="7"/>
      <c r="U408" s="5">
        <f ca="1">(Y129*W129)*1000+(V129-Y129)*7500</f>
        <v>21500</v>
      </c>
      <c r="V408" s="6"/>
      <c r="W408" s="6"/>
      <c r="X408" s="7"/>
      <c r="Z408" s="3"/>
      <c r="AA408" s="3"/>
    </row>
    <row r="409" spans="1:27" ht="13.8" thickBot="1" x14ac:dyDescent="0.3">
      <c r="A409" s="9"/>
      <c r="B409" s="10"/>
      <c r="C409" s="10"/>
      <c r="D409" s="11"/>
      <c r="F409" s="9"/>
      <c r="G409" s="10"/>
      <c r="H409" s="10"/>
      <c r="I409" s="11"/>
      <c r="K409" s="9"/>
      <c r="L409" s="10"/>
      <c r="M409" s="10"/>
      <c r="N409" s="11"/>
      <c r="P409" s="9"/>
      <c r="Q409" s="10"/>
      <c r="R409" s="10"/>
      <c r="S409" s="11"/>
      <c r="U409" s="9"/>
      <c r="V409" s="10"/>
      <c r="W409" s="10"/>
      <c r="X409" s="11"/>
      <c r="Z409" s="3"/>
      <c r="AA409" s="3"/>
    </row>
    <row r="410" spans="1:27" ht="12.75" customHeight="1" x14ac:dyDescent="0.25">
      <c r="A410" s="5">
        <f ca="1">C260</f>
        <v>16046.09882696161</v>
      </c>
      <c r="B410" s="6"/>
      <c r="C410" s="6"/>
      <c r="D410" s="7"/>
      <c r="F410" s="5">
        <f ca="1">H260</f>
        <v>19877.719364287674</v>
      </c>
      <c r="G410" s="6"/>
      <c r="H410" s="6"/>
      <c r="I410" s="7"/>
      <c r="K410" s="5">
        <f ca="1">M260</f>
        <v>22614.605308354654</v>
      </c>
      <c r="L410" s="6"/>
      <c r="M410" s="6"/>
      <c r="N410" s="7"/>
      <c r="P410" s="5">
        <f ca="1">R260</f>
        <v>25928.588474991084</v>
      </c>
      <c r="Q410" s="6"/>
      <c r="R410" s="6"/>
      <c r="S410" s="7"/>
      <c r="U410" s="5">
        <f ca="1">W260</f>
        <v>22187.90153616001</v>
      </c>
      <c r="V410" s="6"/>
      <c r="W410" s="6"/>
      <c r="X410" s="7"/>
      <c r="Z410" s="3"/>
      <c r="AA410" s="3"/>
    </row>
    <row r="411" spans="1:27" x14ac:dyDescent="0.25">
      <c r="A411" s="5"/>
      <c r="B411" s="6"/>
      <c r="C411" s="6"/>
      <c r="D411" s="7"/>
      <c r="F411" s="5"/>
      <c r="G411" s="6"/>
      <c r="H411" s="6"/>
      <c r="I411" s="7"/>
      <c r="K411" s="5"/>
      <c r="L411" s="6"/>
      <c r="M411" s="6"/>
      <c r="N411" s="7"/>
      <c r="P411" s="5"/>
      <c r="Q411" s="6"/>
      <c r="R411" s="6"/>
      <c r="S411" s="7"/>
      <c r="U411" s="5"/>
      <c r="V411" s="6"/>
      <c r="W411" s="6"/>
      <c r="X411" s="7"/>
      <c r="Z411" s="3"/>
      <c r="AA411" s="3"/>
    </row>
    <row r="412" spans="1:27" x14ac:dyDescent="0.25">
      <c r="A412" s="5"/>
      <c r="B412" s="6"/>
      <c r="C412" s="6"/>
      <c r="D412" s="7"/>
      <c r="F412" s="5"/>
      <c r="G412" s="6"/>
      <c r="H412" s="6"/>
      <c r="I412" s="7"/>
      <c r="K412" s="5"/>
      <c r="L412" s="6"/>
      <c r="M412" s="6"/>
      <c r="N412" s="7"/>
      <c r="P412" s="5"/>
      <c r="Q412" s="6"/>
      <c r="R412" s="6"/>
      <c r="S412" s="7"/>
      <c r="U412" s="5"/>
      <c r="V412" s="6"/>
      <c r="W412" s="6"/>
      <c r="X412" s="7"/>
      <c r="Z412" s="3"/>
      <c r="AA412" s="3"/>
    </row>
    <row r="413" spans="1:27" ht="13.8" thickBot="1" x14ac:dyDescent="0.3">
      <c r="A413" s="9"/>
      <c r="B413" s="10"/>
      <c r="C413" s="10"/>
      <c r="D413" s="11"/>
      <c r="F413" s="9"/>
      <c r="G413" s="10"/>
      <c r="H413" s="10"/>
      <c r="I413" s="11"/>
      <c r="K413" s="9"/>
      <c r="L413" s="10"/>
      <c r="M413" s="10"/>
      <c r="N413" s="11"/>
      <c r="P413" s="9"/>
      <c r="Q413" s="10"/>
      <c r="R413" s="10"/>
      <c r="S413" s="11"/>
      <c r="U413" s="9"/>
      <c r="V413" s="10"/>
      <c r="W413" s="10"/>
      <c r="X413" s="11"/>
      <c r="Z413" s="3"/>
      <c r="AA413" s="3"/>
    </row>
    <row r="414" spans="1:27" ht="12.75" customHeight="1" x14ac:dyDescent="0.25">
      <c r="A414" s="5"/>
      <c r="B414" s="6">
        <f ca="1">B106*60</f>
        <v>1440</v>
      </c>
      <c r="C414" s="6">
        <f ca="1">C106*150</f>
        <v>900</v>
      </c>
      <c r="D414" s="7">
        <f ca="1">D106*250</f>
        <v>900</v>
      </c>
      <c r="F414" s="5"/>
      <c r="G414" s="6">
        <f ca="1">G106*60</f>
        <v>1932.0000000000002</v>
      </c>
      <c r="H414" s="6">
        <f ca="1">H106*150</f>
        <v>1680</v>
      </c>
      <c r="I414" s="7">
        <f ca="1">I106*250</f>
        <v>1650</v>
      </c>
      <c r="K414" s="5"/>
      <c r="L414" s="6">
        <f ca="1">L106*60</f>
        <v>2448</v>
      </c>
      <c r="M414" s="6">
        <f ca="1">M106*150</f>
        <v>2550</v>
      </c>
      <c r="N414" s="7">
        <f ca="1">N106*250</f>
        <v>2450</v>
      </c>
      <c r="P414" s="5"/>
      <c r="Q414" s="6">
        <f ca="1">Q106*60</f>
        <v>3012</v>
      </c>
      <c r="R414" s="6">
        <f ca="1">R106*150</f>
        <v>3510</v>
      </c>
      <c r="S414" s="7">
        <f ca="1">S106*250</f>
        <v>3300</v>
      </c>
      <c r="U414" s="5"/>
      <c r="V414" s="6">
        <f ca="1">V106*60</f>
        <v>2784</v>
      </c>
      <c r="W414" s="6">
        <f ca="1">W106*150</f>
        <v>3180</v>
      </c>
      <c r="X414" s="7">
        <f ca="1">X106*250</f>
        <v>3000</v>
      </c>
      <c r="Z414" s="3"/>
      <c r="AA414" s="3"/>
    </row>
    <row r="415" spans="1:27" x14ac:dyDescent="0.25">
      <c r="A415" s="5"/>
      <c r="B415" s="6"/>
      <c r="C415" s="6"/>
      <c r="D415" s="7"/>
      <c r="F415" s="5"/>
      <c r="G415" s="6"/>
      <c r="H415" s="6"/>
      <c r="I415" s="7"/>
      <c r="K415" s="5"/>
      <c r="L415" s="6"/>
      <c r="M415" s="6"/>
      <c r="N415" s="7"/>
      <c r="P415" s="5"/>
      <c r="Q415" s="6"/>
      <c r="R415" s="6"/>
      <c r="S415" s="7"/>
      <c r="U415" s="5"/>
      <c r="V415" s="6"/>
      <c r="W415" s="6"/>
      <c r="X415" s="7"/>
      <c r="Z415" s="3"/>
      <c r="AA415" s="3"/>
    </row>
    <row r="416" spans="1:27" x14ac:dyDescent="0.25">
      <c r="A416" s="5"/>
      <c r="B416" s="6"/>
      <c r="C416" s="6"/>
      <c r="D416" s="7"/>
      <c r="F416" s="5"/>
      <c r="G416" s="6"/>
      <c r="H416" s="6"/>
      <c r="I416" s="7"/>
      <c r="K416" s="5"/>
      <c r="L416" s="6"/>
      <c r="M416" s="6"/>
      <c r="N416" s="7"/>
      <c r="P416" s="5"/>
      <c r="Q416" s="6"/>
      <c r="R416" s="6"/>
      <c r="S416" s="7"/>
      <c r="U416" s="5"/>
      <c r="V416" s="6"/>
      <c r="W416" s="6"/>
      <c r="X416" s="7"/>
      <c r="Z416" s="3"/>
      <c r="AA416" s="3"/>
    </row>
    <row r="417" spans="1:27" ht="13.8" thickBot="1" x14ac:dyDescent="0.3">
      <c r="A417" s="9"/>
      <c r="B417" s="10"/>
      <c r="C417" s="10"/>
      <c r="D417" s="11"/>
      <c r="F417" s="9"/>
      <c r="G417" s="10"/>
      <c r="H417" s="10"/>
      <c r="I417" s="11"/>
      <c r="K417" s="9"/>
      <c r="L417" s="10"/>
      <c r="M417" s="10"/>
      <c r="N417" s="11"/>
      <c r="P417" s="9"/>
      <c r="Q417" s="10"/>
      <c r="R417" s="10"/>
      <c r="S417" s="11"/>
      <c r="U417" s="9"/>
      <c r="V417" s="10"/>
      <c r="W417" s="10"/>
      <c r="X417" s="11"/>
      <c r="Z417" s="3"/>
      <c r="AA417" s="3"/>
    </row>
    <row r="418" spans="1:27" ht="12.75" customHeight="1" x14ac:dyDescent="0.25">
      <c r="A418" s="5"/>
      <c r="B418" s="6"/>
      <c r="C418" s="6"/>
      <c r="D418" s="7"/>
      <c r="F418" s="5"/>
      <c r="G418" s="6"/>
      <c r="H418" s="6"/>
      <c r="I418" s="7"/>
      <c r="K418" s="5"/>
      <c r="L418" s="6"/>
      <c r="M418" s="6"/>
      <c r="N418" s="7"/>
      <c r="P418" s="5"/>
      <c r="Q418" s="6"/>
      <c r="R418" s="6"/>
      <c r="S418" s="7"/>
      <c r="U418" s="5"/>
      <c r="V418" s="6"/>
      <c r="W418" s="6"/>
      <c r="X418" s="7"/>
      <c r="Z418" s="3"/>
      <c r="AA418" s="3"/>
    </row>
    <row r="419" spans="1:27" x14ac:dyDescent="0.25">
      <c r="A419" s="5"/>
      <c r="B419" s="6"/>
      <c r="C419" s="6"/>
      <c r="D419" s="7"/>
      <c r="F419" s="5"/>
      <c r="G419" s="6"/>
      <c r="H419" s="6"/>
      <c r="I419" s="7"/>
      <c r="K419" s="5"/>
      <c r="L419" s="6"/>
      <c r="M419" s="6"/>
      <c r="N419" s="7"/>
      <c r="P419" s="5"/>
      <c r="Q419" s="6"/>
      <c r="R419" s="6"/>
      <c r="S419" s="7"/>
      <c r="U419" s="5"/>
      <c r="V419" s="6"/>
      <c r="W419" s="6"/>
      <c r="X419" s="7"/>
      <c r="Z419" s="3"/>
      <c r="AA419" s="3"/>
    </row>
    <row r="420" spans="1:27" x14ac:dyDescent="0.25">
      <c r="A420" s="5"/>
      <c r="B420" s="6"/>
      <c r="C420" s="6"/>
      <c r="D420" s="7"/>
      <c r="F420" s="5"/>
      <c r="G420" s="6"/>
      <c r="H420" s="6"/>
      <c r="I420" s="7"/>
      <c r="K420" s="5"/>
      <c r="L420" s="6"/>
      <c r="M420" s="6"/>
      <c r="N420" s="7"/>
      <c r="P420" s="5"/>
      <c r="Q420" s="6"/>
      <c r="R420" s="6"/>
      <c r="S420" s="7"/>
      <c r="U420" s="5"/>
      <c r="V420" s="6"/>
      <c r="W420" s="6"/>
      <c r="X420" s="7"/>
      <c r="Z420" s="3"/>
      <c r="AA420" s="3"/>
    </row>
    <row r="421" spans="1:27" ht="13.8" thickBot="1" x14ac:dyDescent="0.3">
      <c r="A421" s="9"/>
      <c r="B421" s="10"/>
      <c r="C421" s="10"/>
      <c r="D421" s="11"/>
      <c r="F421" s="9"/>
      <c r="G421" s="10"/>
      <c r="H421" s="10"/>
      <c r="I421" s="11"/>
      <c r="K421" s="9"/>
      <c r="L421" s="10"/>
      <c r="M421" s="10"/>
      <c r="N421" s="11"/>
      <c r="P421" s="9"/>
      <c r="Q421" s="10"/>
      <c r="R421" s="10"/>
      <c r="S421" s="11"/>
      <c r="U421" s="9"/>
      <c r="V421" s="10"/>
      <c r="W421" s="10"/>
      <c r="X421" s="11"/>
      <c r="Z421" s="3"/>
      <c r="AA421" s="3"/>
    </row>
    <row r="422" spans="1:27" ht="12.75" customHeight="1" x14ac:dyDescent="0.25">
      <c r="A422" s="5"/>
      <c r="B422" s="6">
        <f ca="1">B119*1000</f>
        <v>28000</v>
      </c>
      <c r="C422" s="6">
        <f ca="1">C119*1000</f>
        <v>18000</v>
      </c>
      <c r="D422" s="7">
        <f ca="1">D119*1000</f>
        <v>11000</v>
      </c>
      <c r="F422" s="5"/>
      <c r="G422" s="6">
        <f ca="1">G119*1000</f>
        <v>40000</v>
      </c>
      <c r="H422" s="6">
        <f ca="1">H119*1000</f>
        <v>20000</v>
      </c>
      <c r="I422" s="7">
        <f ca="1">I119*1000</f>
        <v>18000</v>
      </c>
      <c r="K422" s="5"/>
      <c r="L422" s="6">
        <f ca="1">L119*1000</f>
        <v>45000</v>
      </c>
      <c r="M422" s="6">
        <f ca="1">M119*1000</f>
        <v>35000</v>
      </c>
      <c r="N422" s="7">
        <f ca="1">N119*1000</f>
        <v>30000</v>
      </c>
      <c r="P422" s="5"/>
      <c r="Q422" s="6">
        <f ca="1">Q119*1000</f>
        <v>10000</v>
      </c>
      <c r="R422" s="6">
        <f ca="1">R119*1000</f>
        <v>35000</v>
      </c>
      <c r="S422" s="7">
        <f ca="1">S119*1000</f>
        <v>15000</v>
      </c>
      <c r="U422" s="5"/>
      <c r="V422" s="6">
        <f ca="1">V119*1000</f>
        <v>11000</v>
      </c>
      <c r="W422" s="6">
        <f ca="1">W119*1000</f>
        <v>25000</v>
      </c>
      <c r="X422" s="7">
        <f ca="1">X119*1000</f>
        <v>16000</v>
      </c>
      <c r="Z422" s="3"/>
      <c r="AA422" s="3"/>
    </row>
    <row r="423" spans="1:27" x14ac:dyDescent="0.25">
      <c r="A423" s="5"/>
      <c r="B423" s="6"/>
      <c r="C423" s="6"/>
      <c r="D423" s="7"/>
      <c r="F423" s="5"/>
      <c r="G423" s="6"/>
      <c r="H423" s="6"/>
      <c r="I423" s="7"/>
      <c r="K423" s="5"/>
      <c r="L423" s="6"/>
      <c r="M423" s="6"/>
      <c r="N423" s="7"/>
      <c r="P423" s="5"/>
      <c r="Q423" s="6"/>
      <c r="R423" s="6"/>
      <c r="S423" s="7"/>
      <c r="U423" s="5"/>
      <c r="V423" s="6"/>
      <c r="W423" s="6"/>
      <c r="X423" s="7"/>
      <c r="Z423" s="3"/>
      <c r="AA423" s="3"/>
    </row>
    <row r="424" spans="1:27" x14ac:dyDescent="0.25">
      <c r="A424" s="5"/>
      <c r="B424" s="6"/>
      <c r="C424" s="6"/>
      <c r="D424" s="7"/>
      <c r="F424" s="5"/>
      <c r="G424" s="6"/>
      <c r="H424" s="6"/>
      <c r="I424" s="7"/>
      <c r="K424" s="5"/>
      <c r="L424" s="6"/>
      <c r="M424" s="6"/>
      <c r="N424" s="7"/>
      <c r="P424" s="5"/>
      <c r="Q424" s="6"/>
      <c r="R424" s="6"/>
      <c r="S424" s="7"/>
      <c r="U424" s="5"/>
      <c r="V424" s="6"/>
      <c r="W424" s="6"/>
      <c r="X424" s="7"/>
      <c r="Z424" s="3"/>
      <c r="AA424" s="3"/>
    </row>
    <row r="425" spans="1:27" ht="13.8" thickBot="1" x14ac:dyDescent="0.3">
      <c r="A425" s="9"/>
      <c r="B425" s="10"/>
      <c r="C425" s="10"/>
      <c r="D425" s="11"/>
      <c r="F425" s="9"/>
      <c r="G425" s="10"/>
      <c r="H425" s="10"/>
      <c r="I425" s="11"/>
      <c r="K425" s="9"/>
      <c r="L425" s="10"/>
      <c r="M425" s="10"/>
      <c r="N425" s="11"/>
      <c r="P425" s="9"/>
      <c r="Q425" s="10"/>
      <c r="R425" s="10"/>
      <c r="S425" s="11"/>
      <c r="U425" s="9"/>
      <c r="V425" s="10"/>
      <c r="W425" s="10"/>
      <c r="X425" s="11"/>
      <c r="Z425" s="3"/>
      <c r="AA425" s="3"/>
    </row>
    <row r="426" spans="1:27" ht="12.75" customHeight="1" x14ac:dyDescent="0.25">
      <c r="A426" s="5"/>
      <c r="B426" s="6"/>
      <c r="C426" s="6"/>
      <c r="D426" s="7"/>
      <c r="F426" s="5"/>
      <c r="G426" s="6"/>
      <c r="H426" s="6"/>
      <c r="I426" s="7"/>
      <c r="K426" s="5"/>
      <c r="L426" s="6"/>
      <c r="M426" s="6"/>
      <c r="N426" s="7"/>
      <c r="P426" s="5"/>
      <c r="Q426" s="6"/>
      <c r="R426" s="6"/>
      <c r="S426" s="7"/>
      <c r="U426" s="5"/>
      <c r="V426" s="6"/>
      <c r="W426" s="6"/>
      <c r="X426" s="7"/>
      <c r="Z426" s="3"/>
      <c r="AA426" s="3"/>
    </row>
    <row r="427" spans="1:27" x14ac:dyDescent="0.25">
      <c r="A427" s="5"/>
      <c r="B427" s="6"/>
      <c r="C427" s="6"/>
      <c r="D427" s="7"/>
      <c r="F427" s="5"/>
      <c r="G427" s="6"/>
      <c r="H427" s="6"/>
      <c r="I427" s="7"/>
      <c r="K427" s="5"/>
      <c r="L427" s="6"/>
      <c r="M427" s="6"/>
      <c r="N427" s="7"/>
      <c r="P427" s="5"/>
      <c r="Q427" s="6"/>
      <c r="R427" s="6"/>
      <c r="S427" s="7"/>
      <c r="U427" s="5"/>
      <c r="V427" s="6"/>
      <c r="W427" s="6"/>
      <c r="X427" s="7"/>
      <c r="Z427" s="3"/>
      <c r="AA427" s="3"/>
    </row>
    <row r="428" spans="1:27" x14ac:dyDescent="0.25">
      <c r="A428" s="5"/>
      <c r="B428" s="6"/>
      <c r="C428" s="6"/>
      <c r="D428" s="7"/>
      <c r="F428" s="5"/>
      <c r="G428" s="6"/>
      <c r="H428" s="6"/>
      <c r="I428" s="7"/>
      <c r="K428" s="5"/>
      <c r="L428" s="6"/>
      <c r="M428" s="6"/>
      <c r="N428" s="7"/>
      <c r="P428" s="5"/>
      <c r="Q428" s="6"/>
      <c r="R428" s="6"/>
      <c r="S428" s="7"/>
      <c r="U428" s="5"/>
      <c r="V428" s="6"/>
      <c r="W428" s="6"/>
      <c r="X428" s="7"/>
      <c r="Z428" s="3"/>
      <c r="AA428" s="3"/>
    </row>
    <row r="429" spans="1:27" ht="13.8" thickBot="1" x14ac:dyDescent="0.3">
      <c r="A429" s="9">
        <f>C263</f>
        <v>16000</v>
      </c>
      <c r="B429" s="10"/>
      <c r="C429" s="10"/>
      <c r="D429" s="11"/>
      <c r="F429" s="9">
        <f>H263</f>
        <v>16000</v>
      </c>
      <c r="G429" s="10"/>
      <c r="H429" s="10"/>
      <c r="I429" s="11"/>
      <c r="K429" s="9">
        <f>M263</f>
        <v>16000</v>
      </c>
      <c r="L429" s="10"/>
      <c r="M429" s="10"/>
      <c r="N429" s="11"/>
      <c r="P429" s="9">
        <f>R263</f>
        <v>16000</v>
      </c>
      <c r="Q429" s="10"/>
      <c r="R429" s="10"/>
      <c r="S429" s="11"/>
      <c r="U429" s="9">
        <f>W263</f>
        <v>16000</v>
      </c>
      <c r="V429" s="10"/>
      <c r="W429" s="10"/>
      <c r="X429" s="11"/>
      <c r="Z429" s="3"/>
      <c r="AA429" s="3"/>
    </row>
    <row r="430" spans="1:27" ht="12.75" customHeight="1" x14ac:dyDescent="0.25">
      <c r="A430" s="5">
        <f>C264</f>
        <v>17500</v>
      </c>
      <c r="B430" s="6"/>
      <c r="C430" s="6"/>
      <c r="D430" s="7"/>
      <c r="F430" s="5">
        <f ca="1">H264</f>
        <v>27000</v>
      </c>
      <c r="G430" s="6"/>
      <c r="H430" s="6"/>
      <c r="I430" s="7"/>
      <c r="K430" s="5">
        <f ca="1">M264</f>
        <v>4000</v>
      </c>
      <c r="L430" s="6"/>
      <c r="M430" s="6"/>
      <c r="N430" s="7"/>
      <c r="P430" s="5">
        <f ca="1">R264</f>
        <v>7000</v>
      </c>
      <c r="Q430" s="6"/>
      <c r="R430" s="6"/>
      <c r="S430" s="7"/>
      <c r="U430" s="5">
        <f ca="1">W264</f>
        <v>18000</v>
      </c>
      <c r="V430" s="6"/>
      <c r="W430" s="6"/>
      <c r="X430" s="7"/>
      <c r="Z430" s="3"/>
      <c r="AA430" s="3"/>
    </row>
    <row r="431" spans="1:27" x14ac:dyDescent="0.25">
      <c r="A431" s="5"/>
      <c r="B431" s="6"/>
      <c r="C431" s="6"/>
      <c r="D431" s="7"/>
      <c r="F431" s="5"/>
      <c r="G431" s="6"/>
      <c r="H431" s="6"/>
      <c r="I431" s="7"/>
      <c r="K431" s="5"/>
      <c r="L431" s="6"/>
      <c r="M431" s="6"/>
      <c r="N431" s="7"/>
      <c r="P431" s="5"/>
      <c r="Q431" s="6"/>
      <c r="R431" s="6"/>
      <c r="S431" s="7"/>
      <c r="U431" s="5"/>
      <c r="V431" s="6"/>
      <c r="W431" s="6"/>
      <c r="X431" s="7"/>
      <c r="Z431" s="3"/>
      <c r="AA431" s="3"/>
    </row>
    <row r="432" spans="1:27" x14ac:dyDescent="0.25">
      <c r="A432" s="5"/>
      <c r="B432" s="6"/>
      <c r="C432" s="6"/>
      <c r="D432" s="7"/>
      <c r="F432" s="5"/>
      <c r="G432" s="6"/>
      <c r="H432" s="6"/>
      <c r="I432" s="7"/>
      <c r="K432" s="5"/>
      <c r="L432" s="6"/>
      <c r="M432" s="6"/>
      <c r="N432" s="7"/>
      <c r="P432" s="5"/>
      <c r="Q432" s="6"/>
      <c r="R432" s="6"/>
      <c r="S432" s="7"/>
      <c r="U432" s="5"/>
      <c r="V432" s="6"/>
      <c r="W432" s="6"/>
      <c r="X432" s="7"/>
      <c r="Z432" s="3"/>
      <c r="AA432" s="3"/>
    </row>
    <row r="433" spans="1:27" ht="13.8" thickBot="1" x14ac:dyDescent="0.3">
      <c r="A433" s="9"/>
      <c r="B433" s="10"/>
      <c r="C433" s="10"/>
      <c r="D433" s="11"/>
      <c r="F433" s="9"/>
      <c r="G433" s="10"/>
      <c r="H433" s="10"/>
      <c r="I433" s="11"/>
      <c r="K433" s="9"/>
      <c r="L433" s="10"/>
      <c r="M433" s="10"/>
      <c r="N433" s="11"/>
      <c r="P433" s="9"/>
      <c r="Q433" s="10"/>
      <c r="R433" s="10"/>
      <c r="S433" s="11"/>
      <c r="U433" s="9"/>
      <c r="V433" s="10"/>
      <c r="W433" s="10"/>
      <c r="X433" s="11"/>
      <c r="Z433" s="3"/>
      <c r="AA433" s="3"/>
    </row>
    <row r="434" spans="1:27" ht="12.75" customHeight="1" x14ac:dyDescent="0.25">
      <c r="A434" s="5">
        <f ca="1">C265</f>
        <v>7480</v>
      </c>
      <c r="B434" s="6"/>
      <c r="C434" s="6"/>
      <c r="D434" s="7"/>
      <c r="F434" s="5">
        <f ca="1">H265</f>
        <v>8500</v>
      </c>
      <c r="G434" s="6"/>
      <c r="H434" s="6"/>
      <c r="I434" s="7"/>
      <c r="K434" s="5">
        <f ca="1">M265</f>
        <v>10625</v>
      </c>
      <c r="L434" s="6"/>
      <c r="M434" s="6"/>
      <c r="N434" s="7"/>
      <c r="P434" s="5">
        <f ca="1">R265</f>
        <v>10625</v>
      </c>
      <c r="Q434" s="6"/>
      <c r="R434" s="6"/>
      <c r="S434" s="7"/>
      <c r="U434" s="5">
        <f ca="1">W265</f>
        <v>14875</v>
      </c>
      <c r="V434" s="6"/>
      <c r="W434" s="6"/>
      <c r="X434" s="7"/>
      <c r="Z434" s="3"/>
      <c r="AA434" s="3"/>
    </row>
    <row r="435" spans="1:27" x14ac:dyDescent="0.25">
      <c r="A435" s="5"/>
      <c r="B435" s="6"/>
      <c r="C435" s="6"/>
      <c r="D435" s="7"/>
      <c r="F435" s="5"/>
      <c r="G435" s="6"/>
      <c r="H435" s="6"/>
      <c r="I435" s="7"/>
      <c r="K435" s="5"/>
      <c r="L435" s="6"/>
      <c r="M435" s="6"/>
      <c r="N435" s="7"/>
      <c r="P435" s="5"/>
      <c r="Q435" s="6"/>
      <c r="R435" s="6"/>
      <c r="S435" s="7"/>
      <c r="U435" s="5"/>
      <c r="V435" s="6"/>
      <c r="W435" s="6"/>
      <c r="X435" s="7"/>
      <c r="Z435" s="3"/>
      <c r="AA435" s="3"/>
    </row>
    <row r="436" spans="1:27" x14ac:dyDescent="0.25">
      <c r="A436" s="5"/>
      <c r="B436" s="6"/>
      <c r="C436" s="6"/>
      <c r="D436" s="7"/>
      <c r="F436" s="5"/>
      <c r="G436" s="6"/>
      <c r="H436" s="6"/>
      <c r="I436" s="7"/>
      <c r="K436" s="5"/>
      <c r="L436" s="6"/>
      <c r="M436" s="6"/>
      <c r="N436" s="7"/>
      <c r="P436" s="5"/>
      <c r="Q436" s="6"/>
      <c r="R436" s="6"/>
      <c r="S436" s="7"/>
      <c r="U436" s="5"/>
      <c r="V436" s="6"/>
      <c r="W436" s="6"/>
      <c r="X436" s="7"/>
      <c r="Z436" s="3"/>
      <c r="AA436" s="3"/>
    </row>
    <row r="437" spans="1:27" ht="13.8" thickBot="1" x14ac:dyDescent="0.3">
      <c r="A437" s="9"/>
      <c r="B437" s="10"/>
      <c r="C437" s="10"/>
      <c r="D437" s="11"/>
      <c r="F437" s="9"/>
      <c r="G437" s="10"/>
      <c r="H437" s="10"/>
      <c r="I437" s="11"/>
      <c r="K437" s="9"/>
      <c r="L437" s="10"/>
      <c r="M437" s="10"/>
      <c r="N437" s="11"/>
      <c r="P437" s="9"/>
      <c r="Q437" s="10"/>
      <c r="R437" s="10"/>
      <c r="S437" s="11"/>
      <c r="U437" s="9"/>
      <c r="V437" s="10"/>
      <c r="W437" s="10"/>
      <c r="X437" s="11"/>
      <c r="Z437" s="3"/>
      <c r="AA437" s="3"/>
    </row>
    <row r="438" spans="1:27" ht="12.75" customHeight="1" x14ac:dyDescent="0.25">
      <c r="A438" s="5">
        <f ca="1">C266</f>
        <v>8575.6970854545998</v>
      </c>
      <c r="B438" s="6"/>
      <c r="C438" s="6"/>
      <c r="D438" s="7"/>
      <c r="F438" s="5">
        <f ca="1">H266</f>
        <v>9222.3964754352874</v>
      </c>
      <c r="G438" s="6"/>
      <c r="H438" s="6"/>
      <c r="I438" s="7"/>
      <c r="K438" s="5">
        <f ca="1">M266</f>
        <v>9786.23455888223</v>
      </c>
      <c r="L438" s="6"/>
      <c r="M438" s="6"/>
      <c r="N438" s="7"/>
      <c r="P438" s="5">
        <f ca="1">R266</f>
        <v>9423.7357971094898</v>
      </c>
      <c r="Q438" s="6"/>
      <c r="R438" s="6"/>
      <c r="S438" s="7"/>
      <c r="U438" s="5">
        <f ca="1">W266</f>
        <v>9350.334069223034</v>
      </c>
      <c r="V438" s="6"/>
      <c r="W438" s="6"/>
      <c r="X438" s="7"/>
      <c r="Z438" s="3"/>
      <c r="AA438" s="3"/>
    </row>
    <row r="439" spans="1:27" x14ac:dyDescent="0.25">
      <c r="A439" s="5"/>
      <c r="B439" s="6"/>
      <c r="C439" s="6"/>
      <c r="D439" s="7"/>
      <c r="F439" s="5"/>
      <c r="G439" s="6"/>
      <c r="H439" s="6"/>
      <c r="I439" s="7"/>
      <c r="K439" s="5"/>
      <c r="L439" s="6"/>
      <c r="M439" s="6"/>
      <c r="N439" s="7"/>
      <c r="P439" s="5"/>
      <c r="Q439" s="6"/>
      <c r="R439" s="6"/>
      <c r="S439" s="7"/>
      <c r="U439" s="5"/>
      <c r="V439" s="6"/>
      <c r="W439" s="6"/>
      <c r="X439" s="7"/>
      <c r="Z439" s="3"/>
      <c r="AA439" s="3"/>
    </row>
    <row r="440" spans="1:27" x14ac:dyDescent="0.25">
      <c r="A440" s="5"/>
      <c r="B440" s="6"/>
      <c r="C440" s="6"/>
      <c r="D440" s="7"/>
      <c r="F440" s="5"/>
      <c r="G440" s="6"/>
      <c r="H440" s="6"/>
      <c r="I440" s="7"/>
      <c r="K440" s="5"/>
      <c r="L440" s="6"/>
      <c r="M440" s="6"/>
      <c r="N440" s="7"/>
      <c r="P440" s="5"/>
      <c r="Q440" s="6"/>
      <c r="R440" s="6"/>
      <c r="S440" s="7"/>
      <c r="U440" s="5"/>
      <c r="V440" s="6"/>
      <c r="W440" s="6"/>
      <c r="X440" s="7"/>
      <c r="Z440" s="3"/>
      <c r="AA440" s="3"/>
    </row>
    <row r="441" spans="1:27" ht="13.8" thickBot="1" x14ac:dyDescent="0.3">
      <c r="A441" s="9"/>
      <c r="B441" s="10"/>
      <c r="C441" s="10"/>
      <c r="D441" s="11"/>
      <c r="F441" s="9"/>
      <c r="G441" s="10"/>
      <c r="H441" s="10"/>
      <c r="I441" s="11"/>
      <c r="K441" s="9"/>
      <c r="L441" s="10"/>
      <c r="M441" s="10"/>
      <c r="N441" s="11"/>
      <c r="P441" s="9"/>
      <c r="Q441" s="10"/>
      <c r="R441" s="10"/>
      <c r="S441" s="11"/>
      <c r="U441" s="9"/>
      <c r="V441" s="10"/>
      <c r="W441" s="10"/>
      <c r="X441" s="11"/>
      <c r="Z441" s="3"/>
      <c r="AA441" s="3"/>
    </row>
    <row r="442" spans="1:27" ht="12.75" customHeight="1" x14ac:dyDescent="0.25">
      <c r="A442" s="5">
        <f>C267</f>
        <v>12500</v>
      </c>
      <c r="B442" s="6"/>
      <c r="C442" s="6"/>
      <c r="D442" s="7"/>
      <c r="F442" s="5">
        <f>H267</f>
        <v>12500</v>
      </c>
      <c r="G442" s="6"/>
      <c r="H442" s="6"/>
      <c r="I442" s="7"/>
      <c r="K442" s="5">
        <f>M267</f>
        <v>12500</v>
      </c>
      <c r="L442" s="6"/>
      <c r="M442" s="6"/>
      <c r="N442" s="7"/>
      <c r="P442" s="5">
        <f>R267</f>
        <v>12500</v>
      </c>
      <c r="Q442" s="6"/>
      <c r="R442" s="6"/>
      <c r="S442" s="7"/>
      <c r="U442" s="5">
        <f>W267</f>
        <v>12500</v>
      </c>
      <c r="V442" s="6"/>
      <c r="W442" s="6"/>
      <c r="X442" s="7"/>
      <c r="Z442" s="3"/>
      <c r="AA442" s="3"/>
    </row>
    <row r="443" spans="1:27" x14ac:dyDescent="0.25">
      <c r="A443" s="5"/>
      <c r="B443" s="6"/>
      <c r="C443" s="6"/>
      <c r="D443" s="7"/>
      <c r="F443" s="5"/>
      <c r="G443" s="6"/>
      <c r="H443" s="6"/>
      <c r="I443" s="7"/>
      <c r="K443" s="5"/>
      <c r="L443" s="6"/>
      <c r="M443" s="6"/>
      <c r="N443" s="7"/>
      <c r="P443" s="5"/>
      <c r="Q443" s="6"/>
      <c r="R443" s="6"/>
      <c r="S443" s="7"/>
      <c r="U443" s="5"/>
      <c r="V443" s="6"/>
      <c r="W443" s="6"/>
      <c r="X443" s="7"/>
      <c r="Z443" s="3"/>
      <c r="AA443" s="3"/>
    </row>
    <row r="444" spans="1:27" x14ac:dyDescent="0.25">
      <c r="A444" s="5"/>
      <c r="B444" s="6"/>
      <c r="C444" s="6"/>
      <c r="D444" s="7"/>
      <c r="F444" s="5"/>
      <c r="G444" s="6"/>
      <c r="H444" s="6"/>
      <c r="I444" s="7"/>
      <c r="K444" s="5"/>
      <c r="L444" s="6"/>
      <c r="M444" s="6"/>
      <c r="N444" s="7"/>
      <c r="P444" s="5"/>
      <c r="Q444" s="6"/>
      <c r="R444" s="6"/>
      <c r="S444" s="7"/>
      <c r="U444" s="5"/>
      <c r="V444" s="6"/>
      <c r="W444" s="6"/>
      <c r="X444" s="7"/>
      <c r="Z444" s="3"/>
      <c r="AA444" s="3"/>
    </row>
    <row r="445" spans="1:27" ht="13.8" thickBot="1" x14ac:dyDescent="0.3">
      <c r="A445" s="9"/>
      <c r="B445" s="10"/>
      <c r="C445" s="10"/>
      <c r="D445" s="11"/>
      <c r="F445" s="9"/>
      <c r="G445" s="10"/>
      <c r="H445" s="10"/>
      <c r="I445" s="11"/>
      <c r="K445" s="9"/>
      <c r="L445" s="10"/>
      <c r="M445" s="10"/>
      <c r="N445" s="11"/>
      <c r="P445" s="9"/>
      <c r="Q445" s="10"/>
      <c r="R445" s="10"/>
      <c r="S445" s="11"/>
      <c r="U445" s="9"/>
      <c r="V445" s="10"/>
      <c r="W445" s="10"/>
      <c r="X445" s="11"/>
      <c r="Z445" s="3"/>
      <c r="AA445" s="3"/>
    </row>
    <row r="446" spans="1:27" ht="12.75" customHeight="1" x14ac:dyDescent="0.25">
      <c r="A446" s="5"/>
      <c r="B446" s="6"/>
      <c r="C446" s="6"/>
      <c r="D446" s="7"/>
      <c r="F446" s="5"/>
      <c r="G446" s="6"/>
      <c r="H446" s="6"/>
      <c r="I446" s="7"/>
      <c r="K446" s="5"/>
      <c r="L446" s="6"/>
      <c r="M446" s="6"/>
      <c r="N446" s="7"/>
      <c r="P446" s="5"/>
      <c r="Q446" s="6"/>
      <c r="R446" s="6"/>
      <c r="S446" s="7"/>
      <c r="U446" s="5"/>
      <c r="V446" s="6"/>
      <c r="W446" s="6"/>
      <c r="X446" s="7"/>
      <c r="Z446" s="3"/>
      <c r="AA446" s="3"/>
    </row>
    <row r="447" spans="1:27" x14ac:dyDescent="0.25">
      <c r="A447" s="5"/>
      <c r="B447" s="6"/>
      <c r="C447" s="6"/>
      <c r="D447" s="7"/>
      <c r="F447" s="5"/>
      <c r="G447" s="6"/>
      <c r="H447" s="6"/>
      <c r="I447" s="7"/>
      <c r="K447" s="5"/>
      <c r="L447" s="6"/>
      <c r="M447" s="6"/>
      <c r="N447" s="7"/>
      <c r="P447" s="5"/>
      <c r="Q447" s="6"/>
      <c r="R447" s="6"/>
      <c r="S447" s="7"/>
      <c r="U447" s="5"/>
      <c r="V447" s="6"/>
      <c r="W447" s="6"/>
      <c r="X447" s="7"/>
      <c r="Z447" s="3"/>
      <c r="AA447" s="3"/>
    </row>
    <row r="448" spans="1:27" x14ac:dyDescent="0.25">
      <c r="A448" s="5"/>
      <c r="B448" s="6"/>
      <c r="C448" s="6"/>
      <c r="D448" s="7"/>
      <c r="F448" s="5"/>
      <c r="G448" s="6"/>
      <c r="H448" s="6"/>
      <c r="I448" s="7"/>
      <c r="K448" s="5"/>
      <c r="L448" s="6"/>
      <c r="M448" s="6"/>
      <c r="N448" s="7"/>
      <c r="P448" s="5"/>
      <c r="Q448" s="6"/>
      <c r="R448" s="6"/>
      <c r="S448" s="7"/>
      <c r="U448" s="5"/>
      <c r="V448" s="6"/>
      <c r="W448" s="6"/>
      <c r="X448" s="7"/>
      <c r="Z448" s="3"/>
      <c r="AA448" s="3"/>
    </row>
    <row r="449" spans="1:27" ht="13.8" thickBot="1" x14ac:dyDescent="0.3">
      <c r="A449" s="9"/>
      <c r="B449" s="10"/>
      <c r="C449" s="10"/>
      <c r="D449" s="11"/>
      <c r="F449" s="9"/>
      <c r="G449" s="10"/>
      <c r="H449" s="10"/>
      <c r="I449" s="11"/>
      <c r="K449" s="9"/>
      <c r="L449" s="10"/>
      <c r="M449" s="10"/>
      <c r="N449" s="11"/>
      <c r="P449" s="9"/>
      <c r="Q449" s="10"/>
      <c r="R449" s="10"/>
      <c r="S449" s="11"/>
      <c r="U449" s="9"/>
      <c r="V449" s="10"/>
      <c r="W449" s="10"/>
      <c r="X449" s="11"/>
      <c r="Z449" s="3"/>
      <c r="AA449" s="3"/>
    </row>
    <row r="450" spans="1:27" ht="12.75" customHeight="1" x14ac:dyDescent="0.25">
      <c r="A450" s="5">
        <f ca="1">C269</f>
        <v>0</v>
      </c>
      <c r="B450" s="6"/>
      <c r="C450" s="6"/>
      <c r="D450" s="7"/>
      <c r="F450" s="5">
        <f ca="1">H269</f>
        <v>1969.087</v>
      </c>
      <c r="G450" s="6"/>
      <c r="H450" s="6"/>
      <c r="I450" s="7"/>
      <c r="K450" s="5">
        <f ca="1">M269</f>
        <v>2524.933</v>
      </c>
      <c r="L450" s="6"/>
      <c r="M450" s="6"/>
      <c r="N450" s="7"/>
      <c r="P450" s="5">
        <f ca="1">R269</f>
        <v>0</v>
      </c>
      <c r="Q450" s="6"/>
      <c r="R450" s="6"/>
      <c r="S450" s="7"/>
      <c r="U450" s="5">
        <f ca="1">W269</f>
        <v>0</v>
      </c>
      <c r="V450" s="6"/>
      <c r="W450" s="6"/>
      <c r="X450" s="7"/>
      <c r="Z450" s="3"/>
      <c r="AA450" s="3"/>
    </row>
    <row r="451" spans="1:27" x14ac:dyDescent="0.25">
      <c r="A451" s="5"/>
      <c r="B451" s="6"/>
      <c r="C451" s="6"/>
      <c r="D451" s="7"/>
      <c r="F451" s="5"/>
      <c r="G451" s="6"/>
      <c r="H451" s="6"/>
      <c r="I451" s="7"/>
      <c r="K451" s="5"/>
      <c r="L451" s="6"/>
      <c r="M451" s="6"/>
      <c r="N451" s="7"/>
      <c r="P451" s="5"/>
      <c r="Q451" s="6"/>
      <c r="R451" s="6"/>
      <c r="S451" s="7"/>
      <c r="U451" s="5"/>
      <c r="V451" s="6"/>
      <c r="W451" s="6"/>
      <c r="X451" s="7"/>
      <c r="Z451" s="3"/>
      <c r="AA451" s="3"/>
    </row>
    <row r="452" spans="1:27" x14ac:dyDescent="0.25">
      <c r="A452" s="5"/>
      <c r="B452" s="6"/>
      <c r="C452" s="6"/>
      <c r="D452" s="7"/>
      <c r="F452" s="5"/>
      <c r="G452" s="6"/>
      <c r="H452" s="6"/>
      <c r="I452" s="7"/>
      <c r="K452" s="5"/>
      <c r="L452" s="6"/>
      <c r="M452" s="6"/>
      <c r="N452" s="7"/>
      <c r="P452" s="5"/>
      <c r="Q452" s="6"/>
      <c r="R452" s="6"/>
      <c r="S452" s="7"/>
      <c r="U452" s="5"/>
      <c r="V452" s="6"/>
      <c r="W452" s="6"/>
      <c r="X452" s="7"/>
      <c r="Z452" s="3"/>
      <c r="AA452" s="3"/>
    </row>
    <row r="453" spans="1:27" ht="13.8" thickBot="1" x14ac:dyDescent="0.3">
      <c r="A453" s="9"/>
      <c r="B453" s="10"/>
      <c r="C453" s="10"/>
      <c r="D453" s="11"/>
      <c r="F453" s="9"/>
      <c r="G453" s="10"/>
      <c r="H453" s="10"/>
      <c r="I453" s="11"/>
      <c r="K453" s="9"/>
      <c r="L453" s="10"/>
      <c r="M453" s="10"/>
      <c r="N453" s="11"/>
      <c r="P453" s="9"/>
      <c r="Q453" s="10"/>
      <c r="R453" s="10"/>
      <c r="S453" s="11"/>
      <c r="U453" s="9"/>
      <c r="V453" s="10"/>
      <c r="W453" s="10"/>
      <c r="X453" s="11"/>
      <c r="Z453" s="3"/>
      <c r="AA453" s="3"/>
    </row>
    <row r="454" spans="1:27" ht="12.75" customHeight="1" x14ac:dyDescent="0.25">
      <c r="A454" s="5">
        <f>C270</f>
        <v>70000</v>
      </c>
      <c r="B454" s="6"/>
      <c r="C454" s="6"/>
      <c r="D454" s="7"/>
      <c r="F454" s="5">
        <f>H270</f>
        <v>70000</v>
      </c>
      <c r="G454" s="6"/>
      <c r="H454" s="6"/>
      <c r="I454" s="7"/>
      <c r="K454" s="5">
        <f>M270</f>
        <v>70000</v>
      </c>
      <c r="L454" s="6"/>
      <c r="M454" s="6"/>
      <c r="N454" s="7"/>
      <c r="P454" s="5">
        <f>R270</f>
        <v>70000</v>
      </c>
      <c r="Q454" s="6"/>
      <c r="R454" s="6"/>
      <c r="S454" s="7"/>
      <c r="U454" s="5">
        <f>W270</f>
        <v>70000</v>
      </c>
      <c r="V454" s="6"/>
      <c r="W454" s="6"/>
      <c r="X454" s="7"/>
      <c r="Z454" s="3"/>
      <c r="AA454" s="3"/>
    </row>
    <row r="455" spans="1:27" x14ac:dyDescent="0.25">
      <c r="A455" s="5"/>
      <c r="B455" s="6"/>
      <c r="C455" s="6"/>
      <c r="D455" s="7"/>
      <c r="F455" s="5"/>
      <c r="G455" s="6"/>
      <c r="H455" s="6"/>
      <c r="I455" s="7"/>
      <c r="K455" s="5"/>
      <c r="L455" s="6"/>
      <c r="M455" s="6"/>
      <c r="N455" s="7"/>
      <c r="P455" s="5"/>
      <c r="Q455" s="6"/>
      <c r="R455" s="6"/>
      <c r="S455" s="7"/>
      <c r="U455" s="5"/>
      <c r="V455" s="6"/>
      <c r="W455" s="6"/>
      <c r="X455" s="7"/>
      <c r="Z455" s="3"/>
      <c r="AA455" s="3"/>
    </row>
    <row r="456" spans="1:27" x14ac:dyDescent="0.25">
      <c r="A456" s="5"/>
      <c r="B456" s="6"/>
      <c r="C456" s="6"/>
      <c r="D456" s="7"/>
      <c r="F456" s="5"/>
      <c r="G456" s="6"/>
      <c r="H456" s="6"/>
      <c r="I456" s="7"/>
      <c r="K456" s="5"/>
      <c r="L456" s="6"/>
      <c r="M456" s="6"/>
      <c r="N456" s="7"/>
      <c r="P456" s="5"/>
      <c r="Q456" s="6"/>
      <c r="R456" s="6"/>
      <c r="S456" s="7"/>
      <c r="U456" s="5"/>
      <c r="V456" s="6"/>
      <c r="W456" s="6"/>
      <c r="X456" s="7"/>
      <c r="Z456" s="3"/>
      <c r="AA456" s="3"/>
    </row>
    <row r="457" spans="1:27" ht="13.8" thickBot="1" x14ac:dyDescent="0.3">
      <c r="A457" s="9"/>
      <c r="B457" s="10"/>
      <c r="C457" s="10"/>
      <c r="D457" s="11"/>
      <c r="F457" s="9"/>
      <c r="G457" s="10"/>
      <c r="H457" s="10"/>
      <c r="I457" s="11"/>
      <c r="K457" s="9"/>
      <c r="L457" s="10"/>
      <c r="M457" s="10"/>
      <c r="N457" s="11"/>
      <c r="P457" s="9"/>
      <c r="Q457" s="10"/>
      <c r="R457" s="10"/>
      <c r="S457" s="11"/>
      <c r="U457" s="9"/>
      <c r="V457" s="10"/>
      <c r="W457" s="10"/>
      <c r="X457" s="11"/>
      <c r="Z457" s="3"/>
      <c r="AA457" s="3"/>
    </row>
    <row r="458" spans="1:27" ht="12.75" customHeight="1" x14ac:dyDescent="0.25">
      <c r="A458" s="5">
        <f ca="1">C271</f>
        <v>11020.261441505938</v>
      </c>
      <c r="B458" s="6"/>
      <c r="C458" s="6"/>
      <c r="D458" s="7"/>
      <c r="F458" s="5">
        <f ca="1">H271</f>
        <v>11260.390903098561</v>
      </c>
      <c r="G458" s="6"/>
      <c r="H458" s="6"/>
      <c r="I458" s="7"/>
      <c r="K458" s="5">
        <f ca="1">M271</f>
        <v>12104.083717492234</v>
      </c>
      <c r="L458" s="6"/>
      <c r="M458" s="6"/>
      <c r="N458" s="7"/>
      <c r="P458" s="5">
        <f ca="1">R271</f>
        <v>12478.843135624127</v>
      </c>
      <c r="Q458" s="6"/>
      <c r="R458" s="6"/>
      <c r="S458" s="7"/>
      <c r="U458" s="5" t="e">
        <f ca="1">W271</f>
        <v>#DIV/0!</v>
      </c>
      <c r="V458" s="6"/>
      <c r="W458" s="6"/>
      <c r="X458" s="7"/>
      <c r="Z458" s="3"/>
      <c r="AA458" s="3"/>
    </row>
    <row r="459" spans="1:27" x14ac:dyDescent="0.25">
      <c r="A459" s="5"/>
      <c r="B459" s="6"/>
      <c r="C459" s="6"/>
      <c r="D459" s="7"/>
      <c r="F459" s="5"/>
      <c r="G459" s="6"/>
      <c r="H459" s="6"/>
      <c r="I459" s="7"/>
      <c r="K459" s="5"/>
      <c r="L459" s="6"/>
      <c r="M459" s="6"/>
      <c r="N459" s="7"/>
      <c r="P459" s="5"/>
      <c r="Q459" s="6"/>
      <c r="R459" s="6"/>
      <c r="S459" s="7"/>
      <c r="U459" s="5"/>
      <c r="V459" s="6"/>
      <c r="W459" s="6"/>
      <c r="X459" s="7"/>
      <c r="Z459" s="3"/>
      <c r="AA459" s="3"/>
    </row>
    <row r="460" spans="1:27" x14ac:dyDescent="0.25">
      <c r="A460" s="5"/>
      <c r="B460" s="6"/>
      <c r="C460" s="6"/>
      <c r="D460" s="7"/>
      <c r="F460" s="5"/>
      <c r="G460" s="6"/>
      <c r="H460" s="6"/>
      <c r="I460" s="7"/>
      <c r="K460" s="5"/>
      <c r="L460" s="6"/>
      <c r="M460" s="6"/>
      <c r="N460" s="7"/>
      <c r="P460" s="5"/>
      <c r="Q460" s="6"/>
      <c r="R460" s="6"/>
      <c r="S460" s="7"/>
      <c r="U460" s="5"/>
      <c r="V460" s="6"/>
      <c r="W460" s="6"/>
      <c r="X460" s="7"/>
      <c r="Z460" s="3"/>
      <c r="AA460" s="3"/>
    </row>
    <row r="461" spans="1:27" ht="13.8" thickBot="1" x14ac:dyDescent="0.3">
      <c r="A461" s="9"/>
      <c r="B461" s="10"/>
      <c r="C461" s="10"/>
      <c r="D461" s="11"/>
      <c r="F461" s="9"/>
      <c r="G461" s="10"/>
      <c r="H461" s="10"/>
      <c r="I461" s="11"/>
      <c r="K461" s="9"/>
      <c r="L461" s="10"/>
      <c r="M461" s="10"/>
      <c r="N461" s="11"/>
      <c r="P461" s="9"/>
      <c r="Q461" s="10"/>
      <c r="R461" s="10"/>
      <c r="S461" s="11"/>
      <c r="U461" s="9"/>
      <c r="V461" s="10"/>
      <c r="W461" s="10"/>
      <c r="X461" s="11"/>
      <c r="Z461" s="3"/>
      <c r="AA461" s="3"/>
    </row>
    <row r="462" spans="1:27" ht="12.75" customHeight="1" x14ac:dyDescent="0.25">
      <c r="A462" s="5"/>
      <c r="B462" s="6"/>
      <c r="C462" s="6"/>
      <c r="D462" s="7"/>
      <c r="F462" s="5"/>
      <c r="G462" s="6"/>
      <c r="H462" s="6"/>
      <c r="I462" s="7"/>
      <c r="K462" s="5"/>
      <c r="L462" s="6"/>
      <c r="M462" s="6"/>
      <c r="N462" s="7"/>
      <c r="P462" s="5"/>
      <c r="Q462" s="6"/>
      <c r="R462" s="6"/>
      <c r="S462" s="7"/>
      <c r="U462" s="5"/>
      <c r="V462" s="6"/>
      <c r="W462" s="6"/>
      <c r="X462" s="7"/>
      <c r="Z462" s="3"/>
      <c r="AA462" s="3"/>
    </row>
    <row r="463" spans="1:27" x14ac:dyDescent="0.25">
      <c r="A463" s="5"/>
      <c r="B463" s="6"/>
      <c r="C463" s="6"/>
      <c r="D463" s="7"/>
      <c r="F463" s="5"/>
      <c r="G463" s="6"/>
      <c r="H463" s="6"/>
      <c r="I463" s="7"/>
      <c r="K463" s="5"/>
      <c r="L463" s="6"/>
      <c r="M463" s="6"/>
      <c r="N463" s="7"/>
      <c r="P463" s="5"/>
      <c r="Q463" s="6"/>
      <c r="R463" s="6"/>
      <c r="S463" s="7"/>
      <c r="U463" s="5"/>
      <c r="V463" s="6"/>
      <c r="W463" s="6"/>
      <c r="X463" s="7"/>
      <c r="Z463" s="3"/>
      <c r="AA463" s="3"/>
    </row>
    <row r="464" spans="1:27" x14ac:dyDescent="0.25">
      <c r="A464" s="5"/>
      <c r="B464" s="6"/>
      <c r="C464" s="6"/>
      <c r="D464" s="7"/>
      <c r="F464" s="5"/>
      <c r="G464" s="6"/>
      <c r="H464" s="6"/>
      <c r="I464" s="7"/>
      <c r="K464" s="5"/>
      <c r="L464" s="6"/>
      <c r="M464" s="6"/>
      <c r="N464" s="7"/>
      <c r="P464" s="5"/>
      <c r="Q464" s="6"/>
      <c r="R464" s="6"/>
      <c r="S464" s="7"/>
      <c r="U464" s="5"/>
      <c r="V464" s="6"/>
      <c r="W464" s="6"/>
      <c r="X464" s="7"/>
      <c r="Z464" s="3"/>
      <c r="AA464" s="3"/>
    </row>
    <row r="465" spans="1:27" ht="13.8" thickBot="1" x14ac:dyDescent="0.3">
      <c r="A465" s="9"/>
      <c r="B465" s="10"/>
      <c r="C465" s="10"/>
      <c r="D465" s="11"/>
      <c r="F465" s="9"/>
      <c r="G465" s="10"/>
      <c r="H465" s="10"/>
      <c r="I465" s="11"/>
      <c r="K465" s="9"/>
      <c r="L465" s="10"/>
      <c r="M465" s="10"/>
      <c r="N465" s="11"/>
      <c r="P465" s="9"/>
      <c r="Q465" s="10"/>
      <c r="R465" s="10"/>
      <c r="S465" s="11"/>
      <c r="U465" s="9"/>
      <c r="V465" s="10"/>
      <c r="W465" s="10"/>
      <c r="X465" s="11"/>
      <c r="Z465" s="3"/>
      <c r="AA465" s="3"/>
    </row>
    <row r="466" spans="1:27" x14ac:dyDescent="0.25">
      <c r="A466" s="5"/>
      <c r="B466" s="6"/>
      <c r="C466" s="6"/>
      <c r="D466" s="7"/>
      <c r="F466" s="5"/>
      <c r="G466" s="6"/>
      <c r="H466" s="6"/>
      <c r="I466" s="7"/>
      <c r="K466" s="5"/>
      <c r="L466" s="6"/>
      <c r="M466" s="6"/>
      <c r="N466" s="7"/>
      <c r="P466" s="5"/>
      <c r="Q466" s="6"/>
      <c r="R466" s="6"/>
      <c r="S466" s="7"/>
      <c r="U466" s="5"/>
      <c r="V466" s="6"/>
      <c r="W466" s="6"/>
      <c r="X466" s="7"/>
      <c r="Z466" s="3"/>
      <c r="AA466" s="3"/>
    </row>
    <row r="467" spans="1:27" x14ac:dyDescent="0.25">
      <c r="A467" s="5"/>
      <c r="B467" s="6"/>
      <c r="C467" s="6"/>
      <c r="D467" s="7"/>
      <c r="F467" s="5"/>
      <c r="G467" s="6"/>
      <c r="H467" s="6"/>
      <c r="I467" s="7"/>
      <c r="K467" s="5"/>
      <c r="L467" s="6"/>
      <c r="M467" s="6"/>
      <c r="N467" s="7"/>
      <c r="P467" s="5"/>
      <c r="Q467" s="6"/>
      <c r="R467" s="6"/>
      <c r="S467" s="7"/>
      <c r="U467" s="5"/>
      <c r="V467" s="6"/>
      <c r="W467" s="6"/>
      <c r="X467" s="7"/>
      <c r="Z467" s="3"/>
      <c r="AA467" s="3"/>
    </row>
    <row r="468" spans="1:27" x14ac:dyDescent="0.25">
      <c r="A468" s="5"/>
      <c r="B468" s="6"/>
      <c r="C468" s="6"/>
      <c r="D468" s="7"/>
      <c r="F468" s="5"/>
      <c r="G468" s="6"/>
      <c r="H468" s="6"/>
      <c r="I468" s="7"/>
      <c r="K468" s="5"/>
      <c r="L468" s="6"/>
      <c r="M468" s="6"/>
      <c r="N468" s="7"/>
      <c r="P468" s="5"/>
      <c r="Q468" s="6"/>
      <c r="R468" s="6"/>
      <c r="S468" s="7"/>
      <c r="U468" s="5"/>
      <c r="V468" s="6"/>
      <c r="W468" s="6"/>
      <c r="X468" s="7"/>
      <c r="Z468" s="3"/>
      <c r="AA468" s="3"/>
    </row>
    <row r="469" spans="1:27" ht="13.8" thickBot="1" x14ac:dyDescent="0.3">
      <c r="A469" s="9"/>
      <c r="B469" s="10"/>
      <c r="C469" s="10"/>
      <c r="D469" s="11"/>
      <c r="F469" s="9"/>
      <c r="G469" s="10"/>
      <c r="H469" s="10"/>
      <c r="I469" s="11"/>
      <c r="K469" s="9"/>
      <c r="L469" s="10"/>
      <c r="M469" s="10"/>
      <c r="N469" s="11"/>
      <c r="P469" s="9"/>
      <c r="Q469" s="10"/>
      <c r="R469" s="10"/>
      <c r="S469" s="11"/>
      <c r="U469" s="9"/>
      <c r="V469" s="10"/>
      <c r="W469" s="10"/>
      <c r="X469" s="11"/>
      <c r="Z469" s="3"/>
      <c r="AA469" s="3"/>
    </row>
    <row r="470" spans="1:27" x14ac:dyDescent="0.25">
      <c r="A470" s="5">
        <f ca="1">IF(C153=0,C292,0)</f>
        <v>0</v>
      </c>
      <c r="B470" s="6"/>
      <c r="C470" s="6"/>
      <c r="D470" s="7"/>
      <c r="F470" s="5">
        <f ca="1">IF(H153=0,H292,0)</f>
        <v>0</v>
      </c>
      <c r="G470" s="6"/>
      <c r="H470" s="6"/>
      <c r="I470" s="7"/>
      <c r="K470" s="5">
        <f ca="1">IF(M153=0,M292,0)</f>
        <v>0</v>
      </c>
      <c r="L470" s="6"/>
      <c r="M470" s="6"/>
      <c r="N470" s="7"/>
      <c r="P470" s="5">
        <f ca="1">IF(R153=0,R292,0)</f>
        <v>0</v>
      </c>
      <c r="Q470" s="6"/>
      <c r="R470" s="6"/>
      <c r="S470" s="7"/>
      <c r="U470" s="5" t="e">
        <f ca="1">IF(W153=0,W292,0)</f>
        <v>#DIV/0!</v>
      </c>
      <c r="V470" s="6"/>
      <c r="W470" s="6"/>
      <c r="X470" s="7"/>
      <c r="Z470" s="3"/>
      <c r="AA470" s="3"/>
    </row>
    <row r="471" spans="1:27" x14ac:dyDescent="0.25">
      <c r="A471" s="5"/>
      <c r="B471" s="6"/>
      <c r="C471" s="6"/>
      <c r="D471" s="7"/>
      <c r="F471" s="5"/>
      <c r="G471" s="6"/>
      <c r="H471" s="6"/>
      <c r="I471" s="7"/>
      <c r="K471" s="5"/>
      <c r="L471" s="6"/>
      <c r="M471" s="6"/>
      <c r="N471" s="7"/>
      <c r="P471" s="5"/>
      <c r="Q471" s="6"/>
      <c r="R471" s="6"/>
      <c r="S471" s="7"/>
      <c r="U471" s="5"/>
      <c r="V471" s="6"/>
      <c r="W471" s="6"/>
      <c r="X471" s="7"/>
      <c r="Z471" s="3"/>
      <c r="AA471" s="3"/>
    </row>
    <row r="472" spans="1:27" x14ac:dyDescent="0.25">
      <c r="A472" s="5"/>
      <c r="B472" s="6"/>
      <c r="C472" s="6"/>
      <c r="D472" s="7"/>
      <c r="F472" s="5"/>
      <c r="G472" s="6"/>
      <c r="H472" s="6"/>
      <c r="I472" s="7"/>
      <c r="K472" s="5"/>
      <c r="L472" s="6"/>
      <c r="M472" s="6"/>
      <c r="N472" s="7"/>
      <c r="P472" s="5"/>
      <c r="Q472" s="6"/>
      <c r="R472" s="6"/>
      <c r="S472" s="7"/>
      <c r="U472" s="5"/>
      <c r="V472" s="6"/>
      <c r="W472" s="6"/>
      <c r="X472" s="7"/>
      <c r="Z472" s="3"/>
      <c r="AA472" s="3"/>
    </row>
    <row r="473" spans="1:27" ht="13.8" thickBot="1" x14ac:dyDescent="0.3">
      <c r="A473" s="9"/>
      <c r="B473" s="10"/>
      <c r="C473" s="10"/>
      <c r="D473" s="11"/>
      <c r="F473" s="9"/>
      <c r="G473" s="10"/>
      <c r="H473" s="10"/>
      <c r="I473" s="11"/>
      <c r="K473" s="9"/>
      <c r="L473" s="10"/>
      <c r="M473" s="10"/>
      <c r="N473" s="11"/>
      <c r="P473" s="9"/>
      <c r="Q473" s="10"/>
      <c r="R473" s="10"/>
      <c r="S473" s="11"/>
      <c r="U473" s="9"/>
      <c r="V473" s="10"/>
      <c r="W473" s="10"/>
      <c r="X473" s="11"/>
      <c r="Z473" s="3"/>
      <c r="AA473" s="3"/>
    </row>
    <row r="474" spans="1:27" x14ac:dyDescent="0.25">
      <c r="A474" s="5">
        <f>3500*C158+C162*12500</f>
        <v>39000</v>
      </c>
      <c r="B474" s="6"/>
      <c r="C474" s="6"/>
      <c r="D474" s="7"/>
      <c r="F474" s="5">
        <f>3500*H158+H162*12500</f>
        <v>51500</v>
      </c>
      <c r="G474" s="6"/>
      <c r="H474" s="6"/>
      <c r="I474" s="7"/>
      <c r="K474" s="5">
        <f>3500*M158+M162*12500</f>
        <v>42500</v>
      </c>
      <c r="L474" s="6"/>
      <c r="M474" s="6"/>
      <c r="N474" s="7"/>
      <c r="P474" s="5">
        <f>3500*R158+R162*12500</f>
        <v>42500</v>
      </c>
      <c r="Q474" s="6"/>
      <c r="R474" s="6"/>
      <c r="S474" s="7"/>
      <c r="U474" s="5">
        <f>3500*W158+W162*12500</f>
        <v>42500</v>
      </c>
      <c r="V474" s="6"/>
      <c r="W474" s="6"/>
      <c r="X474" s="7"/>
      <c r="Z474" s="3"/>
      <c r="AA474" s="3"/>
    </row>
    <row r="475" spans="1:27" x14ac:dyDescent="0.25">
      <c r="A475" s="5"/>
      <c r="B475" s="6"/>
      <c r="C475" s="6"/>
      <c r="D475" s="7"/>
      <c r="F475" s="5"/>
      <c r="G475" s="6"/>
      <c r="H475" s="6"/>
      <c r="I475" s="7"/>
      <c r="K475" s="5"/>
      <c r="L475" s="6"/>
      <c r="M475" s="6"/>
      <c r="N475" s="7"/>
      <c r="P475" s="5"/>
      <c r="Q475" s="6"/>
      <c r="R475" s="6"/>
      <c r="S475" s="7"/>
      <c r="U475" s="5"/>
      <c r="V475" s="6"/>
      <c r="W475" s="6"/>
      <c r="X475" s="7"/>
      <c r="Z475" s="3"/>
      <c r="AA475" s="3"/>
    </row>
    <row r="476" spans="1:27" x14ac:dyDescent="0.25">
      <c r="A476" s="5"/>
      <c r="B476" s="6"/>
      <c r="C476" s="6"/>
      <c r="D476" s="7"/>
      <c r="F476" s="5"/>
      <c r="G476" s="6"/>
      <c r="H476" s="6"/>
      <c r="I476" s="7"/>
      <c r="K476" s="5"/>
      <c r="L476" s="6"/>
      <c r="M476" s="6"/>
      <c r="N476" s="7"/>
      <c r="P476" s="5"/>
      <c r="Q476" s="6"/>
      <c r="R476" s="6"/>
      <c r="S476" s="7"/>
      <c r="U476" s="5"/>
      <c r="V476" s="6"/>
      <c r="W476" s="6"/>
      <c r="X476" s="7"/>
      <c r="Z476" s="3"/>
      <c r="AA476" s="3"/>
    </row>
    <row r="477" spans="1:27" ht="13.8" thickBot="1" x14ac:dyDescent="0.3">
      <c r="A477" s="9"/>
      <c r="B477" s="10"/>
      <c r="C477" s="10"/>
      <c r="D477" s="11"/>
      <c r="F477" s="9"/>
      <c r="G477" s="10"/>
      <c r="H477" s="10"/>
      <c r="I477" s="11"/>
      <c r="K477" s="9"/>
      <c r="L477" s="10"/>
      <c r="M477" s="10"/>
      <c r="N477" s="11"/>
      <c r="P477" s="9"/>
      <c r="Q477" s="10"/>
      <c r="R477" s="10"/>
      <c r="S477" s="11"/>
      <c r="U477" s="9"/>
      <c r="V477" s="10"/>
      <c r="W477" s="10"/>
      <c r="X477" s="11"/>
      <c r="Z477" s="3"/>
      <c r="AA477" s="3"/>
    </row>
    <row r="478" spans="1:27" x14ac:dyDescent="0.25">
      <c r="A478" s="5">
        <f ca="1">C294</f>
        <v>3727.7366010006895</v>
      </c>
      <c r="B478" s="6"/>
      <c r="C478" s="6"/>
      <c r="D478" s="7"/>
      <c r="F478" s="5">
        <f ca="1">H294</f>
        <v>4913.6410432000648</v>
      </c>
      <c r="G478" s="6"/>
      <c r="H478" s="6"/>
      <c r="I478" s="7"/>
      <c r="K478" s="5">
        <f ca="1">M294</f>
        <v>5706.8634377390172</v>
      </c>
      <c r="L478" s="6"/>
      <c r="M478" s="6"/>
      <c r="N478" s="7"/>
      <c r="P478" s="5">
        <f ca="1">R294</f>
        <v>5695.2996935163146</v>
      </c>
      <c r="Q478" s="6"/>
      <c r="R478" s="6"/>
      <c r="S478" s="7"/>
      <c r="U478" s="5">
        <f ca="1">W294</f>
        <v>5534.3085415255109</v>
      </c>
      <c r="V478" s="6"/>
      <c r="W478" s="6"/>
      <c r="X478" s="7"/>
      <c r="Z478" s="3"/>
      <c r="AA478" s="3"/>
    </row>
    <row r="479" spans="1:27" x14ac:dyDescent="0.25">
      <c r="A479" s="5"/>
      <c r="B479" s="6"/>
      <c r="C479" s="6"/>
      <c r="D479" s="7"/>
      <c r="F479" s="5"/>
      <c r="G479" s="6"/>
      <c r="H479" s="6"/>
      <c r="I479" s="7"/>
      <c r="K479" s="5"/>
      <c r="L479" s="6"/>
      <c r="M479" s="6"/>
      <c r="N479" s="7"/>
      <c r="P479" s="5"/>
      <c r="Q479" s="6"/>
      <c r="R479" s="6"/>
      <c r="S479" s="7"/>
      <c r="U479" s="5"/>
      <c r="V479" s="6"/>
      <c r="W479" s="6"/>
      <c r="X479" s="7"/>
      <c r="Z479" s="3"/>
      <c r="AA479" s="3"/>
    </row>
    <row r="480" spans="1:27" x14ac:dyDescent="0.25">
      <c r="A480" s="5"/>
      <c r="B480" s="6"/>
      <c r="C480" s="6"/>
      <c r="D480" s="7"/>
      <c r="F480" s="5"/>
      <c r="G480" s="6"/>
      <c r="H480" s="6"/>
      <c r="I480" s="7"/>
      <c r="K480" s="5"/>
      <c r="L480" s="6"/>
      <c r="M480" s="6"/>
      <c r="N480" s="7"/>
      <c r="P480" s="5"/>
      <c r="Q480" s="6"/>
      <c r="R480" s="6"/>
      <c r="S480" s="7"/>
      <c r="U480" s="5"/>
      <c r="V480" s="6"/>
      <c r="W480" s="6"/>
      <c r="X480" s="7"/>
      <c r="Z480" s="3"/>
      <c r="AA480" s="3"/>
    </row>
    <row r="481" spans="1:27" ht="13.8" thickBot="1" x14ac:dyDescent="0.3">
      <c r="A481" s="9"/>
      <c r="B481" s="10"/>
      <c r="C481" s="10"/>
      <c r="D481" s="11"/>
      <c r="F481" s="9"/>
      <c r="G481" s="10"/>
      <c r="H481" s="10"/>
      <c r="I481" s="11"/>
      <c r="K481" s="9"/>
      <c r="L481" s="10"/>
      <c r="M481" s="10"/>
      <c r="N481" s="11"/>
      <c r="P481" s="9"/>
      <c r="Q481" s="10"/>
      <c r="R481" s="10"/>
      <c r="S481" s="11"/>
      <c r="U481" s="9"/>
      <c r="V481" s="10"/>
      <c r="W481" s="10"/>
      <c r="X481" s="11"/>
      <c r="Z481" s="3"/>
      <c r="AA481" s="3"/>
    </row>
    <row r="482" spans="1:27" x14ac:dyDescent="0.25">
      <c r="A482" s="5">
        <f>C301</f>
        <v>26771.75</v>
      </c>
      <c r="B482" s="6"/>
      <c r="C482" s="6"/>
      <c r="D482" s="7"/>
      <c r="F482" s="5">
        <f>H301</f>
        <v>33602.456250000003</v>
      </c>
      <c r="G482" s="6"/>
      <c r="H482" s="6"/>
      <c r="I482" s="7"/>
      <c r="K482" s="5">
        <f>M301</f>
        <v>32762.39484375</v>
      </c>
      <c r="L482" s="6"/>
      <c r="M482" s="6"/>
      <c r="N482" s="7"/>
      <c r="P482" s="5">
        <f>R301</f>
        <v>31943.334972656252</v>
      </c>
      <c r="Q482" s="6"/>
      <c r="R482" s="6"/>
      <c r="S482" s="7"/>
      <c r="U482" s="5">
        <f>W301</f>
        <v>31144.751598339844</v>
      </c>
      <c r="V482" s="6"/>
      <c r="W482" s="6"/>
      <c r="X482" s="7"/>
      <c r="Z482" s="3"/>
      <c r="AA482" s="3"/>
    </row>
    <row r="483" spans="1:27" x14ac:dyDescent="0.25">
      <c r="A483" s="5"/>
      <c r="B483" s="6"/>
      <c r="C483" s="6"/>
      <c r="D483" s="7"/>
      <c r="F483" s="5"/>
      <c r="G483" s="6"/>
      <c r="H483" s="6"/>
      <c r="I483" s="7"/>
      <c r="K483" s="5"/>
      <c r="L483" s="6"/>
      <c r="M483" s="6"/>
      <c r="N483" s="7"/>
      <c r="P483" s="5"/>
      <c r="Q483" s="6"/>
      <c r="R483" s="6"/>
      <c r="S483" s="7"/>
      <c r="U483" s="5"/>
      <c r="V483" s="6"/>
      <c r="W483" s="6"/>
      <c r="X483" s="7"/>
      <c r="Z483" s="3"/>
      <c r="AA483" s="3"/>
    </row>
    <row r="484" spans="1:27" x14ac:dyDescent="0.25">
      <c r="A484" s="5"/>
      <c r="B484" s="6"/>
      <c r="C484" s="6"/>
      <c r="D484" s="7"/>
      <c r="F484" s="5"/>
      <c r="G484" s="6"/>
      <c r="H484" s="6"/>
      <c r="I484" s="7"/>
      <c r="K484" s="5"/>
      <c r="L484" s="6"/>
      <c r="M484" s="6"/>
      <c r="N484" s="7"/>
      <c r="P484" s="5"/>
      <c r="Q484" s="6"/>
      <c r="R484" s="6"/>
      <c r="S484" s="7"/>
      <c r="U484" s="5"/>
      <c r="V484" s="6"/>
      <c r="W484" s="6"/>
      <c r="X484" s="7"/>
      <c r="Z484" s="3"/>
      <c r="AA484" s="3"/>
    </row>
    <row r="485" spans="1:27" ht="13.8" thickBot="1" x14ac:dyDescent="0.3">
      <c r="A485" s="9"/>
      <c r="B485" s="10"/>
      <c r="C485" s="10"/>
      <c r="D485" s="11"/>
      <c r="F485" s="9"/>
      <c r="G485" s="10"/>
      <c r="H485" s="10"/>
      <c r="I485" s="11"/>
      <c r="K485" s="9"/>
      <c r="L485" s="10"/>
      <c r="M485" s="10"/>
      <c r="N485" s="11"/>
      <c r="P485" s="9"/>
      <c r="Q485" s="10"/>
      <c r="R485" s="10"/>
      <c r="S485" s="11"/>
      <c r="U485" s="9"/>
      <c r="V485" s="10"/>
      <c r="W485" s="10"/>
      <c r="X485" s="11"/>
      <c r="Z485" s="3"/>
      <c r="AA485" s="3"/>
    </row>
    <row r="486" spans="1:27" ht="13.8" thickBot="1" x14ac:dyDescent="0.3">
      <c r="Z486" s="3"/>
      <c r="AA486" s="3"/>
    </row>
    <row r="487" spans="1:27" x14ac:dyDescent="0.25">
      <c r="A487" s="138">
        <f ca="1">SUM(B488:D490)</f>
        <v>0.63034067506894176</v>
      </c>
      <c r="B487" s="26"/>
      <c r="C487" s="26"/>
      <c r="D487" s="27"/>
      <c r="F487" s="552">
        <f ca="1">SUM(G488:I490)</f>
        <v>0.64976327058551453</v>
      </c>
      <c r="G487" s="26"/>
      <c r="H487" s="26"/>
      <c r="I487" s="27"/>
      <c r="K487" s="552">
        <f ca="1">SUM(L488:N490)</f>
        <v>0.67956732237651829</v>
      </c>
      <c r="L487" s="26"/>
      <c r="M487" s="26"/>
      <c r="N487" s="27"/>
      <c r="P487" s="552">
        <f ca="1">SUM(Q488:S490)</f>
        <v>0.73062487437043999</v>
      </c>
      <c r="Q487" s="26"/>
      <c r="R487" s="26"/>
      <c r="S487" s="27"/>
      <c r="U487" s="552" t="e">
        <f ca="1">SUM(V488:X490)</f>
        <v>#DIV/0!</v>
      </c>
      <c r="V487" s="26"/>
      <c r="W487" s="26"/>
      <c r="X487" s="27"/>
      <c r="Z487" s="3"/>
      <c r="AA487" s="3"/>
    </row>
    <row r="488" spans="1:27" x14ac:dyDescent="0.25">
      <c r="A488" s="5"/>
      <c r="B488" s="63">
        <f t="shared" ref="B488:D490" ca="1" si="55">B148/SUM($B$492:$D$494)*B492</f>
        <v>0.11420759706572478</v>
      </c>
      <c r="C488" s="63">
        <f t="shared" ca="1" si="55"/>
        <v>0.13306555274106355</v>
      </c>
      <c r="D488" s="64">
        <f t="shared" ca="1" si="55"/>
        <v>0.1011891721536739</v>
      </c>
      <c r="F488" s="5"/>
      <c r="G488" s="63">
        <f t="shared" ref="G488:I490" ca="1" si="56">G148/SUM($G$492:$I$494)*G492</f>
        <v>0.1276246862322426</v>
      </c>
      <c r="H488" s="63">
        <f t="shared" ca="1" si="56"/>
        <v>0.11106443955568168</v>
      </c>
      <c r="I488" s="64">
        <f t="shared" ca="1" si="56"/>
        <v>7.8329256184204776E-2</v>
      </c>
      <c r="K488" s="5"/>
      <c r="L488" s="63">
        <f t="shared" ref="L488:N490" ca="1" si="57">L148/SUM($L$492:$N$494)*L492</f>
        <v>0.14964766016996117</v>
      </c>
      <c r="M488" s="63">
        <f t="shared" ca="1" si="57"/>
        <v>0.10529146330611062</v>
      </c>
      <c r="N488" s="64">
        <f t="shared" ca="1" si="57"/>
        <v>7.9208407046341744E-2</v>
      </c>
      <c r="P488" s="5"/>
      <c r="Q488" s="63">
        <f t="shared" ref="Q488:S490" ca="1" si="58">Q148/SUM($Q$492:$S$494)*Q492</f>
        <v>0.14202739230774808</v>
      </c>
      <c r="R488" s="63">
        <f t="shared" ca="1" si="58"/>
        <v>0.1298181249930378</v>
      </c>
      <c r="S488" s="64">
        <f t="shared" ca="1" si="58"/>
        <v>8.9474299697873252E-2</v>
      </c>
      <c r="U488" s="5"/>
      <c r="V488" s="63" t="e">
        <f t="shared" ref="V488:X490" ca="1" si="59">V148/SUM($V$492:$X$494)*V492</f>
        <v>#DIV/0!</v>
      </c>
      <c r="W488" s="63" t="e">
        <f t="shared" ca="1" si="59"/>
        <v>#DIV/0!</v>
      </c>
      <c r="X488" s="64" t="e">
        <f t="shared" ca="1" si="59"/>
        <v>#DIV/0!</v>
      </c>
      <c r="Z488" s="3"/>
      <c r="AA488" s="3"/>
    </row>
    <row r="489" spans="1:27" x14ac:dyDescent="0.25">
      <c r="A489" s="5"/>
      <c r="B489" s="63">
        <f t="shared" ca="1" si="55"/>
        <v>3.7643663636988817E-2</v>
      </c>
      <c r="C489" s="63">
        <f t="shared" ca="1" si="55"/>
        <v>4.6497301433362608E-2</v>
      </c>
      <c r="D489" s="64">
        <f t="shared" ca="1" si="55"/>
        <v>3.1378594395070999E-2</v>
      </c>
      <c r="F489" s="5"/>
      <c r="G489" s="63">
        <f t="shared" ca="1" si="56"/>
        <v>8.7629280127735992E-2</v>
      </c>
      <c r="H489" s="63">
        <f t="shared" ca="1" si="56"/>
        <v>8.0503088823707381E-2</v>
      </c>
      <c r="I489" s="64">
        <f t="shared" ca="1" si="56"/>
        <v>5.8784519532785712E-2</v>
      </c>
      <c r="K489" s="5"/>
      <c r="L489" s="63">
        <f t="shared" ca="1" si="57"/>
        <v>0.10557728562050947</v>
      </c>
      <c r="M489" s="63">
        <f t="shared" ca="1" si="57"/>
        <v>7.5921847549646135E-2</v>
      </c>
      <c r="N489" s="64">
        <f t="shared" ca="1" si="57"/>
        <v>6.556887468167813E-2</v>
      </c>
      <c r="P489" s="5"/>
      <c r="Q489" s="63">
        <f t="shared" ca="1" si="58"/>
        <v>7.5795111812502911E-2</v>
      </c>
      <c r="R489" s="63">
        <f t="shared" ca="1" si="58"/>
        <v>9.0587540351413476E-2</v>
      </c>
      <c r="S489" s="64">
        <f t="shared" ca="1" si="58"/>
        <v>0.10637219745117558</v>
      </c>
      <c r="U489" s="5"/>
      <c r="V489" s="63" t="e">
        <f t="shared" ca="1" si="59"/>
        <v>#DIV/0!</v>
      </c>
      <c r="W489" s="63" t="e">
        <f t="shared" ca="1" si="59"/>
        <v>#DIV/0!</v>
      </c>
      <c r="X489" s="64" t="e">
        <f t="shared" ca="1" si="59"/>
        <v>#DIV/0!</v>
      </c>
      <c r="Z489" s="3"/>
      <c r="AA489" s="3"/>
    </row>
    <row r="490" spans="1:27" ht="13.8" thickBot="1" x14ac:dyDescent="0.3">
      <c r="A490" s="9"/>
      <c r="B490" s="65">
        <f t="shared" ca="1" si="55"/>
        <v>6.5358758350808857E-2</v>
      </c>
      <c r="C490" s="65">
        <f t="shared" ca="1" si="55"/>
        <v>5.5624756768917351E-2</v>
      </c>
      <c r="D490" s="66">
        <f t="shared" ca="1" si="55"/>
        <v>4.537527852333087E-2</v>
      </c>
      <c r="F490" s="9"/>
      <c r="G490" s="65">
        <f t="shared" ca="1" si="56"/>
        <v>5.1793158381224225E-2</v>
      </c>
      <c r="H490" s="65">
        <f t="shared" ca="1" si="56"/>
        <v>2.7954039366971599E-2</v>
      </c>
      <c r="I490" s="66">
        <f t="shared" ca="1" si="56"/>
        <v>2.6080802380960538E-2</v>
      </c>
      <c r="K490" s="9"/>
      <c r="L490" s="65">
        <f t="shared" ca="1" si="57"/>
        <v>5.3049175234255681E-2</v>
      </c>
      <c r="M490" s="65">
        <f t="shared" ca="1" si="57"/>
        <v>2.2830618148395137E-2</v>
      </c>
      <c r="N490" s="66">
        <f t="shared" ca="1" si="57"/>
        <v>2.2471990619620161E-2</v>
      </c>
      <c r="P490" s="9"/>
      <c r="Q490" s="65">
        <f t="shared" ca="1" si="58"/>
        <v>4.1666971555282956E-2</v>
      </c>
      <c r="R490" s="65">
        <f t="shared" ca="1" si="58"/>
        <v>2.819225847151835E-2</v>
      </c>
      <c r="S490" s="66">
        <f t="shared" ca="1" si="58"/>
        <v>2.6690977729887575E-2</v>
      </c>
      <c r="U490" s="9"/>
      <c r="V490" s="65" t="e">
        <f t="shared" ca="1" si="59"/>
        <v>#DIV/0!</v>
      </c>
      <c r="W490" s="65" t="e">
        <f t="shared" ca="1" si="59"/>
        <v>#DIV/0!</v>
      </c>
      <c r="X490" s="66" t="e">
        <f t="shared" ca="1" si="59"/>
        <v>#DIV/0!</v>
      </c>
      <c r="Z490" s="3"/>
      <c r="AA490" s="3"/>
    </row>
    <row r="491" spans="1:27" x14ac:dyDescent="0.25">
      <c r="A491" s="136">
        <f ca="1">SUM(A495:D498)</f>
        <v>1097480.6900981043</v>
      </c>
      <c r="B491" s="26"/>
      <c r="C491" s="26"/>
      <c r="D491" s="27"/>
      <c r="F491" s="136">
        <f ca="1">SUM(F495:I498)</f>
        <v>1400497.2129677979</v>
      </c>
      <c r="G491" s="26"/>
      <c r="H491" s="26"/>
      <c r="I491" s="27"/>
      <c r="K491" s="136">
        <f ca="1">SUM(K495:N498)</f>
        <v>1673473.9029051359</v>
      </c>
      <c r="L491" s="26"/>
      <c r="M491" s="26"/>
      <c r="N491" s="27"/>
      <c r="P491" s="136">
        <f ca="1">SUM(P495:S498)</f>
        <v>1901735.9238288249</v>
      </c>
      <c r="Q491" s="26"/>
      <c r="R491" s="26"/>
      <c r="S491" s="27"/>
      <c r="U491" s="136" t="e">
        <f ca="1">SUM(U495:X498)</f>
        <v>#DIV/0!</v>
      </c>
      <c r="V491" s="26"/>
      <c r="W491" s="26"/>
      <c r="X491" s="27"/>
      <c r="Z491" s="3"/>
      <c r="AA491" s="3"/>
    </row>
    <row r="492" spans="1:27" x14ac:dyDescent="0.25">
      <c r="A492" s="5"/>
      <c r="B492" s="6">
        <f t="shared" ref="B492:D494" ca="1" si="60">B496+$A$495/SUM($B$496:$D$498)*B496+$A496/SUM($B496:$D496)*B496</f>
        <v>200336.89796944585</v>
      </c>
      <c r="C492" s="6">
        <f t="shared" ca="1" si="60"/>
        <v>228776.80495680677</v>
      </c>
      <c r="D492" s="7">
        <f t="shared" ca="1" si="60"/>
        <v>154933.55865940571</v>
      </c>
      <c r="F492" s="5"/>
      <c r="G492" s="6">
        <f t="shared" ref="G492:I494" ca="1" si="61">G496+$F$495/SUM($G$496:$I$498)*G496+$F496/SUM($G496:$I496)*G496</f>
        <v>284683.28280511958</v>
      </c>
      <c r="H492" s="6">
        <f t="shared" ca="1" si="61"/>
        <v>242573.67264404058</v>
      </c>
      <c r="I492" s="7">
        <f t="shared" ca="1" si="61"/>
        <v>153443.51581542846</v>
      </c>
      <c r="K492" s="5"/>
      <c r="L492" s="6">
        <f t="shared" ref="L492:N494" ca="1" si="62">L496+$K$495/SUM($L$496:$N$498)*L496+$K496/SUM($L496:$N496)*L496</f>
        <v>378384.21914797096</v>
      </c>
      <c r="M492" s="6">
        <f t="shared" ca="1" si="62"/>
        <v>260331.38443438502</v>
      </c>
      <c r="N492" s="7">
        <f t="shared" ca="1" si="62"/>
        <v>177916.66845107113</v>
      </c>
      <c r="P492" s="5"/>
      <c r="Q492" s="6">
        <f t="shared" ref="Q492:S494" ca="1" si="63">Q496+$P$495/SUM($Q$496:$S$498)*Q496+$P496/SUM($Q496:$S496)*Q496</f>
        <v>387841.20090577868</v>
      </c>
      <c r="R492" s="6">
        <f t="shared" ca="1" si="63"/>
        <v>346788.15900080331</v>
      </c>
      <c r="S492" s="7">
        <f t="shared" ca="1" si="63"/>
        <v>213916.6788309119</v>
      </c>
      <c r="U492" s="5"/>
      <c r="V492" s="6" t="e">
        <f t="shared" ref="V492:X494" ca="1" si="64">V496+$U$495/SUM($V$496:$X$498)*V496+$U496/SUM($V496:$X496)*V496</f>
        <v>#DIV/0!</v>
      </c>
      <c r="W492" s="6" t="e">
        <f t="shared" ca="1" si="64"/>
        <v>#DIV/0!</v>
      </c>
      <c r="X492" s="7" t="e">
        <f t="shared" ca="1" si="64"/>
        <v>#DIV/0!</v>
      </c>
      <c r="Z492" s="3"/>
      <c r="AA492" s="3"/>
    </row>
    <row r="493" spans="1:27" x14ac:dyDescent="0.25">
      <c r="A493" s="5"/>
      <c r="B493" s="6">
        <f t="shared" ca="1" si="60"/>
        <v>61462.233577587678</v>
      </c>
      <c r="C493" s="6">
        <f t="shared" ca="1" si="60"/>
        <v>73805.004991074122</v>
      </c>
      <c r="D493" s="7">
        <f t="shared" ca="1" si="60"/>
        <v>45116.726790669483</v>
      </c>
      <c r="F493" s="5"/>
      <c r="G493" s="6">
        <f t="shared" ca="1" si="61"/>
        <v>184056.75281892237</v>
      </c>
      <c r="H493" s="6">
        <f t="shared" ca="1" si="61"/>
        <v>162539.77705960226</v>
      </c>
      <c r="I493" s="7">
        <f t="shared" ca="1" si="61"/>
        <v>109315.64655734946</v>
      </c>
      <c r="K493" s="5"/>
      <c r="L493" s="6">
        <f t="shared" ca="1" si="62"/>
        <v>256821.50777681894</v>
      </c>
      <c r="M493" s="6">
        <f t="shared" ca="1" si="62"/>
        <v>177891.31463572441</v>
      </c>
      <c r="N493" s="7">
        <f t="shared" ca="1" si="62"/>
        <v>141628.40905029507</v>
      </c>
      <c r="P493" s="5"/>
      <c r="Q493" s="6">
        <f t="shared" ca="1" si="63"/>
        <v>194688.24218002078</v>
      </c>
      <c r="R493" s="6">
        <f t="shared" ca="1" si="63"/>
        <v>228163.65761114063</v>
      </c>
      <c r="S493" s="7">
        <f t="shared" ca="1" si="63"/>
        <v>240561.22815818808</v>
      </c>
      <c r="U493" s="5"/>
      <c r="V493" s="6" t="e">
        <f t="shared" ca="1" si="64"/>
        <v>#DIV/0!</v>
      </c>
      <c r="W493" s="6" t="e">
        <f t="shared" ca="1" si="64"/>
        <v>#DIV/0!</v>
      </c>
      <c r="X493" s="7" t="e">
        <f t="shared" ca="1" si="64"/>
        <v>#DIV/0!</v>
      </c>
      <c r="Z493" s="3"/>
      <c r="AA493" s="3"/>
    </row>
    <row r="494" spans="1:27" ht="13.8" thickBot="1" x14ac:dyDescent="0.3">
      <c r="A494" s="9"/>
      <c r="B494" s="10">
        <f t="shared" ca="1" si="60"/>
        <v>133056.16923374627</v>
      </c>
      <c r="C494" s="10">
        <f t="shared" ca="1" si="60"/>
        <v>116130.30336599189</v>
      </c>
      <c r="D494" s="11">
        <f t="shared" ca="1" si="60"/>
        <v>83862.990553376279</v>
      </c>
      <c r="F494" s="9"/>
      <c r="G494" s="10">
        <f t="shared" ca="1" si="61"/>
        <v>133801.81279278026</v>
      </c>
      <c r="H494" s="10">
        <f t="shared" ca="1" si="61"/>
        <v>70178.18711104714</v>
      </c>
      <c r="I494" s="11">
        <f t="shared" ca="1" si="61"/>
        <v>59904.565363507754</v>
      </c>
      <c r="K494" s="9"/>
      <c r="L494" s="10">
        <f t="shared" ca="1" si="62"/>
        <v>154802.40873106479</v>
      </c>
      <c r="M494" s="10">
        <f t="shared" ca="1" si="62"/>
        <v>66390.973331504938</v>
      </c>
      <c r="N494" s="11">
        <f t="shared" ca="1" si="62"/>
        <v>59307.017346301</v>
      </c>
      <c r="P494" s="9"/>
      <c r="Q494" s="10">
        <f t="shared" ca="1" si="63"/>
        <v>123903.64521557305</v>
      </c>
      <c r="R494" s="10">
        <f t="shared" ca="1" si="63"/>
        <v>90157.5347164712</v>
      </c>
      <c r="S494" s="11">
        <f t="shared" ca="1" si="63"/>
        <v>75715.577209937444</v>
      </c>
      <c r="U494" s="9"/>
      <c r="V494" s="10" t="e">
        <f t="shared" ca="1" si="64"/>
        <v>#DIV/0!</v>
      </c>
      <c r="W494" s="10" t="e">
        <f t="shared" ca="1" si="64"/>
        <v>#DIV/0!</v>
      </c>
      <c r="X494" s="11" t="e">
        <f t="shared" ca="1" si="64"/>
        <v>#DIV/0!</v>
      </c>
      <c r="Z494" s="3"/>
      <c r="AA494" s="3"/>
    </row>
    <row r="495" spans="1:27" x14ac:dyDescent="0.25">
      <c r="A495" s="5">
        <f t="shared" ref="A495:I498" si="65">A499+A503+A507+A511+A515+A519+A523+A527+A531+A535+A539+A543+A547+A551+A555+A559+A563+A567+A571+A575+A579+A583+A587</f>
        <v>0</v>
      </c>
      <c r="B495" s="6">
        <f t="shared" si="65"/>
        <v>0</v>
      </c>
      <c r="C495" s="6">
        <f t="shared" si="65"/>
        <v>0</v>
      </c>
      <c r="D495" s="7">
        <f t="shared" si="65"/>
        <v>0</v>
      </c>
      <c r="F495" s="5">
        <f t="shared" si="65"/>
        <v>0</v>
      </c>
      <c r="G495" s="6">
        <f t="shared" si="65"/>
        <v>0</v>
      </c>
      <c r="H495" s="6">
        <f t="shared" si="65"/>
        <v>0</v>
      </c>
      <c r="I495" s="7">
        <f t="shared" si="65"/>
        <v>0</v>
      </c>
      <c r="K495" s="5">
        <f t="shared" ref="K495:N498" si="66">K499+K503+K507+K511+K515+K519+K523+K527+K531+K535+K539+K543+K547+K551+K555+K559+K563+K567+K571+K575+K579+K583+K587</f>
        <v>0</v>
      </c>
      <c r="L495" s="6">
        <f t="shared" si="66"/>
        <v>0</v>
      </c>
      <c r="M495" s="6">
        <f t="shared" si="66"/>
        <v>0</v>
      </c>
      <c r="N495" s="7">
        <f t="shared" si="66"/>
        <v>0</v>
      </c>
      <c r="P495" s="5">
        <f t="shared" ref="P495:S498" si="67">P499+P503+P507+P511+P515+P519+P523+P527+P531+P535+P539+P543+P547+P551+P555+P559+P563+P567+P571+P575+P579+P583+P587</f>
        <v>0</v>
      </c>
      <c r="Q495" s="6">
        <f t="shared" si="67"/>
        <v>0</v>
      </c>
      <c r="R495" s="6">
        <f t="shared" si="67"/>
        <v>0</v>
      </c>
      <c r="S495" s="7">
        <f t="shared" si="67"/>
        <v>0</v>
      </c>
      <c r="U495" s="5">
        <f t="shared" ref="U495:X498" si="68">U499+U503+U507+U511+U515+U519+U523+U527+U531+U535+U539+U543+U547+U551+U555+U559+U563+U567+U571+U575+U579+U583+U587</f>
        <v>0</v>
      </c>
      <c r="V495" s="6">
        <f t="shared" si="68"/>
        <v>0</v>
      </c>
      <c r="W495" s="6">
        <f t="shared" si="68"/>
        <v>0</v>
      </c>
      <c r="X495" s="7">
        <f t="shared" si="68"/>
        <v>0</v>
      </c>
      <c r="Z495" s="3"/>
      <c r="AA495" s="3"/>
    </row>
    <row r="496" spans="1:27" x14ac:dyDescent="0.25">
      <c r="A496" s="5">
        <f t="shared" ca="1" si="65"/>
        <v>18200</v>
      </c>
      <c r="B496" s="6">
        <f t="shared" ca="1" si="65"/>
        <v>194094.02725870087</v>
      </c>
      <c r="C496" s="6">
        <f t="shared" ca="1" si="65"/>
        <v>221647.69379736131</v>
      </c>
      <c r="D496" s="7">
        <f t="shared" ca="1" si="65"/>
        <v>150105.54052959615</v>
      </c>
      <c r="F496" s="5">
        <f t="shared" ca="1" si="65"/>
        <v>20800</v>
      </c>
      <c r="G496" s="6">
        <f t="shared" ca="1" si="65"/>
        <v>275984.28444634686</v>
      </c>
      <c r="H496" s="6">
        <f t="shared" ca="1" si="65"/>
        <v>235161.40747897822</v>
      </c>
      <c r="I496" s="7">
        <f t="shared" ca="1" si="65"/>
        <v>148754.77933926356</v>
      </c>
      <c r="K496" s="5">
        <f t="shared" ca="1" si="66"/>
        <v>23400</v>
      </c>
      <c r="L496" s="6">
        <f t="shared" ca="1" si="66"/>
        <v>367541.89631640387</v>
      </c>
      <c r="M496" s="6">
        <f t="shared" ca="1" si="66"/>
        <v>252871.77916970933</v>
      </c>
      <c r="N496" s="7">
        <f t="shared" ca="1" si="66"/>
        <v>172818.59654731388</v>
      </c>
      <c r="P496" s="5">
        <f t="shared" ca="1" si="67"/>
        <v>26000</v>
      </c>
      <c r="Q496" s="6">
        <f t="shared" ca="1" si="67"/>
        <v>377210.32922244765</v>
      </c>
      <c r="R496" s="6">
        <f t="shared" ca="1" si="67"/>
        <v>337282.56647730095</v>
      </c>
      <c r="S496" s="7">
        <f t="shared" ca="1" si="67"/>
        <v>208053.14303774526</v>
      </c>
      <c r="U496" s="5">
        <f t="shared" ca="1" si="68"/>
        <v>0</v>
      </c>
      <c r="V496" s="6" t="e">
        <f t="shared" ca="1" si="68"/>
        <v>#DIV/0!</v>
      </c>
      <c r="W496" s="6" t="e">
        <f t="shared" ca="1" si="68"/>
        <v>#DIV/0!</v>
      </c>
      <c r="X496" s="7" t="e">
        <f t="shared" ca="1" si="68"/>
        <v>#DIV/0!</v>
      </c>
      <c r="Z496" s="3"/>
      <c r="AA496" s="3"/>
    </row>
    <row r="497" spans="1:27" x14ac:dyDescent="0.25">
      <c r="A497" s="5">
        <f t="shared" ca="1" si="65"/>
        <v>18600</v>
      </c>
      <c r="B497" s="6">
        <f t="shared" ca="1" si="65"/>
        <v>55124.655055761526</v>
      </c>
      <c r="C497" s="6">
        <f t="shared" ca="1" si="65"/>
        <v>66194.721615279792</v>
      </c>
      <c r="D497" s="7">
        <f t="shared" ca="1" si="65"/>
        <v>40464.588688289965</v>
      </c>
      <c r="F497" s="5">
        <f t="shared" ca="1" si="65"/>
        <v>46500</v>
      </c>
      <c r="G497" s="6">
        <f t="shared" ca="1" si="65"/>
        <v>165284.19211877248</v>
      </c>
      <c r="H497" s="6">
        <f t="shared" ca="1" si="65"/>
        <v>145961.80431854172</v>
      </c>
      <c r="I497" s="7">
        <f t="shared" ca="1" si="65"/>
        <v>98166.179998559892</v>
      </c>
      <c r="K497" s="5">
        <f t="shared" ca="1" si="66"/>
        <v>55800</v>
      </c>
      <c r="L497" s="6">
        <f t="shared" ca="1" si="66"/>
        <v>231956.65454122232</v>
      </c>
      <c r="M497" s="6">
        <f t="shared" ca="1" si="66"/>
        <v>160668.29671719213</v>
      </c>
      <c r="N497" s="7">
        <f t="shared" ca="1" si="66"/>
        <v>127916.28020442397</v>
      </c>
      <c r="P497" s="5">
        <f t="shared" ca="1" si="67"/>
        <v>65100</v>
      </c>
      <c r="Q497" s="6">
        <f t="shared" ca="1" si="67"/>
        <v>175583.69927612002</v>
      </c>
      <c r="R497" s="6">
        <f t="shared" ca="1" si="67"/>
        <v>205774.20903872818</v>
      </c>
      <c r="S497" s="7">
        <f t="shared" ca="1" si="67"/>
        <v>216955.21963450132</v>
      </c>
      <c r="U497" s="5">
        <f t="shared" ca="1" si="68"/>
        <v>48000</v>
      </c>
      <c r="V497" s="6" t="e">
        <f t="shared" ca="1" si="68"/>
        <v>#DIV/0!</v>
      </c>
      <c r="W497" s="6" t="e">
        <f t="shared" ca="1" si="68"/>
        <v>#DIV/0!</v>
      </c>
      <c r="X497" s="7" t="e">
        <f t="shared" ca="1" si="68"/>
        <v>#DIV/0!</v>
      </c>
      <c r="Z497" s="3"/>
      <c r="AA497" s="3"/>
    </row>
    <row r="498" spans="1:27" ht="13.8" thickBot="1" x14ac:dyDescent="0.3">
      <c r="A498" s="9">
        <f t="shared" ca="1" si="65"/>
        <v>2600</v>
      </c>
      <c r="B498" s="10">
        <f t="shared" ca="1" si="65"/>
        <v>132017.44652651675</v>
      </c>
      <c r="C498" s="10">
        <f t="shared" ca="1" si="65"/>
        <v>115223.7149394771</v>
      </c>
      <c r="D498" s="11">
        <f t="shared" ca="1" si="65"/>
        <v>83208.301687120591</v>
      </c>
      <c r="F498" s="9">
        <f t="shared" ca="1" si="65"/>
        <v>1950</v>
      </c>
      <c r="G498" s="10">
        <f t="shared" ca="1" si="65"/>
        <v>132813.07161846565</v>
      </c>
      <c r="H498" s="10">
        <f t="shared" ca="1" si="65"/>
        <v>69659.598747503012</v>
      </c>
      <c r="I498" s="11">
        <f t="shared" ca="1" si="65"/>
        <v>59461.894901366482</v>
      </c>
      <c r="K498" s="9">
        <f t="shared" ca="1" si="66"/>
        <v>1950</v>
      </c>
      <c r="L498" s="10">
        <f t="shared" ca="1" si="66"/>
        <v>153726.24378562538</v>
      </c>
      <c r="M498" s="10">
        <f t="shared" ca="1" si="66"/>
        <v>65929.432462867087</v>
      </c>
      <c r="N498" s="11">
        <f t="shared" ca="1" si="66"/>
        <v>58894.723160378249</v>
      </c>
      <c r="P498" s="9">
        <f t="shared" ca="1" si="67"/>
        <v>1950</v>
      </c>
      <c r="Q498" s="10">
        <f t="shared" ca="1" si="67"/>
        <v>123069.85816324578</v>
      </c>
      <c r="R498" s="10">
        <f t="shared" ca="1" si="67"/>
        <v>89550.835979032505</v>
      </c>
      <c r="S498" s="11">
        <f t="shared" ca="1" si="67"/>
        <v>75206.062999703398</v>
      </c>
      <c r="U498" s="9">
        <f t="shared" ca="1" si="68"/>
        <v>0</v>
      </c>
      <c r="V498" s="10" t="e">
        <f t="shared" ca="1" si="68"/>
        <v>#DIV/0!</v>
      </c>
      <c r="W498" s="10" t="e">
        <f t="shared" ca="1" si="68"/>
        <v>#DIV/0!</v>
      </c>
      <c r="X498" s="11" t="e">
        <f t="shared" ca="1" si="68"/>
        <v>#DIV/0!</v>
      </c>
      <c r="Z498" s="3"/>
      <c r="AA498" s="3"/>
    </row>
    <row r="499" spans="1:27" x14ac:dyDescent="0.25">
      <c r="A499" s="5"/>
      <c r="B499" s="6"/>
      <c r="C499" s="6"/>
      <c r="D499" s="7"/>
      <c r="F499" s="5"/>
      <c r="G499" s="6"/>
      <c r="H499" s="6"/>
      <c r="I499" s="7"/>
      <c r="K499" s="5"/>
      <c r="L499" s="6"/>
      <c r="M499" s="6"/>
      <c r="N499" s="7"/>
      <c r="P499" s="5"/>
      <c r="Q499" s="6"/>
      <c r="R499" s="6"/>
      <c r="S499" s="7"/>
      <c r="U499" s="5"/>
      <c r="V499" s="6"/>
      <c r="W499" s="6"/>
      <c r="X499" s="7"/>
      <c r="Z499" s="3"/>
      <c r="AA499" s="3"/>
    </row>
    <row r="500" spans="1:27" x14ac:dyDescent="0.25">
      <c r="A500" s="5"/>
      <c r="B500" s="6"/>
      <c r="C500" s="6"/>
      <c r="D500" s="7"/>
      <c r="F500" s="5"/>
      <c r="G500" s="6"/>
      <c r="H500" s="6"/>
      <c r="I500" s="7"/>
      <c r="K500" s="5"/>
      <c r="L500" s="6"/>
      <c r="M500" s="6"/>
      <c r="N500" s="7"/>
      <c r="P500" s="5"/>
      <c r="Q500" s="6"/>
      <c r="R500" s="6"/>
      <c r="S500" s="7"/>
      <c r="U500" s="5"/>
      <c r="V500" s="6"/>
      <c r="W500" s="6"/>
      <c r="X500" s="7"/>
      <c r="Z500" s="3"/>
      <c r="AA500" s="3"/>
    </row>
    <row r="501" spans="1:27" x14ac:dyDescent="0.25">
      <c r="A501" s="5"/>
      <c r="B501" s="6"/>
      <c r="C501" s="6"/>
      <c r="D501" s="7"/>
      <c r="F501" s="5"/>
      <c r="G501" s="6"/>
      <c r="H501" s="6"/>
      <c r="I501" s="7"/>
      <c r="K501" s="5"/>
      <c r="L501" s="6"/>
      <c r="M501" s="6"/>
      <c r="N501" s="7"/>
      <c r="P501" s="5"/>
      <c r="Q501" s="6"/>
      <c r="R501" s="6"/>
      <c r="S501" s="7"/>
      <c r="U501" s="5"/>
      <c r="V501" s="6"/>
      <c r="W501" s="6"/>
      <c r="X501" s="7"/>
      <c r="Z501" s="3"/>
      <c r="AA501" s="3"/>
    </row>
    <row r="502" spans="1:27" ht="13.8" thickBot="1" x14ac:dyDescent="0.3">
      <c r="A502" s="9"/>
      <c r="B502" s="10"/>
      <c r="C502" s="10"/>
      <c r="D502" s="11"/>
      <c r="F502" s="9"/>
      <c r="G502" s="10"/>
      <c r="H502" s="10"/>
      <c r="I502" s="11"/>
      <c r="K502" s="9"/>
      <c r="L502" s="10"/>
      <c r="M502" s="10"/>
      <c r="N502" s="11"/>
      <c r="P502" s="9"/>
      <c r="Q502" s="10"/>
      <c r="R502" s="10"/>
      <c r="S502" s="11"/>
      <c r="U502" s="9"/>
      <c r="V502" s="10"/>
      <c r="W502" s="10"/>
      <c r="X502" s="11"/>
      <c r="Z502" s="3"/>
      <c r="AA502" s="3"/>
    </row>
    <row r="503" spans="1:27" x14ac:dyDescent="0.25">
      <c r="A503" s="5"/>
      <c r="B503" s="6"/>
      <c r="C503" s="6"/>
      <c r="D503" s="7"/>
      <c r="F503" s="5"/>
      <c r="G503" s="6"/>
      <c r="H503" s="6"/>
      <c r="I503" s="7"/>
      <c r="K503" s="5"/>
      <c r="L503" s="6"/>
      <c r="M503" s="6"/>
      <c r="N503" s="7"/>
      <c r="P503" s="5"/>
      <c r="Q503" s="6"/>
      <c r="R503" s="6"/>
      <c r="S503" s="7"/>
      <c r="U503" s="5"/>
      <c r="V503" s="6"/>
      <c r="W503" s="6"/>
      <c r="X503" s="7"/>
      <c r="Z503" s="3"/>
      <c r="AA503" s="3"/>
    </row>
    <row r="504" spans="1:27" x14ac:dyDescent="0.25">
      <c r="A504" s="5"/>
      <c r="B504" s="6"/>
      <c r="C504" s="6"/>
      <c r="D504" s="7"/>
      <c r="F504" s="5"/>
      <c r="G504" s="6"/>
      <c r="H504" s="6"/>
      <c r="I504" s="7"/>
      <c r="K504" s="5"/>
      <c r="L504" s="6"/>
      <c r="M504" s="6"/>
      <c r="N504" s="7"/>
      <c r="P504" s="5"/>
      <c r="Q504" s="6"/>
      <c r="R504" s="6"/>
      <c r="S504" s="7"/>
      <c r="U504" s="5"/>
      <c r="V504" s="6"/>
      <c r="W504" s="6"/>
      <c r="X504" s="7"/>
      <c r="Z504" s="3"/>
      <c r="AA504" s="3"/>
    </row>
    <row r="505" spans="1:27" x14ac:dyDescent="0.25">
      <c r="A505" s="5"/>
      <c r="B505" s="6"/>
      <c r="C505" s="6"/>
      <c r="D505" s="7"/>
      <c r="F505" s="5"/>
      <c r="G505" s="6"/>
      <c r="H505" s="6"/>
      <c r="I505" s="7"/>
      <c r="K505" s="5"/>
      <c r="L505" s="6"/>
      <c r="M505" s="6"/>
      <c r="N505" s="7"/>
      <c r="P505" s="5"/>
      <c r="Q505" s="6"/>
      <c r="R505" s="6"/>
      <c r="S505" s="7"/>
      <c r="U505" s="5"/>
      <c r="V505" s="6"/>
      <c r="W505" s="6"/>
      <c r="X505" s="7"/>
      <c r="Z505" s="3"/>
      <c r="AA505" s="3"/>
    </row>
    <row r="506" spans="1:27" ht="13.8" thickBot="1" x14ac:dyDescent="0.3">
      <c r="A506" s="9"/>
      <c r="B506" s="10">
        <f ca="1">(A221*A246)*$D$130</f>
        <v>11522.407447441545</v>
      </c>
      <c r="C506" s="10">
        <f ca="1">(B221*B246)*$D$130</f>
        <v>10149.117460395777</v>
      </c>
      <c r="D506" s="11">
        <f ca="1">(C221*C246)*$D$130</f>
        <v>6757.7497461896455</v>
      </c>
      <c r="F506" s="9"/>
      <c r="G506" s="10">
        <f ca="1">(F221*F246)*$I$130</f>
        <v>10798.760689707738</v>
      </c>
      <c r="H506" s="10">
        <f ca="1">(G221*G246)*$I$130</f>
        <v>8185.8913106058717</v>
      </c>
      <c r="I506" s="11">
        <f ca="1">(H221*H246)*$I$130</f>
        <v>6002.6556426423394</v>
      </c>
      <c r="K506" s="9"/>
      <c r="L506" s="10">
        <f ca="1">(K221*K246)*$N$130</f>
        <v>12149.706792084524</v>
      </c>
      <c r="M506" s="10">
        <f ca="1">(L221*L246)*$N$130</f>
        <v>7009.9543001832844</v>
      </c>
      <c r="N506" s="11">
        <f ca="1">(M221*M246)*$N$130</f>
        <v>5630.5081701463187</v>
      </c>
      <c r="P506" s="9"/>
      <c r="Q506" s="10">
        <f ca="1">(P221*P246)*$S$130</f>
        <v>14011.501353057965</v>
      </c>
      <c r="R506" s="10">
        <f ca="1">(Q221*Q246)*$S$130</f>
        <v>8691.2101420647232</v>
      </c>
      <c r="S506" s="11">
        <f ca="1">(R221*R246)*$S$130</f>
        <v>6454.0728398534311</v>
      </c>
      <c r="U506" s="9"/>
      <c r="V506" s="10">
        <f ca="1">(U221*U246)*$X$130</f>
        <v>13447.120883720119</v>
      </c>
      <c r="W506" s="10">
        <f ca="1">(V221*V246)*$X$130</f>
        <v>8338.7004201058498</v>
      </c>
      <c r="X506" s="11">
        <f ca="1">(W221*W246)*$X$130</f>
        <v>5613.6517007712218</v>
      </c>
      <c r="Z506" s="3"/>
      <c r="AA506" s="3"/>
    </row>
    <row r="507" spans="1:27" x14ac:dyDescent="0.25">
      <c r="A507" s="5"/>
      <c r="B507" s="6"/>
      <c r="C507" s="6"/>
      <c r="D507" s="7"/>
      <c r="F507" s="5"/>
      <c r="G507" s="6"/>
      <c r="H507" s="6"/>
      <c r="I507" s="7"/>
      <c r="K507" s="5"/>
      <c r="L507" s="6"/>
      <c r="M507" s="6"/>
      <c r="N507" s="7"/>
      <c r="P507" s="5"/>
      <c r="Q507" s="6"/>
      <c r="R507" s="6"/>
      <c r="S507" s="7"/>
      <c r="U507" s="5"/>
      <c r="V507" s="6"/>
      <c r="W507" s="6"/>
      <c r="X507" s="7"/>
      <c r="Z507" s="3"/>
      <c r="AA507" s="3"/>
    </row>
    <row r="508" spans="1:27" x14ac:dyDescent="0.25">
      <c r="A508" s="5"/>
      <c r="B508" s="6"/>
      <c r="C508" s="6"/>
      <c r="D508" s="7"/>
      <c r="F508" s="5"/>
      <c r="G508" s="6"/>
      <c r="H508" s="6"/>
      <c r="I508" s="7"/>
      <c r="K508" s="5"/>
      <c r="L508" s="6"/>
      <c r="M508" s="6"/>
      <c r="N508" s="7"/>
      <c r="P508" s="5"/>
      <c r="Q508" s="6"/>
      <c r="R508" s="6"/>
      <c r="S508" s="7"/>
      <c r="U508" s="5"/>
      <c r="V508" s="6"/>
      <c r="W508" s="6"/>
      <c r="X508" s="7"/>
      <c r="Z508" s="3"/>
      <c r="AA508" s="3"/>
    </row>
    <row r="509" spans="1:27" x14ac:dyDescent="0.25">
      <c r="A509" s="5"/>
      <c r="B509" s="6"/>
      <c r="C509" s="6"/>
      <c r="D509" s="7"/>
      <c r="F509" s="5"/>
      <c r="G509" s="6"/>
      <c r="H509" s="6"/>
      <c r="I509" s="7"/>
      <c r="K509" s="5"/>
      <c r="L509" s="6"/>
      <c r="M509" s="6"/>
      <c r="N509" s="7"/>
      <c r="P509" s="5"/>
      <c r="Q509" s="6"/>
      <c r="R509" s="6"/>
      <c r="S509" s="7"/>
      <c r="U509" s="5"/>
      <c r="V509" s="6"/>
      <c r="W509" s="6"/>
      <c r="X509" s="7"/>
      <c r="Z509" s="3"/>
      <c r="AA509" s="3"/>
    </row>
    <row r="510" spans="1:27" ht="13.8" thickBot="1" x14ac:dyDescent="0.3">
      <c r="A510" s="9"/>
      <c r="B510" s="10">
        <f ca="1">(A221*A246)*0.03</f>
        <v>5761.2037237207724</v>
      </c>
      <c r="C510" s="10">
        <f ca="1">(B221*B246)*0.03</f>
        <v>5074.5587301978885</v>
      </c>
      <c r="D510" s="11">
        <f ca="1">(C221*C246)*0.03</f>
        <v>3378.8748730948228</v>
      </c>
      <c r="F510" s="9"/>
      <c r="G510" s="10">
        <f ca="1">(F221*F246)*0.03</f>
        <v>5399.3803448538692</v>
      </c>
      <c r="H510" s="10">
        <f ca="1">(G221*G246)*0.03</f>
        <v>4092.9456553029358</v>
      </c>
      <c r="I510" s="11">
        <f ca="1">(H221*H246)*0.03</f>
        <v>3001.3278213211697</v>
      </c>
      <c r="K510" s="9"/>
      <c r="L510" s="10">
        <f ca="1">(K221*K246)*0.03</f>
        <v>6074.8533960422619</v>
      </c>
      <c r="M510" s="10">
        <f ca="1">(L221*L246)*0.03</f>
        <v>3504.9771500916422</v>
      </c>
      <c r="N510" s="11">
        <f ca="1">(M221*M246)*0.03</f>
        <v>2815.2540850731593</v>
      </c>
      <c r="P510" s="9"/>
      <c r="Q510" s="10">
        <f ca="1">(P221*P246)*0.03</f>
        <v>7005.7506765289827</v>
      </c>
      <c r="R510" s="10">
        <f ca="1">(Q221*Q246)*0.03</f>
        <v>4345.6050710323616</v>
      </c>
      <c r="S510" s="11">
        <f ca="1">(R221*R246)*0.03</f>
        <v>3227.0364199267156</v>
      </c>
      <c r="U510" s="9"/>
      <c r="V510" s="10">
        <f ca="1">(U221*U246)*0.03</f>
        <v>6723.5604418600597</v>
      </c>
      <c r="W510" s="10">
        <f ca="1">(V221*V246)*0.03</f>
        <v>4169.3502100529249</v>
      </c>
      <c r="X510" s="11">
        <f ca="1">(W221*W246)*0.03</f>
        <v>2806.8258503856109</v>
      </c>
      <c r="Z510" s="3"/>
      <c r="AA510" s="3"/>
    </row>
    <row r="511" spans="1:27" x14ac:dyDescent="0.25">
      <c r="A511" s="5"/>
      <c r="B511" s="6"/>
      <c r="C511" s="6"/>
      <c r="D511" s="7"/>
      <c r="F511" s="5"/>
      <c r="G511" s="6"/>
      <c r="H511" s="6"/>
      <c r="I511" s="7"/>
      <c r="K511" s="5"/>
      <c r="L511" s="6"/>
      <c r="M511" s="6"/>
      <c r="N511" s="7"/>
      <c r="P511" s="5"/>
      <c r="Q511" s="6"/>
      <c r="R511" s="6"/>
      <c r="S511" s="7"/>
      <c r="U511" s="5"/>
      <c r="V511" s="6"/>
      <c r="W511" s="6"/>
      <c r="X511" s="7"/>
      <c r="Z511" s="3"/>
      <c r="AA511" s="3"/>
    </row>
    <row r="512" spans="1:27" x14ac:dyDescent="0.25">
      <c r="A512" s="5"/>
      <c r="B512" s="6">
        <f t="shared" ref="B512:D513" ca="1" si="69">(A219*A244)*$D$128</f>
        <v>27198.464477071939</v>
      </c>
      <c r="C512" s="6">
        <f t="shared" ca="1" si="69"/>
        <v>26847.397980885515</v>
      </c>
      <c r="D512" s="7">
        <f t="shared" ca="1" si="69"/>
        <v>16174.469485724432</v>
      </c>
      <c r="F512" s="5"/>
      <c r="G512" s="6">
        <f t="shared" ref="G512:I513" ca="1" si="70">(F219*F244)*$I$128</f>
        <v>32312.635719753511</v>
      </c>
      <c r="H512" s="6">
        <f t="shared" ca="1" si="70"/>
        <v>27875.834966149247</v>
      </c>
      <c r="I512" s="7">
        <f t="shared" ca="1" si="70"/>
        <v>15880.683450070585</v>
      </c>
      <c r="K512" s="5"/>
      <c r="L512" s="6">
        <f t="shared" ref="L512:N513" ca="1" si="71">(K219*K244)*$N$128</f>
        <v>40321.608141099925</v>
      </c>
      <c r="M512" s="6">
        <f t="shared" ca="1" si="71"/>
        <v>29487.742538423478</v>
      </c>
      <c r="N512" s="7">
        <f t="shared" ca="1" si="71"/>
        <v>18157.912652874351</v>
      </c>
      <c r="P512" s="5"/>
      <c r="Q512" s="6">
        <f t="shared" ref="Q512:S513" ca="1" si="72">(P219*P244)*$S$128</f>
        <v>44789.504326823735</v>
      </c>
      <c r="R512" s="6">
        <f t="shared" ca="1" si="72"/>
        <v>37466.612342558823</v>
      </c>
      <c r="S512" s="7">
        <f t="shared" ca="1" si="72"/>
        <v>20689.243435081145</v>
      </c>
      <c r="U512" s="5"/>
      <c r="V512" s="6">
        <f t="shared" ref="V512:X513" ca="1" si="73">(U219*U244)*$X$128</f>
        <v>38863.448284840582</v>
      </c>
      <c r="W512" s="6">
        <f t="shared" ca="1" si="73"/>
        <v>29718.886636110608</v>
      </c>
      <c r="X512" s="7">
        <f t="shared" ca="1" si="73"/>
        <v>14623.246368766653</v>
      </c>
      <c r="Z512" s="3"/>
      <c r="AA512" s="3"/>
    </row>
    <row r="513" spans="1:27" x14ac:dyDescent="0.25">
      <c r="A513" s="5"/>
      <c r="B513" s="6">
        <f t="shared" ca="1" si="69"/>
        <v>7476.7244212860887</v>
      </c>
      <c r="C513" s="6">
        <f t="shared" ca="1" si="69"/>
        <v>8170.7044367924955</v>
      </c>
      <c r="D513" s="7">
        <f t="shared" ca="1" si="69"/>
        <v>4595.3302752297877</v>
      </c>
      <c r="F513" s="5"/>
      <c r="G513" s="6">
        <f t="shared" ca="1" si="70"/>
        <v>19172.873207264754</v>
      </c>
      <c r="H513" s="6">
        <f t="shared" ca="1" si="70"/>
        <v>17554.972618177995</v>
      </c>
      <c r="I513" s="7">
        <f t="shared" ca="1" si="70"/>
        <v>10783.813013095654</v>
      </c>
      <c r="K513" s="5"/>
      <c r="L513" s="6">
        <f t="shared" ca="1" si="71"/>
        <v>24636.690798488493</v>
      </c>
      <c r="M513" s="6">
        <f t="shared" ca="1" si="71"/>
        <v>18346.011167249919</v>
      </c>
      <c r="N513" s="7">
        <f t="shared" ca="1" si="71"/>
        <v>13240.643875213722</v>
      </c>
      <c r="P513" s="5"/>
      <c r="Q513" s="6">
        <f t="shared" ca="1" si="72"/>
        <v>23101.887918279717</v>
      </c>
      <c r="R513" s="6">
        <f t="shared" ca="1" si="72"/>
        <v>22773.274795272257</v>
      </c>
      <c r="S513" s="7">
        <f t="shared" ca="1" si="72"/>
        <v>14370.012519182161</v>
      </c>
      <c r="U513" s="5"/>
      <c r="V513" s="6">
        <f t="shared" ca="1" si="73"/>
        <v>22564.261490282715</v>
      </c>
      <c r="W513" s="6">
        <f t="shared" ca="1" si="73"/>
        <v>20002.536064237585</v>
      </c>
      <c r="X513" s="7">
        <f t="shared" ca="1" si="73"/>
        <v>11422.947918684971</v>
      </c>
      <c r="Z513" s="3"/>
      <c r="AA513" s="3"/>
    </row>
    <row r="514" spans="1:27" ht="13.8" thickBot="1" x14ac:dyDescent="0.3">
      <c r="A514" s="9"/>
      <c r="B514" s="10"/>
      <c r="C514" s="10"/>
      <c r="D514" s="11"/>
      <c r="F514" s="9"/>
      <c r="G514" s="10"/>
      <c r="H514" s="10"/>
      <c r="I514" s="11"/>
      <c r="K514" s="9"/>
      <c r="L514" s="10"/>
      <c r="M514" s="10"/>
      <c r="N514" s="11"/>
      <c r="P514" s="9"/>
      <c r="Q514" s="10"/>
      <c r="R514" s="10"/>
      <c r="S514" s="11"/>
      <c r="U514" s="9"/>
      <c r="V514" s="10"/>
      <c r="W514" s="10"/>
      <c r="X514" s="11"/>
      <c r="Z514" s="3"/>
      <c r="AA514" s="3"/>
    </row>
    <row r="515" spans="1:27" x14ac:dyDescent="0.25">
      <c r="A515" s="5"/>
      <c r="B515" s="6"/>
      <c r="C515" s="6"/>
      <c r="D515" s="7"/>
      <c r="F515" s="5"/>
      <c r="G515" s="6"/>
      <c r="H515" s="6"/>
      <c r="I515" s="7"/>
      <c r="K515" s="5"/>
      <c r="L515" s="6"/>
      <c r="M515" s="6"/>
      <c r="N515" s="7"/>
      <c r="P515" s="5"/>
      <c r="Q515" s="6"/>
      <c r="R515" s="6"/>
      <c r="S515" s="7"/>
      <c r="U515" s="5"/>
      <c r="V515" s="6"/>
      <c r="W515" s="6"/>
      <c r="X515" s="7"/>
      <c r="Z515" s="3"/>
      <c r="AA515" s="3"/>
    </row>
    <row r="516" spans="1:27" x14ac:dyDescent="0.25">
      <c r="A516" s="5"/>
      <c r="B516" s="6"/>
      <c r="C516" s="6"/>
      <c r="D516" s="7"/>
      <c r="F516" s="5"/>
      <c r="G516" s="6"/>
      <c r="H516" s="6"/>
      <c r="I516" s="7"/>
      <c r="K516" s="5"/>
      <c r="L516" s="6"/>
      <c r="M516" s="6"/>
      <c r="N516" s="7"/>
      <c r="P516" s="5"/>
      <c r="Q516" s="6"/>
      <c r="R516" s="6"/>
      <c r="S516" s="7"/>
      <c r="U516" s="5"/>
      <c r="V516" s="6"/>
      <c r="W516" s="6"/>
      <c r="X516" s="7"/>
      <c r="Z516" s="3"/>
      <c r="AA516" s="3"/>
    </row>
    <row r="517" spans="1:27" x14ac:dyDescent="0.25">
      <c r="A517" s="5"/>
      <c r="B517" s="6"/>
      <c r="C517" s="6"/>
      <c r="D517" s="7"/>
      <c r="F517" s="5"/>
      <c r="G517" s="6"/>
      <c r="H517" s="6"/>
      <c r="I517" s="7"/>
      <c r="K517" s="5"/>
      <c r="L517" s="6"/>
      <c r="M517" s="6"/>
      <c r="N517" s="7"/>
      <c r="P517" s="5"/>
      <c r="Q517" s="6"/>
      <c r="R517" s="6"/>
      <c r="S517" s="7"/>
      <c r="U517" s="5"/>
      <c r="V517" s="6"/>
      <c r="W517" s="6"/>
      <c r="X517" s="7"/>
      <c r="Z517" s="3"/>
      <c r="AA517" s="3"/>
    </row>
    <row r="518" spans="1:27" ht="13.8" thickBot="1" x14ac:dyDescent="0.3">
      <c r="A518" s="9"/>
      <c r="B518" s="10"/>
      <c r="C518" s="10"/>
      <c r="D518" s="11"/>
      <c r="F518" s="9"/>
      <c r="G518" s="10"/>
      <c r="H518" s="10"/>
      <c r="I518" s="11"/>
      <c r="K518" s="9"/>
      <c r="L518" s="10"/>
      <c r="M518" s="10"/>
      <c r="N518" s="11"/>
      <c r="P518" s="9"/>
      <c r="Q518" s="10"/>
      <c r="R518" s="10"/>
      <c r="S518" s="11"/>
      <c r="U518" s="9"/>
      <c r="V518" s="10"/>
      <c r="W518" s="10"/>
      <c r="X518" s="11"/>
      <c r="Z518" s="3"/>
      <c r="AA518" s="3"/>
    </row>
    <row r="519" spans="1:27" x14ac:dyDescent="0.25">
      <c r="A519" s="5"/>
      <c r="B519" s="6"/>
      <c r="C519" s="6"/>
      <c r="D519" s="7"/>
      <c r="F519" s="5"/>
      <c r="G519" s="6"/>
      <c r="H519" s="6"/>
      <c r="I519" s="7"/>
      <c r="K519" s="5"/>
      <c r="L519" s="6"/>
      <c r="M519" s="6"/>
      <c r="N519" s="7"/>
      <c r="P519" s="5"/>
      <c r="Q519" s="6"/>
      <c r="R519" s="6"/>
      <c r="S519" s="7"/>
      <c r="U519" s="5"/>
      <c r="V519" s="6"/>
      <c r="W519" s="6"/>
      <c r="X519" s="7"/>
      <c r="Z519" s="3"/>
      <c r="AA519" s="3"/>
    </row>
    <row r="520" spans="1:27" x14ac:dyDescent="0.25">
      <c r="A520" s="5"/>
      <c r="B520" s="6"/>
      <c r="C520" s="6"/>
      <c r="D520" s="7"/>
      <c r="F520" s="5"/>
      <c r="G520" s="6"/>
      <c r="H520" s="6"/>
      <c r="I520" s="7"/>
      <c r="K520" s="5"/>
      <c r="L520" s="6"/>
      <c r="M520" s="6"/>
      <c r="N520" s="7"/>
      <c r="P520" s="5"/>
      <c r="Q520" s="6"/>
      <c r="R520" s="6"/>
      <c r="S520" s="7"/>
      <c r="U520" s="5"/>
      <c r="V520" s="6"/>
      <c r="W520" s="6"/>
      <c r="X520" s="7"/>
      <c r="Z520" s="3"/>
      <c r="AA520" s="3"/>
    </row>
    <row r="521" spans="1:27" x14ac:dyDescent="0.25">
      <c r="A521" s="5"/>
      <c r="B521" s="6"/>
      <c r="C521" s="6"/>
      <c r="D521" s="7"/>
      <c r="F521" s="5"/>
      <c r="G521" s="6"/>
      <c r="H521" s="6"/>
      <c r="I521" s="7"/>
      <c r="K521" s="5"/>
      <c r="L521" s="6"/>
      <c r="M521" s="6"/>
      <c r="N521" s="7"/>
      <c r="P521" s="5"/>
      <c r="Q521" s="6"/>
      <c r="R521" s="6"/>
      <c r="S521" s="7"/>
      <c r="U521" s="5"/>
      <c r="V521" s="6"/>
      <c r="W521" s="6"/>
      <c r="X521" s="7"/>
      <c r="Z521" s="3"/>
      <c r="AA521" s="3"/>
    </row>
    <row r="522" spans="1:27" ht="13.8" thickBot="1" x14ac:dyDescent="0.3">
      <c r="A522" s="9"/>
      <c r="B522" s="10"/>
      <c r="C522" s="10"/>
      <c r="D522" s="11"/>
      <c r="F522" s="9"/>
      <c r="G522" s="10"/>
      <c r="H522" s="10"/>
      <c r="I522" s="11"/>
      <c r="K522" s="9"/>
      <c r="L522" s="10"/>
      <c r="M522" s="10"/>
      <c r="N522" s="11"/>
      <c r="P522" s="9"/>
      <c r="Q522" s="10"/>
      <c r="R522" s="10"/>
      <c r="S522" s="11"/>
      <c r="U522" s="9"/>
      <c r="V522" s="10"/>
      <c r="W522" s="10"/>
      <c r="X522" s="11"/>
      <c r="Z522" s="3"/>
      <c r="AA522" s="3"/>
    </row>
    <row r="523" spans="1:27" x14ac:dyDescent="0.25">
      <c r="A523" s="5"/>
      <c r="B523" s="6"/>
      <c r="C523" s="6"/>
      <c r="D523" s="7"/>
      <c r="F523" s="5"/>
      <c r="G523" s="6"/>
      <c r="H523" s="6"/>
      <c r="I523" s="7"/>
      <c r="K523" s="5"/>
      <c r="L523" s="6"/>
      <c r="M523" s="6"/>
      <c r="N523" s="7"/>
      <c r="P523" s="5"/>
      <c r="Q523" s="6"/>
      <c r="R523" s="6"/>
      <c r="S523" s="7"/>
      <c r="U523" s="5"/>
      <c r="V523" s="6"/>
      <c r="W523" s="6"/>
      <c r="X523" s="7"/>
    </row>
    <row r="524" spans="1:27" x14ac:dyDescent="0.25">
      <c r="A524" s="5">
        <f ca="1">CEILING(E102,1)*CEILING('52'!M36/400,1)*650</f>
        <v>18200</v>
      </c>
      <c r="B524" s="6"/>
      <c r="C524" s="6"/>
      <c r="D524" s="7"/>
      <c r="F524" s="5">
        <f ca="1">CEILING(J102,1)*CEILING('62'!M36/400,1)*650</f>
        <v>20800</v>
      </c>
      <c r="G524" s="6"/>
      <c r="H524" s="6"/>
      <c r="I524" s="7"/>
      <c r="K524" s="5">
        <f ca="1">CEILING(O102,1)*CEILING('72'!M36/400,1)*650</f>
        <v>23400</v>
      </c>
      <c r="L524" s="6"/>
      <c r="M524" s="6"/>
      <c r="N524" s="7"/>
      <c r="P524" s="5">
        <f ca="1">CEILING(T102,1)*CEILING('82'!M36/400,1)*650</f>
        <v>26000</v>
      </c>
      <c r="Q524" s="6"/>
      <c r="R524" s="6"/>
      <c r="S524" s="7"/>
      <c r="U524" s="5">
        <f ca="1">CEILING(Y102,1)*CEILING('92'!M36/400,1)*650</f>
        <v>0</v>
      </c>
      <c r="V524" s="6"/>
      <c r="W524" s="6"/>
      <c r="X524" s="7"/>
    </row>
    <row r="525" spans="1:27" x14ac:dyDescent="0.25">
      <c r="A525" s="5">
        <f ca="1">CEILING(E103,1)*CEILING('52'!N36/400,1)*650+CEILING(E103,1)*8000</f>
        <v>18600</v>
      </c>
      <c r="B525" s="6"/>
      <c r="C525" s="6"/>
      <c r="D525" s="7"/>
      <c r="F525" s="5">
        <f ca="1">CEILING(J103,1)*CEILING('62'!N36/400,1)*650+CEILING(J103,1)*8000</f>
        <v>46500</v>
      </c>
      <c r="G525" s="6"/>
      <c r="H525" s="6"/>
      <c r="I525" s="7"/>
      <c r="K525" s="5">
        <f ca="1">CEILING(O103,1)*CEILING('72'!N36/400,1)*650+CEILING(O103,1)*8000</f>
        <v>55800</v>
      </c>
      <c r="L525" s="6"/>
      <c r="M525" s="6"/>
      <c r="N525" s="7"/>
      <c r="P525" s="5">
        <f ca="1">CEILING(T103,1)*CEILING('82'!N36/400,1)*650+CEILING(T103,1)*8000</f>
        <v>65100</v>
      </c>
      <c r="Q525" s="6"/>
      <c r="R525" s="6"/>
      <c r="S525" s="7"/>
      <c r="U525" s="5">
        <f ca="1">CEILING(Y103,1)*CEILING('92'!N36/400,1)*650+CEILING(Y103,1)*8000</f>
        <v>48000</v>
      </c>
      <c r="V525" s="6"/>
      <c r="W525" s="6"/>
      <c r="X525" s="7"/>
    </row>
    <row r="526" spans="1:27" ht="13.8" thickBot="1" x14ac:dyDescent="0.3">
      <c r="A526" s="9">
        <f ca="1">CEILING(E104,1)*CEILING('52'!O36/400,1)*650</f>
        <v>2600</v>
      </c>
      <c r="B526" s="10"/>
      <c r="C526" s="10"/>
      <c r="D526" s="11"/>
      <c r="F526" s="9">
        <f ca="1">CEILING(J104,1)*CEILING('62'!O36/400,1)*650</f>
        <v>1950</v>
      </c>
      <c r="G526" s="10"/>
      <c r="H526" s="10"/>
      <c r="I526" s="11"/>
      <c r="K526" s="9">
        <f ca="1">CEILING(O104,1)*CEILING('72'!O36/400,1)*650</f>
        <v>1950</v>
      </c>
      <c r="L526" s="10"/>
      <c r="M526" s="10"/>
      <c r="N526" s="11"/>
      <c r="P526" s="9">
        <f ca="1">CEILING(T104,1)*CEILING('82'!O36/400,1)*650</f>
        <v>1950</v>
      </c>
      <c r="Q526" s="10"/>
      <c r="R526" s="10"/>
      <c r="S526" s="11"/>
      <c r="U526" s="9">
        <f ca="1">CEILING(Y104,1)*CEILING('92'!O36/400,1)*650</f>
        <v>0</v>
      </c>
      <c r="V526" s="10"/>
      <c r="W526" s="10"/>
      <c r="X526" s="11"/>
    </row>
    <row r="527" spans="1:27" x14ac:dyDescent="0.25">
      <c r="A527" s="5"/>
      <c r="B527" s="6"/>
      <c r="C527" s="6"/>
      <c r="D527" s="7"/>
      <c r="F527" s="5"/>
      <c r="G527" s="6"/>
      <c r="H527" s="6"/>
      <c r="I527" s="7"/>
      <c r="K527" s="5"/>
      <c r="L527" s="6"/>
      <c r="M527" s="6"/>
      <c r="N527" s="7"/>
      <c r="P527" s="5"/>
      <c r="Q527" s="6"/>
      <c r="R527" s="6"/>
      <c r="S527" s="7"/>
      <c r="U527" s="5"/>
      <c r="V527" s="6"/>
      <c r="W527" s="6"/>
      <c r="X527" s="7"/>
    </row>
    <row r="528" spans="1:27" x14ac:dyDescent="0.25">
      <c r="A528" s="5"/>
      <c r="B528" s="6"/>
      <c r="C528" s="6"/>
      <c r="D528" s="7"/>
      <c r="F528" s="5"/>
      <c r="G528" s="6"/>
      <c r="H528" s="6"/>
      <c r="I528" s="7"/>
      <c r="K528" s="5"/>
      <c r="L528" s="6"/>
      <c r="M528" s="6"/>
      <c r="N528" s="7"/>
      <c r="P528" s="5"/>
      <c r="Q528" s="6"/>
      <c r="R528" s="6"/>
      <c r="S528" s="7"/>
      <c r="U528" s="5"/>
      <c r="V528" s="6"/>
      <c r="W528" s="6"/>
      <c r="X528" s="7"/>
    </row>
    <row r="529" spans="1:24" x14ac:dyDescent="0.25">
      <c r="A529" s="5"/>
      <c r="B529" s="6"/>
      <c r="C529" s="6"/>
      <c r="D529" s="7"/>
      <c r="F529" s="5"/>
      <c r="G529" s="6"/>
      <c r="H529" s="6"/>
      <c r="I529" s="7"/>
      <c r="K529" s="5"/>
      <c r="L529" s="6"/>
      <c r="M529" s="6"/>
      <c r="N529" s="7"/>
      <c r="P529" s="5"/>
      <c r="Q529" s="6"/>
      <c r="R529" s="6"/>
      <c r="S529" s="7"/>
      <c r="U529" s="5"/>
      <c r="V529" s="6"/>
      <c r="W529" s="6"/>
      <c r="X529" s="7"/>
    </row>
    <row r="530" spans="1:24" ht="13.8" thickBot="1" x14ac:dyDescent="0.3">
      <c r="A530" s="9"/>
      <c r="B530" s="10"/>
      <c r="C530" s="10"/>
      <c r="D530" s="11"/>
      <c r="F530" s="9"/>
      <c r="G530" s="10"/>
      <c r="H530" s="10"/>
      <c r="I530" s="11"/>
      <c r="K530" s="9"/>
      <c r="L530" s="10"/>
      <c r="M530" s="10"/>
      <c r="N530" s="11"/>
      <c r="P530" s="9"/>
      <c r="Q530" s="10"/>
      <c r="R530" s="10"/>
      <c r="S530" s="11"/>
      <c r="U530" s="9"/>
      <c r="V530" s="10"/>
      <c r="W530" s="10"/>
      <c r="X530" s="11"/>
    </row>
    <row r="531" spans="1:24" x14ac:dyDescent="0.25">
      <c r="A531" s="5"/>
      <c r="B531" s="6"/>
      <c r="C531" s="6"/>
      <c r="D531" s="7"/>
      <c r="F531" s="5"/>
      <c r="G531" s="6"/>
      <c r="H531" s="6"/>
      <c r="I531" s="7"/>
      <c r="K531" s="5"/>
      <c r="L531" s="6"/>
      <c r="M531" s="6"/>
      <c r="N531" s="7"/>
      <c r="P531" s="5"/>
      <c r="Q531" s="6"/>
      <c r="R531" s="6"/>
      <c r="S531" s="7"/>
      <c r="U531" s="5"/>
      <c r="V531" s="6"/>
      <c r="W531" s="6"/>
      <c r="X531" s="7"/>
    </row>
    <row r="532" spans="1:24" x14ac:dyDescent="0.25">
      <c r="A532" s="5"/>
      <c r="B532" s="6"/>
      <c r="C532" s="6"/>
      <c r="D532" s="7"/>
      <c r="F532" s="5"/>
      <c r="G532" s="6"/>
      <c r="H532" s="6"/>
      <c r="I532" s="7"/>
      <c r="K532" s="5"/>
      <c r="L532" s="6"/>
      <c r="M532" s="6"/>
      <c r="N532" s="7"/>
      <c r="P532" s="5"/>
      <c r="Q532" s="6"/>
      <c r="R532" s="6"/>
      <c r="S532" s="7"/>
      <c r="U532" s="5"/>
      <c r="V532" s="6"/>
      <c r="W532" s="6"/>
      <c r="X532" s="7"/>
    </row>
    <row r="533" spans="1:24" x14ac:dyDescent="0.25">
      <c r="A533" s="5"/>
      <c r="B533" s="6"/>
      <c r="C533" s="6"/>
      <c r="D533" s="7"/>
      <c r="F533" s="5"/>
      <c r="G533" s="6"/>
      <c r="H533" s="6"/>
      <c r="I533" s="7"/>
      <c r="K533" s="5"/>
      <c r="L533" s="6"/>
      <c r="M533" s="6"/>
      <c r="N533" s="7"/>
      <c r="P533" s="5"/>
      <c r="Q533" s="6"/>
      <c r="R533" s="6"/>
      <c r="S533" s="7"/>
      <c r="U533" s="5"/>
      <c r="V533" s="6"/>
      <c r="W533" s="6"/>
      <c r="X533" s="7"/>
    </row>
    <row r="534" spans="1:24" ht="13.8" thickBot="1" x14ac:dyDescent="0.3">
      <c r="A534" s="9"/>
      <c r="B534" s="10"/>
      <c r="C534" s="10"/>
      <c r="D534" s="11"/>
      <c r="F534" s="9"/>
      <c r="G534" s="10"/>
      <c r="H534" s="10"/>
      <c r="I534" s="11"/>
      <c r="K534" s="9"/>
      <c r="L534" s="10"/>
      <c r="M534" s="10"/>
      <c r="N534" s="11"/>
      <c r="P534" s="9"/>
      <c r="Q534" s="10"/>
      <c r="R534" s="10"/>
      <c r="S534" s="11"/>
      <c r="U534" s="9"/>
      <c r="V534" s="10"/>
      <c r="W534" s="10"/>
      <c r="X534" s="11"/>
    </row>
    <row r="535" spans="1:24" x14ac:dyDescent="0.25">
      <c r="A535" s="5"/>
      <c r="B535" s="6"/>
      <c r="C535" s="6"/>
      <c r="D535" s="7"/>
      <c r="F535" s="5"/>
      <c r="G535" s="6"/>
      <c r="H535" s="6"/>
      <c r="I535" s="7"/>
      <c r="K535" s="5"/>
      <c r="L535" s="6"/>
      <c r="M535" s="6"/>
      <c r="N535" s="7"/>
      <c r="P535" s="5"/>
      <c r="Q535" s="6"/>
      <c r="R535" s="6"/>
      <c r="S535" s="7"/>
      <c r="U535" s="5"/>
      <c r="V535" s="6"/>
      <c r="W535" s="6"/>
      <c r="X535" s="7"/>
    </row>
    <row r="536" spans="1:24" x14ac:dyDescent="0.25">
      <c r="A536" s="5"/>
      <c r="B536" s="6"/>
      <c r="C536" s="6"/>
      <c r="D536" s="7"/>
      <c r="F536" s="5"/>
      <c r="G536" s="6"/>
      <c r="H536" s="6"/>
      <c r="I536" s="7"/>
      <c r="K536" s="5"/>
      <c r="L536" s="6"/>
      <c r="M536" s="6"/>
      <c r="N536" s="7"/>
      <c r="P536" s="5"/>
      <c r="Q536" s="6"/>
      <c r="R536" s="6"/>
      <c r="S536" s="7"/>
      <c r="U536" s="5"/>
      <c r="V536" s="6"/>
      <c r="W536" s="6"/>
      <c r="X536" s="7"/>
    </row>
    <row r="537" spans="1:24" x14ac:dyDescent="0.25">
      <c r="A537" s="5"/>
      <c r="B537" s="6"/>
      <c r="C537" s="6"/>
      <c r="D537" s="7"/>
      <c r="F537" s="5"/>
      <c r="G537" s="6"/>
      <c r="H537" s="6"/>
      <c r="I537" s="7"/>
      <c r="K537" s="5"/>
      <c r="L537" s="6"/>
      <c r="M537" s="6"/>
      <c r="N537" s="7"/>
      <c r="P537" s="5"/>
      <c r="Q537" s="6"/>
      <c r="R537" s="6"/>
      <c r="S537" s="7"/>
      <c r="U537" s="5"/>
      <c r="V537" s="6"/>
      <c r="W537" s="6"/>
      <c r="X537" s="7"/>
    </row>
    <row r="538" spans="1:24" ht="13.8" thickBot="1" x14ac:dyDescent="0.3">
      <c r="A538" s="9"/>
      <c r="B538" s="10"/>
      <c r="C538" s="10"/>
      <c r="D538" s="11"/>
      <c r="F538" s="9"/>
      <c r="G538" s="10"/>
      <c r="H538" s="10"/>
      <c r="I538" s="11"/>
      <c r="K538" s="9"/>
      <c r="L538" s="10"/>
      <c r="M538" s="10"/>
      <c r="N538" s="11"/>
      <c r="P538" s="9"/>
      <c r="Q538" s="10"/>
      <c r="R538" s="10"/>
      <c r="S538" s="11"/>
      <c r="U538" s="9"/>
      <c r="V538" s="10"/>
      <c r="W538" s="10"/>
      <c r="X538" s="11"/>
    </row>
    <row r="539" spans="1:24" x14ac:dyDescent="0.25">
      <c r="A539" s="5"/>
      <c r="B539" s="6"/>
      <c r="C539" s="6"/>
      <c r="D539" s="7"/>
      <c r="F539" s="5"/>
      <c r="G539" s="6"/>
      <c r="H539" s="6"/>
      <c r="I539" s="7"/>
      <c r="K539" s="5"/>
      <c r="L539" s="6"/>
      <c r="M539" s="6"/>
      <c r="N539" s="7"/>
      <c r="P539" s="5"/>
      <c r="Q539" s="6"/>
      <c r="R539" s="6"/>
      <c r="S539" s="7"/>
      <c r="U539" s="5"/>
      <c r="V539" s="6"/>
      <c r="W539" s="6"/>
      <c r="X539" s="7"/>
    </row>
    <row r="540" spans="1:24" x14ac:dyDescent="0.25">
      <c r="A540" s="5"/>
      <c r="B540" s="6"/>
      <c r="C540" s="6"/>
      <c r="D540" s="7"/>
      <c r="F540" s="5"/>
      <c r="G540" s="6"/>
      <c r="H540" s="6"/>
      <c r="I540" s="7"/>
      <c r="K540" s="5"/>
      <c r="L540" s="6"/>
      <c r="M540" s="6"/>
      <c r="N540" s="7"/>
      <c r="P540" s="5"/>
      <c r="Q540" s="6"/>
      <c r="R540" s="6"/>
      <c r="S540" s="7"/>
      <c r="U540" s="5"/>
      <c r="V540" s="6"/>
      <c r="W540" s="6"/>
      <c r="X540" s="7"/>
    </row>
    <row r="541" spans="1:24" x14ac:dyDescent="0.25">
      <c r="A541" s="5"/>
      <c r="B541" s="6"/>
      <c r="C541" s="6"/>
      <c r="D541" s="7"/>
      <c r="F541" s="5"/>
      <c r="G541" s="6"/>
      <c r="H541" s="6"/>
      <c r="I541" s="7"/>
      <c r="K541" s="5"/>
      <c r="L541" s="6"/>
      <c r="M541" s="6"/>
      <c r="N541" s="7"/>
      <c r="P541" s="5"/>
      <c r="Q541" s="6"/>
      <c r="R541" s="6"/>
      <c r="S541" s="7"/>
      <c r="U541" s="5"/>
      <c r="V541" s="6"/>
      <c r="W541" s="6"/>
      <c r="X541" s="7"/>
    </row>
    <row r="542" spans="1:24" ht="13.8" thickBot="1" x14ac:dyDescent="0.3">
      <c r="A542" s="9"/>
      <c r="B542" s="10"/>
      <c r="C542" s="10"/>
      <c r="D542" s="11"/>
      <c r="F542" s="9"/>
      <c r="G542" s="10"/>
      <c r="H542" s="10"/>
      <c r="I542" s="11"/>
      <c r="K542" s="9"/>
      <c r="L542" s="10"/>
      <c r="M542" s="10"/>
      <c r="N542" s="11"/>
      <c r="P542" s="9"/>
      <c r="Q542" s="10"/>
      <c r="R542" s="10"/>
      <c r="S542" s="11"/>
      <c r="U542" s="9"/>
      <c r="V542" s="10"/>
      <c r="W542" s="10"/>
      <c r="X542" s="11"/>
    </row>
    <row r="543" spans="1:24" x14ac:dyDescent="0.25">
      <c r="A543" s="5"/>
      <c r="B543" s="6"/>
      <c r="C543" s="6"/>
      <c r="D543" s="7"/>
      <c r="F543" s="5"/>
      <c r="G543" s="6"/>
      <c r="H543" s="6"/>
      <c r="I543" s="7"/>
      <c r="K543" s="5"/>
      <c r="L543" s="6"/>
      <c r="M543" s="6"/>
      <c r="N543" s="7"/>
      <c r="P543" s="5"/>
      <c r="Q543" s="6"/>
      <c r="R543" s="6"/>
      <c r="S543" s="7"/>
      <c r="U543" s="5"/>
      <c r="V543" s="6"/>
      <c r="W543" s="6"/>
      <c r="X543" s="7"/>
    </row>
    <row r="544" spans="1:24" x14ac:dyDescent="0.25">
      <c r="A544" s="5"/>
      <c r="B544" s="6"/>
      <c r="C544" s="6"/>
      <c r="D544" s="7"/>
      <c r="F544" s="5"/>
      <c r="G544" s="6"/>
      <c r="H544" s="6"/>
      <c r="I544" s="7"/>
      <c r="K544" s="5"/>
      <c r="L544" s="6"/>
      <c r="M544" s="6"/>
      <c r="N544" s="7"/>
      <c r="P544" s="5"/>
      <c r="Q544" s="6"/>
      <c r="R544" s="6"/>
      <c r="S544" s="7"/>
      <c r="U544" s="5"/>
      <c r="V544" s="6"/>
      <c r="W544" s="6"/>
      <c r="X544" s="7"/>
    </row>
    <row r="545" spans="1:24" x14ac:dyDescent="0.25">
      <c r="A545" s="5"/>
      <c r="B545" s="6"/>
      <c r="C545" s="6"/>
      <c r="D545" s="7"/>
      <c r="F545" s="5"/>
      <c r="G545" s="6"/>
      <c r="H545" s="6"/>
      <c r="I545" s="7"/>
      <c r="K545" s="5"/>
      <c r="L545" s="6"/>
      <c r="M545" s="6"/>
      <c r="N545" s="7"/>
      <c r="P545" s="5"/>
      <c r="Q545" s="6"/>
      <c r="R545" s="6"/>
      <c r="S545" s="7"/>
      <c r="U545" s="5"/>
      <c r="V545" s="6"/>
      <c r="W545" s="6"/>
      <c r="X545" s="7"/>
    </row>
    <row r="546" spans="1:24" ht="13.8" thickBot="1" x14ac:dyDescent="0.3">
      <c r="A546" s="9"/>
      <c r="B546" s="10"/>
      <c r="C546" s="10"/>
      <c r="D546" s="11"/>
      <c r="F546" s="9"/>
      <c r="G546" s="10"/>
      <c r="H546" s="10"/>
      <c r="I546" s="11"/>
      <c r="K546" s="9"/>
      <c r="L546" s="10"/>
      <c r="M546" s="10"/>
      <c r="N546" s="11"/>
      <c r="P546" s="9"/>
      <c r="Q546" s="10"/>
      <c r="R546" s="10"/>
      <c r="S546" s="11"/>
      <c r="U546" s="9"/>
      <c r="V546" s="10"/>
      <c r="W546" s="10"/>
      <c r="X546" s="11"/>
    </row>
    <row r="547" spans="1:24" x14ac:dyDescent="0.25">
      <c r="A547" s="5"/>
      <c r="B547" s="6"/>
      <c r="C547" s="6"/>
      <c r="D547" s="7"/>
      <c r="F547" s="5"/>
      <c r="G547" s="6"/>
      <c r="H547" s="6"/>
      <c r="I547" s="7"/>
      <c r="K547" s="5"/>
      <c r="L547" s="6"/>
      <c r="M547" s="6"/>
      <c r="N547" s="7"/>
      <c r="P547" s="5"/>
      <c r="Q547" s="6"/>
      <c r="R547" s="6"/>
      <c r="S547" s="7"/>
      <c r="U547" s="5"/>
      <c r="V547" s="6"/>
      <c r="W547" s="6"/>
      <c r="X547" s="7"/>
    </row>
    <row r="548" spans="1:24" x14ac:dyDescent="0.25">
      <c r="A548" s="5"/>
      <c r="B548" s="6"/>
      <c r="C548" s="6"/>
      <c r="D548" s="7"/>
      <c r="F548" s="5"/>
      <c r="G548" s="6"/>
      <c r="H548" s="6"/>
      <c r="I548" s="7"/>
      <c r="K548" s="5"/>
      <c r="L548" s="6"/>
      <c r="M548" s="6"/>
      <c r="N548" s="7"/>
      <c r="P548" s="5"/>
      <c r="Q548" s="6"/>
      <c r="R548" s="6"/>
      <c r="S548" s="7"/>
      <c r="U548" s="5"/>
      <c r="V548" s="6"/>
      <c r="W548" s="6"/>
      <c r="X548" s="7"/>
    </row>
    <row r="549" spans="1:24" x14ac:dyDescent="0.25">
      <c r="A549" s="5"/>
      <c r="B549" s="6"/>
      <c r="C549" s="6"/>
      <c r="D549" s="7"/>
      <c r="F549" s="5"/>
      <c r="G549" s="6"/>
      <c r="H549" s="6"/>
      <c r="I549" s="7"/>
      <c r="K549" s="5"/>
      <c r="L549" s="6"/>
      <c r="M549" s="6"/>
      <c r="N549" s="7"/>
      <c r="P549" s="5"/>
      <c r="Q549" s="6"/>
      <c r="R549" s="6"/>
      <c r="S549" s="7"/>
      <c r="U549" s="5"/>
      <c r="V549" s="6"/>
      <c r="W549" s="6"/>
      <c r="X549" s="7"/>
    </row>
    <row r="550" spans="1:24" ht="13.8" thickBot="1" x14ac:dyDescent="0.3">
      <c r="A550" s="9"/>
      <c r="B550" s="10"/>
      <c r="C550" s="10"/>
      <c r="D550" s="11"/>
      <c r="F550" s="9"/>
      <c r="G550" s="10"/>
      <c r="H550" s="10"/>
      <c r="I550" s="11"/>
      <c r="K550" s="9"/>
      <c r="L550" s="10"/>
      <c r="M550" s="10"/>
      <c r="N550" s="11"/>
      <c r="P550" s="9"/>
      <c r="Q550" s="10"/>
      <c r="R550" s="10"/>
      <c r="S550" s="11"/>
      <c r="U550" s="9"/>
      <c r="V550" s="10"/>
      <c r="W550" s="10"/>
      <c r="X550" s="11"/>
    </row>
    <row r="551" spans="1:24" x14ac:dyDescent="0.25">
      <c r="A551" s="5"/>
      <c r="B551" s="6"/>
      <c r="C551" s="6"/>
      <c r="D551" s="7"/>
      <c r="F551" s="5"/>
      <c r="G551" s="6"/>
      <c r="H551" s="6"/>
      <c r="I551" s="7"/>
      <c r="K551" s="5"/>
      <c r="L551" s="6"/>
      <c r="M551" s="6"/>
      <c r="N551" s="7"/>
      <c r="P551" s="5"/>
      <c r="Q551" s="6"/>
      <c r="R551" s="6"/>
      <c r="S551" s="7"/>
      <c r="U551" s="5"/>
      <c r="V551" s="6"/>
      <c r="W551" s="6"/>
      <c r="X551" s="7"/>
    </row>
    <row r="552" spans="1:24" x14ac:dyDescent="0.25">
      <c r="A552" s="5"/>
      <c r="B552" s="6">
        <f t="shared" ref="B552:D554" ca="1" si="74">A219</f>
        <v>1014.8680775026843</v>
      </c>
      <c r="C552" s="6">
        <f t="shared" ca="1" si="74"/>
        <v>671.18494952213791</v>
      </c>
      <c r="D552" s="7">
        <f t="shared" ca="1" si="74"/>
        <v>284.76178672050054</v>
      </c>
      <c r="F552" s="5"/>
      <c r="G552" s="6">
        <f t="shared" ref="G552:I554" ca="1" si="75">F219</f>
        <v>1223.9634742330875</v>
      </c>
      <c r="H552" s="6">
        <f t="shared" ca="1" si="75"/>
        <v>703.93522641791026</v>
      </c>
      <c r="I552" s="7">
        <f t="shared" ca="1" si="75"/>
        <v>281.5724015969962</v>
      </c>
      <c r="K552" s="5"/>
      <c r="L552" s="6">
        <f t="shared" ref="L552:N554" ca="1" si="76">K219</f>
        <v>1527.3336417083303</v>
      </c>
      <c r="M552" s="6">
        <f t="shared" ca="1" si="76"/>
        <v>749.18045067132823</v>
      </c>
      <c r="N552" s="7">
        <f t="shared" ca="1" si="76"/>
        <v>318.78357887770977</v>
      </c>
      <c r="P552" s="5"/>
      <c r="Q552" s="6">
        <f t="shared" ref="Q552:S554" ca="1" si="77">P219</f>
        <v>1671.2501614486468</v>
      </c>
      <c r="R552" s="6">
        <f t="shared" ca="1" si="77"/>
        <v>951.89563878452282</v>
      </c>
      <c r="S552" s="7">
        <f t="shared" ca="1" si="77"/>
        <v>363.22407716083467</v>
      </c>
      <c r="U552" s="5"/>
      <c r="V552" s="6">
        <f t="shared" ref="V552:X554" ca="1" si="78">U219</f>
        <v>1472.1003138197191</v>
      </c>
      <c r="W552" s="6">
        <f t="shared" ca="1" si="78"/>
        <v>761.2419732610299</v>
      </c>
      <c r="X552" s="7">
        <f t="shared" ca="1" si="78"/>
        <v>258.17878475929825</v>
      </c>
    </row>
    <row r="553" spans="1:24" x14ac:dyDescent="0.25">
      <c r="A553" s="5"/>
      <c r="B553" s="6">
        <f t="shared" ca="1" si="74"/>
        <v>278.9822545256003</v>
      </c>
      <c r="C553" s="6">
        <f t="shared" ca="1" si="74"/>
        <v>204.26761091981237</v>
      </c>
      <c r="D553" s="7">
        <f t="shared" ca="1" si="74"/>
        <v>79.229832331548067</v>
      </c>
      <c r="F553" s="5"/>
      <c r="G553" s="6">
        <f t="shared" ca="1" si="75"/>
        <v>715.40571668898338</v>
      </c>
      <c r="H553" s="6">
        <f t="shared" ca="1" si="75"/>
        <v>443.30738934792919</v>
      </c>
      <c r="I553" s="7">
        <f t="shared" ca="1" si="75"/>
        <v>185.92781057061472</v>
      </c>
      <c r="K553" s="5"/>
      <c r="L553" s="6">
        <f t="shared" ca="1" si="76"/>
        <v>905.76069112090045</v>
      </c>
      <c r="M553" s="6">
        <f t="shared" ca="1" si="76"/>
        <v>458.65027918124792</v>
      </c>
      <c r="N553" s="7">
        <f t="shared" ca="1" si="76"/>
        <v>225.18101828594766</v>
      </c>
      <c r="P553" s="5"/>
      <c r="Q553" s="6">
        <f t="shared" ca="1" si="77"/>
        <v>837.02492457535209</v>
      </c>
      <c r="R553" s="6">
        <f t="shared" ca="1" si="77"/>
        <v>569.33186988180648</v>
      </c>
      <c r="S553" s="7">
        <f t="shared" ca="1" si="77"/>
        <v>256.60736641396716</v>
      </c>
      <c r="U553" s="5"/>
      <c r="V553" s="6">
        <f t="shared" ca="1" si="78"/>
        <v>829.56843714274692</v>
      </c>
      <c r="W553" s="6">
        <f t="shared" ca="1" si="78"/>
        <v>510.26877714891805</v>
      </c>
      <c r="X553" s="7">
        <f t="shared" ca="1" si="78"/>
        <v>202.53453756533639</v>
      </c>
    </row>
    <row r="554" spans="1:24" ht="13.8" thickBot="1" x14ac:dyDescent="0.3">
      <c r="A554" s="9"/>
      <c r="B554" s="10">
        <f t="shared" ca="1" si="74"/>
        <v>512.10699766406867</v>
      </c>
      <c r="C554" s="10">
        <f t="shared" ca="1" si="74"/>
        <v>281.91992945543825</v>
      </c>
      <c r="D554" s="11">
        <f t="shared" ca="1" si="74"/>
        <v>132.5048969841107</v>
      </c>
      <c r="F554" s="9"/>
      <c r="G554" s="10">
        <f t="shared" ca="1" si="75"/>
        <v>479.9449195425662</v>
      </c>
      <c r="H554" s="10">
        <f t="shared" ca="1" si="75"/>
        <v>229.29667536711125</v>
      </c>
      <c r="I554" s="11">
        <f t="shared" ca="1" si="75"/>
        <v>117.69913024788902</v>
      </c>
      <c r="K554" s="9"/>
      <c r="L554" s="10">
        <f t="shared" ca="1" si="76"/>
        <v>538.55083298247007</v>
      </c>
      <c r="M554" s="10">
        <f t="shared" ca="1" si="76"/>
        <v>196.35726331045615</v>
      </c>
      <c r="N554" s="11">
        <f t="shared" ca="1" si="76"/>
        <v>109.75649454476255</v>
      </c>
      <c r="P554" s="9"/>
      <c r="Q554" s="10">
        <f t="shared" ca="1" si="77"/>
        <v>614.53953302885816</v>
      </c>
      <c r="R554" s="10">
        <f t="shared" ca="1" si="77"/>
        <v>241.4225039462423</v>
      </c>
      <c r="S554" s="11">
        <f t="shared" ca="1" si="77"/>
        <v>125.81038674178228</v>
      </c>
      <c r="U554" s="9"/>
      <c r="V554" s="10">
        <f t="shared" ca="1" si="78"/>
        <v>592.90656453792417</v>
      </c>
      <c r="W554" s="10">
        <f t="shared" ca="1" si="78"/>
        <v>232.40525139648415</v>
      </c>
      <c r="X554" s="11">
        <f t="shared" ca="1" si="78"/>
        <v>110.07160197590632</v>
      </c>
    </row>
    <row r="555" spans="1:24" x14ac:dyDescent="0.25">
      <c r="A555" s="5"/>
      <c r="B555" s="6"/>
      <c r="C555" s="6"/>
      <c r="D555" s="7"/>
      <c r="F555" s="5"/>
      <c r="G555" s="6"/>
      <c r="H555" s="6"/>
      <c r="I555" s="7"/>
      <c r="K555" s="5"/>
      <c r="L555" s="6"/>
      <c r="M555" s="6"/>
      <c r="N555" s="7"/>
      <c r="P555" s="5"/>
      <c r="Q555" s="6"/>
      <c r="R555" s="6"/>
      <c r="S555" s="7"/>
      <c r="U555" s="5"/>
      <c r="V555" s="6"/>
      <c r="W555" s="6"/>
      <c r="X555" s="7"/>
    </row>
    <row r="556" spans="1:24" x14ac:dyDescent="0.25">
      <c r="A556" s="5"/>
      <c r="B556" s="6"/>
      <c r="C556" s="6"/>
      <c r="D556" s="7"/>
      <c r="F556" s="5"/>
      <c r="G556" s="6"/>
      <c r="H556" s="6"/>
      <c r="I556" s="7"/>
      <c r="K556" s="5"/>
      <c r="L556" s="6"/>
      <c r="M556" s="6"/>
      <c r="N556" s="7"/>
      <c r="P556" s="5"/>
      <c r="Q556" s="6"/>
      <c r="R556" s="6"/>
      <c r="S556" s="7"/>
      <c r="U556" s="5"/>
      <c r="V556" s="6"/>
      <c r="W556" s="6"/>
      <c r="X556" s="7"/>
    </row>
    <row r="557" spans="1:24" x14ac:dyDescent="0.25">
      <c r="A557" s="5"/>
      <c r="B557" s="6"/>
      <c r="C557" s="6"/>
      <c r="D557" s="7"/>
      <c r="F557" s="5"/>
      <c r="G557" s="6"/>
      <c r="H557" s="6"/>
      <c r="I557" s="7"/>
      <c r="K557" s="5"/>
      <c r="L557" s="6"/>
      <c r="M557" s="6"/>
      <c r="N557" s="7"/>
      <c r="P557" s="5"/>
      <c r="Q557" s="6"/>
      <c r="R557" s="6"/>
      <c r="S557" s="7"/>
      <c r="U557" s="5"/>
      <c r="V557" s="6"/>
      <c r="W557" s="6"/>
      <c r="X557" s="7"/>
    </row>
    <row r="558" spans="1:24" ht="13.8" thickBot="1" x14ac:dyDescent="0.3">
      <c r="A558" s="9"/>
      <c r="B558" s="10"/>
      <c r="C558" s="10"/>
      <c r="D558" s="11"/>
      <c r="F558" s="9"/>
      <c r="G558" s="10"/>
      <c r="H558" s="10"/>
      <c r="I558" s="11"/>
      <c r="K558" s="9"/>
      <c r="L558" s="10"/>
      <c r="M558" s="10"/>
      <c r="N558" s="11"/>
      <c r="P558" s="9"/>
      <c r="Q558" s="10"/>
      <c r="R558" s="10"/>
      <c r="S558" s="11"/>
      <c r="U558" s="9"/>
      <c r="V558" s="10"/>
      <c r="W558" s="10"/>
      <c r="X558" s="11"/>
    </row>
    <row r="559" spans="1:24" x14ac:dyDescent="0.25">
      <c r="A559" s="5"/>
      <c r="B559" s="6"/>
      <c r="C559" s="6"/>
      <c r="D559" s="7"/>
      <c r="F559" s="5"/>
      <c r="G559" s="6"/>
      <c r="H559" s="6"/>
      <c r="I559" s="7"/>
      <c r="K559" s="5"/>
      <c r="L559" s="6"/>
      <c r="M559" s="6"/>
      <c r="N559" s="7"/>
      <c r="P559" s="5"/>
      <c r="Q559" s="6"/>
      <c r="R559" s="6"/>
      <c r="S559" s="7"/>
      <c r="U559" s="5"/>
      <c r="V559" s="6"/>
      <c r="W559" s="6"/>
      <c r="X559" s="7"/>
    </row>
    <row r="560" spans="1:24" x14ac:dyDescent="0.25">
      <c r="A560" s="5"/>
      <c r="B560" s="6"/>
      <c r="C560" s="6"/>
      <c r="D560" s="7"/>
      <c r="F560" s="5"/>
      <c r="G560" s="6"/>
      <c r="H560" s="6"/>
      <c r="I560" s="7"/>
      <c r="K560" s="5"/>
      <c r="L560" s="6"/>
      <c r="M560" s="6"/>
      <c r="N560" s="7"/>
      <c r="P560" s="5"/>
      <c r="Q560" s="6"/>
      <c r="R560" s="6"/>
      <c r="S560" s="7"/>
      <c r="U560" s="5"/>
      <c r="V560" s="6"/>
      <c r="W560" s="6"/>
      <c r="X560" s="7"/>
    </row>
    <row r="561" spans="1:24" x14ac:dyDescent="0.25">
      <c r="A561" s="5"/>
      <c r="B561" s="6"/>
      <c r="C561" s="6"/>
      <c r="D561" s="7"/>
      <c r="F561" s="5"/>
      <c r="G561" s="6"/>
      <c r="H561" s="6"/>
      <c r="I561" s="7"/>
      <c r="K561" s="5"/>
      <c r="L561" s="6"/>
      <c r="M561" s="6"/>
      <c r="N561" s="7"/>
      <c r="P561" s="5"/>
      <c r="Q561" s="6"/>
      <c r="R561" s="6"/>
      <c r="S561" s="7"/>
      <c r="U561" s="5"/>
      <c r="V561" s="6"/>
      <c r="W561" s="6"/>
      <c r="X561" s="7"/>
    </row>
    <row r="562" spans="1:24" ht="13.8" thickBot="1" x14ac:dyDescent="0.3">
      <c r="A562" s="9"/>
      <c r="B562" s="10"/>
      <c r="C562" s="10"/>
      <c r="D562" s="11"/>
      <c r="F562" s="9"/>
      <c r="G562" s="10"/>
      <c r="H562" s="10"/>
      <c r="I562" s="11"/>
      <c r="K562" s="9"/>
      <c r="L562" s="10"/>
      <c r="M562" s="10"/>
      <c r="N562" s="11"/>
      <c r="P562" s="9"/>
      <c r="Q562" s="10"/>
      <c r="R562" s="10"/>
      <c r="S562" s="11"/>
      <c r="U562" s="9"/>
      <c r="V562" s="10"/>
      <c r="W562" s="10"/>
      <c r="X562" s="11"/>
    </row>
    <row r="563" spans="1:24" x14ac:dyDescent="0.25">
      <c r="A563" s="5"/>
      <c r="B563" s="6"/>
      <c r="C563" s="6"/>
      <c r="D563" s="7"/>
      <c r="F563" s="5"/>
      <c r="G563" s="6"/>
      <c r="H563" s="6"/>
      <c r="I563" s="7"/>
      <c r="K563" s="5"/>
      <c r="L563" s="6"/>
      <c r="M563" s="6"/>
      <c r="N563" s="7"/>
      <c r="P563" s="5"/>
      <c r="Q563" s="6"/>
      <c r="R563" s="6"/>
      <c r="S563" s="7"/>
      <c r="U563" s="5"/>
      <c r="V563" s="6"/>
      <c r="W563" s="6"/>
      <c r="X563" s="7"/>
    </row>
    <row r="564" spans="1:24" x14ac:dyDescent="0.25">
      <c r="A564" s="5"/>
      <c r="B564" s="6"/>
      <c r="C564" s="6"/>
      <c r="D564" s="7"/>
      <c r="F564" s="5"/>
      <c r="G564" s="6"/>
      <c r="H564" s="6"/>
      <c r="I564" s="7"/>
      <c r="K564" s="5"/>
      <c r="L564" s="6"/>
      <c r="M564" s="6"/>
      <c r="N564" s="7"/>
      <c r="P564" s="5"/>
      <c r="Q564" s="6"/>
      <c r="R564" s="6"/>
      <c r="S564" s="7"/>
      <c r="U564" s="5"/>
      <c r="V564" s="6"/>
      <c r="W564" s="6"/>
      <c r="X564" s="7"/>
    </row>
    <row r="565" spans="1:24" x14ac:dyDescent="0.25">
      <c r="A565" s="5"/>
      <c r="B565" s="6"/>
      <c r="C565" s="6"/>
      <c r="D565" s="7"/>
      <c r="F565" s="5"/>
      <c r="G565" s="6"/>
      <c r="H565" s="6"/>
      <c r="I565" s="7"/>
      <c r="K565" s="5"/>
      <c r="L565" s="6"/>
      <c r="M565" s="6"/>
      <c r="N565" s="7"/>
      <c r="P565" s="5"/>
      <c r="Q565" s="6"/>
      <c r="R565" s="6"/>
      <c r="S565" s="7"/>
      <c r="U565" s="5"/>
      <c r="V565" s="6"/>
      <c r="W565" s="6"/>
      <c r="X565" s="7"/>
    </row>
    <row r="566" spans="1:24" ht="13.8" thickBot="1" x14ac:dyDescent="0.3">
      <c r="A566" s="9"/>
      <c r="B566" s="10"/>
      <c r="C566" s="10"/>
      <c r="D566" s="11"/>
      <c r="F566" s="9"/>
      <c r="G566" s="10"/>
      <c r="H566" s="10"/>
      <c r="I566" s="11"/>
      <c r="K566" s="9"/>
      <c r="L566" s="10"/>
      <c r="M566" s="10"/>
      <c r="N566" s="11"/>
      <c r="P566" s="9"/>
      <c r="Q566" s="10"/>
      <c r="R566" s="10"/>
      <c r="S566" s="11"/>
      <c r="U566" s="9"/>
      <c r="V566" s="10"/>
      <c r="W566" s="10"/>
      <c r="X566" s="11"/>
    </row>
    <row r="567" spans="1:24" x14ac:dyDescent="0.25">
      <c r="A567" s="5"/>
      <c r="B567" s="6"/>
      <c r="C567" s="6"/>
      <c r="D567" s="7"/>
      <c r="F567" s="5"/>
      <c r="G567" s="6"/>
      <c r="H567" s="6"/>
      <c r="I567" s="7"/>
      <c r="K567" s="5"/>
      <c r="L567" s="6"/>
      <c r="M567" s="6"/>
      <c r="N567" s="7"/>
      <c r="P567" s="5"/>
      <c r="Q567" s="6"/>
      <c r="R567" s="6"/>
      <c r="S567" s="7"/>
      <c r="U567" s="5"/>
      <c r="V567" s="6"/>
      <c r="W567" s="6"/>
      <c r="X567" s="7"/>
    </row>
    <row r="568" spans="1:24" x14ac:dyDescent="0.25">
      <c r="A568" s="5"/>
      <c r="B568" s="6">
        <f ca="1">(1-B$122)*B102*(1+B$105/SUM(B$102:B$104))*C$180/1000*C$190+B$122*B102*(1+B$105/SUM(B$102:B$104))*B$184/1000*C$190*1.5</f>
        <v>63028.682285425908</v>
      </c>
      <c r="C568" s="6">
        <f ca="1">(1-C$122)*C102*(1+C$105/SUM(C$102:C$104))*2*C$180/1000*C$190+C$122*C102*(1+C$105/SUM(C$102:C$104))*2*B$184/1000*C$190*1.5</f>
        <v>93157.157180577909</v>
      </c>
      <c r="D568" s="7">
        <f ca="1">(1-D$122)*D102*(1+D$105/SUM(D$102:D$104))*3*C$180/1000*C$190+D$122*D102*(1+D$105/SUM(D$102:D$104))*3*B$184/1000*C$190*1.5</f>
        <v>59399.888657124582</v>
      </c>
      <c r="F568" s="5"/>
      <c r="G568" s="6">
        <f ca="1">(1-G$122)*G102*(1+G$105/SUM(G$102:G$104))*H$180/1000*H$190+G$122*G102*(1+G$105/SUM(G$102:G$104))*G$184/1000*H$190*1.5</f>
        <v>88042.314341814374</v>
      </c>
      <c r="H568" s="6">
        <f ca="1">(1-H$122)*H102*(1+H$105/SUM(H$102:H$104))*2*H$180/1000*H$190+H$122*H102*(1+H$105/SUM(H$102:H$104))*2*G$184/1000*H$190*1.5</f>
        <v>95169.995124696929</v>
      </c>
      <c r="I568" s="7">
        <f ca="1">(1-I$122)*I102*(1+I$105/SUM(I$102:I$104))*3*H$180/1000*H$190+I$122*I102*(1+I$105/SUM(I$102:I$104))*3*G$184/1000*H$190*1.5</f>
        <v>56896.425956329651</v>
      </c>
      <c r="K568" s="5"/>
      <c r="L568" s="6">
        <f ca="1">(1-L$122)*L102*(1+L$105/SUM(L$102:L$104))*M$180/1000*M$190+L$122*L102*(1+L$105/SUM(L$102:L$104))*L$184/1000*M$190*1.5</f>
        <v>111394.74043028342</v>
      </c>
      <c r="M568" s="6">
        <f ca="1">(1-M$122)*M102*(1+M$105/SUM(M$102:M$104))*2*M$180/1000*M$190+M$122*M102*(1+M$105/SUM(M$102:M$104))*2*L$184/1000*M$190*1.5</f>
        <v>96284.729007806076</v>
      </c>
      <c r="N568" s="7">
        <f ca="1">(1-N$122)*N102*(1+N$105/SUM(N$102:N$104))*3*M$180/1000*M$190+N$122*N102*(1+N$105/SUM(N$102:N$104))*3*L$184/1000*M$190*1.5</f>
        <v>60813.663279024957</v>
      </c>
      <c r="P568" s="5"/>
      <c r="Q568" s="6">
        <f ca="1">(1-Q$122)*Q102*(1+Q$105/SUM(Q$102:Q$104))*R$180/1000*R$190+Q$122*Q102*(1+Q$105/SUM(Q$102:Q$104))*Q$184/1000*R$190*1.5</f>
        <v>101710.34169846382</v>
      </c>
      <c r="R568" s="6">
        <f ca="1">(1-R$122)*R102*(1+R$105/SUM(R$102:R$104))*2*R$180/1000*R$190+R$122*R102*(1+R$105/SUM(R$102:R$104))*2*Q$184/1000*R$190*1.5</f>
        <v>119627.68371549963</v>
      </c>
      <c r="S568" s="7">
        <f ca="1">(1-S$122)*S102*(1+S$105/SUM(S$102:S$104))*3*R$180/1000*R$190+S$122*S102*(1+S$105/SUM(S$102:S$104))*3*Q$184/1000*R$190*1.5</f>
        <v>68026.813174569499</v>
      </c>
      <c r="U568" s="5"/>
      <c r="V568" s="6">
        <f ca="1">(1-V$122)*V102*(1+V$105/SUM(V$102:V$104))*W$180/1000*W$190+V$122*V102*(1+V$105/SUM(V$102:V$104))*V$184/1000*W$190*1.5</f>
        <v>111589.41577936291</v>
      </c>
      <c r="W568" s="6">
        <f ca="1">(1-W$122)*W102*(1+W$105/SUM(W$102:W$104))*2*W$180/1000*W$190+W$122*W102*(1+W$105/SUM(W$102:W$104))*2*V$184/1000*W$190*1.5</f>
        <v>122255.86852117632</v>
      </c>
      <c r="X568" s="7">
        <f ca="1">(1-X$122)*X102*(1+X$105/SUM(X$102:X$104))*3*W$180/1000*W$190+X$122*X102*(1+X$105/SUM(X$102:X$104))*3*V$184/1000*W$190*1.5</f>
        <v>58467.926631678172</v>
      </c>
    </row>
    <row r="569" spans="1:24" x14ac:dyDescent="0.25">
      <c r="A569" s="5"/>
      <c r="B569" s="6">
        <f ca="1">(1-B$122)*B103*(1+B$105/SUM(B$102:B$104))*C$180/1000*C$190+B$122*B103*(1+B$105/SUM(B$102:B$104))*B$184/1000*C$190*1.5</f>
        <v>17998.492247454593</v>
      </c>
      <c r="C569" s="6">
        <f ca="1">(1-C$122)*C103*(1+C$105/SUM(C$102:C$104))*2*C$180/1000*C$190+C$122*C103*(1+C$105/SUM(C$102:C$104))*2*B$184/1000*C$190*1.5</f>
        <v>27746.088541553418</v>
      </c>
      <c r="D569" s="7">
        <f ca="1">(1-D$122)*D103*(1+D$105/SUM(D$102:D$104))*3*C$180/1000*C$190+D$122*D103*(1+D$105/SUM(D$102:D$104))*3*B$184/1000*C$190*1.5</f>
        <v>15907.088826823194</v>
      </c>
      <c r="F569" s="5"/>
      <c r="G569" s="6">
        <f ca="1">(1-G$122)*G103*(1+G$105/SUM(G$102:G$104))*H$180/1000*H$190+G$122*G103*(1+G$105/SUM(G$102:G$104))*G$184/1000*H$190*1.5</f>
        <v>52798.989110533352</v>
      </c>
      <c r="H569" s="6">
        <f ca="1">(1-H$122)*H103*(1+H$105/SUM(H$102:H$104))*2*H$180/1000*H$190+H$122*H103*(1+H$105/SUM(H$102:H$104))*2*G$184/1000*H$190*1.5</f>
        <v>58951.454469953969</v>
      </c>
      <c r="I569" s="7">
        <f ca="1">(1-I$122)*I103*(1+I$105/SUM(I$102:I$104))*3*H$180/1000*H$190+I$122*I103*(1+I$105/SUM(I$102:I$104))*3*G$184/1000*H$190*1.5</f>
        <v>37416.632662806616</v>
      </c>
      <c r="K569" s="5"/>
      <c r="L569" s="6">
        <f ca="1">(1-L$122)*L103*(1+L$105/SUM(L$102:L$104))*M$180/1000*M$190+L$122*L103*(1+L$105/SUM(L$102:L$104))*L$184/1000*M$190*1.5</f>
        <v>70598.569143092827</v>
      </c>
      <c r="M569" s="6">
        <f ca="1">(1-M$122)*M103*(1+M$105/SUM(M$102:M$104))*2*M$180/1000*M$190+M$122*M103*(1+M$105/SUM(M$102:M$104))*2*L$184/1000*M$190*1.5</f>
        <v>61352.934183074314</v>
      </c>
      <c r="N569" s="7">
        <f ca="1">(1-N$122)*N103*(1+N$105/SUM(N$102:N$104))*3*M$180/1000*M$190+N$122*N103*(1+N$105/SUM(N$102:N$104))*3*L$184/1000*M$190*1.5</f>
        <v>45095.670308446191</v>
      </c>
      <c r="P569" s="5"/>
      <c r="Q569" s="6">
        <f ca="1">(1-Q$122)*Q103*(1+Q$105/SUM(Q$102:Q$104))*R$180/1000*R$190+Q$122*Q103*(1+Q$105/SUM(Q$102:Q$104))*Q$184/1000*R$190*1.5</f>
        <v>46632.994335107331</v>
      </c>
      <c r="R569" s="6">
        <f ca="1">(1-R$122)*R103*(1+R$105/SUM(R$102:R$104))*2*R$180/1000*R$190+R$122*R103*(1+R$105/SUM(R$102:R$104))*2*Q$184/1000*R$190*1.5</f>
        <v>73022.731934669573</v>
      </c>
      <c r="S569" s="7">
        <f ca="1">(1-S$122)*S103*(1+S$105/SUM(S$102:S$104))*3*R$180/1000*R$190+S$122*S103*(1+S$105/SUM(S$102:S$104))*3*Q$184/1000*R$190*1.5</f>
        <v>73602.781467566994</v>
      </c>
      <c r="U569" s="5"/>
      <c r="V569" s="6">
        <f ca="1">(1-V$122)*V103*(1+V$105/SUM(V$102:V$104))*W$180/1000*W$190+V$122*V103*(1+V$105/SUM(V$102:V$104))*V$184/1000*W$190*1.5</f>
        <v>63271.621968450403</v>
      </c>
      <c r="W569" s="6">
        <f ca="1">(1-W$122)*W103*(1+W$105/SUM(W$102:W$104))*2*W$180/1000*W$190+W$122*W103*(1+W$105/SUM(W$102:W$104))*2*V$184/1000*W$190*1.5</f>
        <v>81551.024435512983</v>
      </c>
      <c r="X569" s="7">
        <f ca="1">(1-X$122)*X103*(1+X$105/SUM(X$102:X$104))*3*W$180/1000*W$190+X$122*X103*(1+X$105/SUM(X$102:X$104))*3*V$184/1000*W$190*1.5</f>
        <v>46616.319882013682</v>
      </c>
    </row>
    <row r="570" spans="1:24" ht="13.8" thickBot="1" x14ac:dyDescent="0.3">
      <c r="A570" s="9"/>
      <c r="B570" s="10">
        <f ca="1">(1-B$122)*B104*(1+B$105/SUM(B$102:B$104))*C$180/1000*C$190+B$122*B104*(1+B$105/SUM(B$102:B$104))*B$184/1000*C$190*1.5</f>
        <v>43400.137909899953</v>
      </c>
      <c r="C570" s="10">
        <f ca="1">(1-C$122)*C104*(1+C$105/SUM(C$102:C$104))*2*C$180/1000*C$190+C$122*C104*(1+C$105/SUM(C$102:C$104))*2*B$184/1000*C$190*1.5</f>
        <v>47851.949803548654</v>
      </c>
      <c r="D570" s="11">
        <f ca="1">(1-D$122)*D104*(1+D$105/SUM(D$102:D$104))*3*C$180/1000*C$190+D$122*D104*(1+D$105/SUM(D$102:D$104))*3*B$184/1000*C$190*1.5</f>
        <v>32418.24431795612</v>
      </c>
      <c r="F570" s="9"/>
      <c r="G570" s="10">
        <f ca="1">(1-G$122)*G104*(1+G$105/SUM(G$102:G$104))*H$180/1000*H$190+G$122*G104*(1+G$105/SUM(G$102:G$104))*G$184/1000*H$190*1.5</f>
        <v>42173.192552038519</v>
      </c>
      <c r="H570" s="10">
        <f ca="1">(1-H$122)*H104*(1+H$105/SUM(H$102:H$104))*2*H$180/1000*H$190+H$122*H104*(1+H$105/SUM(H$102:H$104))*2*G$184/1000*H$190*1.5</f>
        <v>26329.080972419531</v>
      </c>
      <c r="I570" s="11">
        <f ca="1">(1-I$122)*I104*(1+I$105/SUM(I$102:I$104))*3*H$180/1000*H$190+I$122*I104*(1+I$105/SUM(I$102:I$104))*3*G$184/1000*H$190*1.5</f>
        <v>21601.354939352274</v>
      </c>
      <c r="K570" s="9"/>
      <c r="L570" s="10">
        <f ca="1">(1-L$122)*L104*(1+L$105/SUM(L$102:L$104))*M$180/1000*M$190+L$122*L104*(1+L$105/SUM(L$102:L$104))*L$184/1000*M$190*1.5</f>
        <v>46160.602901252991</v>
      </c>
      <c r="M570" s="10">
        <f ca="1">(1-M$122)*M104*(1+M$105/SUM(M$102:M$104))*2*M$180/1000*M$190+M$122*M104*(1+M$105/SUM(M$102:M$104))*2*L$184/1000*M$190*1.5</f>
        <v>23880.645189271159</v>
      </c>
      <c r="N570" s="11">
        <f ca="1">(1-N$122)*N104*(1+N$105/SUM(N$102:N$104))*3*M$180/1000*M$190+N$122*N104*(1+N$105/SUM(N$102:N$104))*3*L$184/1000*M$190*1.5</f>
        <v>19834.610177158906</v>
      </c>
      <c r="P570" s="9"/>
      <c r="Q570" s="10">
        <f ca="1">(1-Q$122)*Q104*(1+Q$105/SUM(Q$102:Q$104))*R$180/1000*R$190+Q$122*Q104*(1+Q$105/SUM(Q$102:Q$104))*Q$184/1000*R$190*1.5</f>
        <v>31193.692156592071</v>
      </c>
      <c r="R570" s="10">
        <f ca="1">(1-R$122)*R104*(1+R$105/SUM(R$102:R$104))*2*R$180/1000*R$190+R$122*R104*(1+R$105/SUM(R$102:R$104))*2*Q$184/1000*R$190*1.5</f>
        <v>30529.9817815598</v>
      </c>
      <c r="S570" s="11">
        <f ca="1">(1-S$122)*S104*(1+S$105/SUM(S$102:S$104))*3*R$180/1000*R$190+S$122*S104*(1+S$105/SUM(S$102:S$104))*3*Q$184/1000*R$190*1.5</f>
        <v>23790.798050122667</v>
      </c>
      <c r="U570" s="9"/>
      <c r="V570" s="10">
        <f ca="1">(1-V$122)*V104*(1+V$105/SUM(V$102:V$104))*W$180/1000*W$190+V$122*V104*(1+V$105/SUM(V$102:V$104))*V$184/1000*W$190*1.5</f>
        <v>40347.121255243736</v>
      </c>
      <c r="W570" s="10">
        <f ca="1">(1-W$122)*W104*(1+W$105/SUM(W$102:W$104))*2*W$180/1000*W$190+W$122*W104*(1+W$105/SUM(W$102:W$104))*2*V$184/1000*W$190*1.5</f>
        <v>33355.358347974114</v>
      </c>
      <c r="X570" s="11">
        <f ca="1">(1-X$122)*X104*(1+X$105/SUM(X$102:X$104))*3*W$180/1000*W$190+X$122*X104*(1+X$105/SUM(X$102:X$104))*3*V$184/1000*W$190*1.5</f>
        <v>22320.526045201463</v>
      </c>
    </row>
    <row r="571" spans="1:24" x14ac:dyDescent="0.25">
      <c r="A571" s="5"/>
      <c r="B571" s="6"/>
      <c r="C571" s="6"/>
      <c r="D571" s="7"/>
      <c r="F571" s="5"/>
      <c r="G571" s="6"/>
      <c r="H571" s="6"/>
      <c r="I571" s="7"/>
      <c r="K571" s="5"/>
      <c r="L571" s="6"/>
      <c r="M571" s="6"/>
      <c r="N571" s="7"/>
      <c r="P571" s="5"/>
      <c r="Q571" s="6"/>
      <c r="R571" s="6"/>
      <c r="S571" s="7"/>
      <c r="U571" s="5"/>
      <c r="V571" s="6"/>
      <c r="W571" s="6"/>
      <c r="X571" s="7"/>
    </row>
    <row r="572" spans="1:24" x14ac:dyDescent="0.25">
      <c r="A572" s="5"/>
      <c r="B572" s="6">
        <f ca="1">C$293/C$166*B102*(1+B$105/SUM(B$102:B$104))*B$120/60</f>
        <v>34019.262533815687</v>
      </c>
      <c r="C572" s="6">
        <f ca="1">C$293/C$166*C102*(1+C$105/SUM(C$102:C$104))*C$120/60</f>
        <v>36612.134117064728</v>
      </c>
      <c r="D572" s="7">
        <f ca="1">C$293/C$166*D102*(1+D$105/SUM(D$102:D$104))*D$120/60</f>
        <v>30655.090758246733</v>
      </c>
      <c r="F572" s="5"/>
      <c r="G572" s="6">
        <f ca="1">H$293/H$166*G102*(1+G$105/SUM(G$102:G$104))*G$120/60</f>
        <v>41079.45777424585</v>
      </c>
      <c r="H572" s="6">
        <f ca="1">H$293/H$166*H102*(1+H$105/SUM(H$102:H$104))*H$120/60</f>
        <v>32791.275564646865</v>
      </c>
      <c r="I572" s="7">
        <f ca="1">H$293/H$166*I102*(1+I$105/SUM(I$102:I$104))*I$120/60</f>
        <v>25742.540685604101</v>
      </c>
      <c r="K572" s="5"/>
      <c r="L572" s="6">
        <f ca="1">M$293/M$166*L102*(1+L$105/SUM(L$102:L$104))*L$120/60</f>
        <v>67720.068915997646</v>
      </c>
      <c r="M572" s="6">
        <f ca="1">M$293/M$166*M102*(1+M$105/SUM(M$102:M$104))*M$120/60</f>
        <v>43852.334276396949</v>
      </c>
      <c r="N572" s="7">
        <f ca="1">M$293/M$166*N102*(1+N$105/SUM(N$102:N$104))*N$120/60</f>
        <v>37074.034311528281</v>
      </c>
      <c r="P572" s="5"/>
      <c r="Q572" s="6">
        <f ca="1">R$293/R$166*Q102*(1+Q$105/SUM(Q$102:Q$104))*Q$120/60</f>
        <v>80990.126853080044</v>
      </c>
      <c r="R572" s="6">
        <f ca="1">R$293/R$166*R102*(1+R$105/SUM(R$102:R$104))*R$120/60</f>
        <v>69230.127490446946</v>
      </c>
      <c r="S572" s="7">
        <f ca="1">R$293/R$166*S102*(1+S$105/SUM(S$102:S$104))*S$120/60</f>
        <v>52035.485792693871</v>
      </c>
      <c r="U572" s="5"/>
      <c r="V572" s="6" t="e">
        <f ca="1">W$293/W$166*V102*(1+V$105/SUM(V$102:V$104))*V$120/60</f>
        <v>#DIV/0!</v>
      </c>
      <c r="W572" s="6" t="e">
        <f ca="1">W$293/W$166*W102*(1+W$105/SUM(W$102:W$104))*W$120/60</f>
        <v>#DIV/0!</v>
      </c>
      <c r="X572" s="7" t="e">
        <f ca="1">W$293/W$166*X102*(1+X$105/SUM(X$102:X$104))*X$120/60</f>
        <v>#DIV/0!</v>
      </c>
    </row>
    <row r="573" spans="1:24" x14ac:dyDescent="0.25">
      <c r="A573" s="5"/>
      <c r="B573" s="6">
        <f ca="1">C$293/C$166*B103*(1+B$105/SUM(B$102:B$104))*B$120/60</f>
        <v>9714.5523399365902</v>
      </c>
      <c r="C573" s="6">
        <f ca="1">C$293/C$166*C103*(1+C$105/SUM(C$102:C$104))*C$120/60</f>
        <v>10904.621240622157</v>
      </c>
      <c r="D573" s="7">
        <f ca="1">C$293/C$166*D103*(1+D$105/SUM(D$102:D$104))*D$120/60</f>
        <v>8209.3293894965846</v>
      </c>
      <c r="F573" s="5"/>
      <c r="G573" s="6">
        <f ca="1">H$293/H$166*G103*(1+G$105/SUM(G$102:G$104))*G$120/60</f>
        <v>24635.356986054478</v>
      </c>
      <c r="H573" s="6">
        <f ca="1">H$293/H$166*H103*(1+H$105/SUM(H$102:H$104))*H$120/60</f>
        <v>20312.004701987735</v>
      </c>
      <c r="I573" s="7">
        <f ca="1">H$293/H$166*I103*(1+I$105/SUM(I$102:I$104))*I$120/60</f>
        <v>16928.992857651509</v>
      </c>
      <c r="K573" s="5"/>
      <c r="L573" s="6">
        <f ca="1">M$293/M$166*L103*(1+L$105/SUM(L$102:L$104))*L$120/60</f>
        <v>42918.902178628705</v>
      </c>
      <c r="M573" s="6">
        <f ca="1">M$293/M$166*M103*(1+M$105/SUM(M$102:M$104))*M$120/60</f>
        <v>27942.846247361111</v>
      </c>
      <c r="N573" s="7">
        <f ca="1">M$293/M$166*N103*(1+N$105/SUM(N$102:N$104))*N$120/60</f>
        <v>27491.822366394823</v>
      </c>
      <c r="P573" s="5"/>
      <c r="Q573" s="6">
        <f ca="1">R$293/R$166*Q103*(1+Q$105/SUM(Q$102:Q$104))*Q$120/60</f>
        <v>37133.019746765312</v>
      </c>
      <c r="R573" s="6">
        <f ca="1">R$293/R$166*R103*(1+R$105/SUM(R$102:R$104))*R$120/60</f>
        <v>42259.223655626985</v>
      </c>
      <c r="S573" s="7">
        <f ca="1">R$293/R$166*S103*(1+S$105/SUM(S$102:S$104))*S$120/60</f>
        <v>56300.689546193367</v>
      </c>
      <c r="U573" s="5"/>
      <c r="V573" s="6" t="e">
        <f ca="1">W$293/W$166*V103*(1+V$105/SUM(V$102:V$104))*V$120/60</f>
        <v>#DIV/0!</v>
      </c>
      <c r="W573" s="6" t="e">
        <f ca="1">W$293/W$166*W103*(1+W$105/SUM(W$102:W$104))*W$120/60</f>
        <v>#DIV/0!</v>
      </c>
      <c r="X573" s="7" t="e">
        <f ca="1">W$293/W$166*X103*(1+X$105/SUM(X$102:X$104))*X$120/60</f>
        <v>#DIV/0!</v>
      </c>
    </row>
    <row r="574" spans="1:24" ht="13.8" thickBot="1" x14ac:dyDescent="0.3">
      <c r="A574" s="9"/>
      <c r="B574" s="10">
        <f ca="1">C$293/C$166*B104*(1+B$105/SUM(B$102:B$104))*B$120/60</f>
        <v>23424.901680073512</v>
      </c>
      <c r="C574" s="10">
        <f ca="1">C$293/C$166*C104*(1+C$105/SUM(C$102:C$104))*C$120/60</f>
        <v>18806.520690348356</v>
      </c>
      <c r="D574" s="11">
        <f ca="1">C$293/C$166*D104*(1+D$105/SUM(D$102:D$104))*D$120/60</f>
        <v>16730.405464670257</v>
      </c>
      <c r="F574" s="9"/>
      <c r="G574" s="10">
        <f ca="1">H$293/H$166*G104*(1+G$105/SUM(G$102:G$104))*G$120/60</f>
        <v>19677.491392611013</v>
      </c>
      <c r="H574" s="10">
        <f ca="1">H$293/H$166*H104*(1+H$105/SUM(H$102:H$104))*H$120/60</f>
        <v>9071.8103788834123</v>
      </c>
      <c r="I574" s="11">
        <f ca="1">H$293/H$166*I104*(1+I$105/SUM(I$102:I$104))*I$120/60</f>
        <v>9773.4391755513861</v>
      </c>
      <c r="K574" s="9"/>
      <c r="L574" s="10">
        <f ca="1">M$293/M$166*L104*(1+L$105/SUM(L$102:L$104))*L$120/60</f>
        <v>28062.359116795691</v>
      </c>
      <c r="M574" s="10">
        <f ca="1">M$293/M$166*M104*(1+M$105/SUM(M$102:M$104))*M$120/60</f>
        <v>10876.304543486314</v>
      </c>
      <c r="N574" s="11">
        <f ca="1">M$293/M$166*N104*(1+N$105/SUM(N$102:N$104))*N$120/60</f>
        <v>12091.83888314461</v>
      </c>
      <c r="P574" s="9"/>
      <c r="Q574" s="10">
        <f ca="1">R$293/R$166*Q104*(1+Q$105/SUM(Q$102:Q$104))*Q$120/60</f>
        <v>24838.979425201127</v>
      </c>
      <c r="R574" s="10">
        <f ca="1">R$293/R$166*R104*(1+R$105/SUM(R$102:R$104))*R$120/60</f>
        <v>17668.105453291148</v>
      </c>
      <c r="S574" s="11">
        <f ca="1">R$293/R$166*S104*(1+S$105/SUM(S$102:S$104))*S$120/60</f>
        <v>18198.202681597857</v>
      </c>
      <c r="U574" s="9"/>
      <c r="V574" s="10" t="e">
        <f ca="1">W$293/W$166*V104*(1+V$105/SUM(V$102:V$104))*V$120/60</f>
        <v>#DIV/0!</v>
      </c>
      <c r="W574" s="10" t="e">
        <f ca="1">W$293/W$166*W104*(1+W$105/SUM(W$102:W$104))*W$120/60</f>
        <v>#DIV/0!</v>
      </c>
      <c r="X574" s="11" t="e">
        <f ca="1">W$293/W$166*X104*(1+X$105/SUM(X$102:X$104))*X$120/60</f>
        <v>#DIV/0!</v>
      </c>
    </row>
    <row r="575" spans="1:24" x14ac:dyDescent="0.25">
      <c r="A575" s="5"/>
      <c r="B575" s="6"/>
      <c r="C575" s="6"/>
      <c r="D575" s="7"/>
      <c r="F575" s="5"/>
      <c r="G575" s="6"/>
      <c r="H575" s="6"/>
      <c r="I575" s="7"/>
      <c r="K575" s="5"/>
      <c r="L575" s="6"/>
      <c r="M575" s="6"/>
      <c r="N575" s="7"/>
      <c r="P575" s="5"/>
      <c r="Q575" s="6"/>
      <c r="R575" s="6"/>
      <c r="S575" s="7"/>
      <c r="U575" s="5"/>
      <c r="V575" s="6"/>
      <c r="W575" s="6"/>
      <c r="X575" s="7"/>
    </row>
    <row r="576" spans="1:24" x14ac:dyDescent="0.25">
      <c r="A576" s="5"/>
      <c r="B576" s="6">
        <f ca="1">IF(C$153=0,0,C$292/C$153*B102*(1+B$105/SUM(B$102:B$104))*60/60/C$161)</f>
        <v>59661.966906150126</v>
      </c>
      <c r="C576" s="6">
        <f ca="1">IF(C$153=0,0,C$292/C$153*C102*(1+C$105/SUM(C$102:C$104))*75/60/C$161)</f>
        <v>55939.89229046183</v>
      </c>
      <c r="D576" s="7">
        <f ca="1">IF(C$153=0,0,C$292/C$153*D102*(1+D$105/SUM(D$102:D$104))*120/60/C$161)</f>
        <v>38046.941738581278</v>
      </c>
      <c r="F576" s="5"/>
      <c r="G576" s="6">
        <f ca="1">IF(H$153=0,0,H$292/H$153*G102*(1+G$105/SUM(G$102:G$104))*60/60/H$161)</f>
        <v>99807.130359822011</v>
      </c>
      <c r="H576" s="6">
        <f ca="1">IF(H$153=0,0,H$292/H$153*H102*(1+H$105/SUM(H$102:H$104))*75/60/H$161)</f>
        <v>69409.527256928384</v>
      </c>
      <c r="I576" s="7">
        <f ca="1">IF(H$153=0,0,H$292/H$153*I102*(1+I$105/SUM(I$102:I$104))*120/60/H$161)</f>
        <v>44262.174837081351</v>
      </c>
      <c r="K576" s="5"/>
      <c r="L576" s="6">
        <f ca="1">IF(M$153=0,0,M$292/M$153*L102*(1+L$105/SUM(L$102:L$104))*60/60/M$161)</f>
        <v>128899.50480845475</v>
      </c>
      <c r="M576" s="6">
        <f ca="1">IF(M$153=0,0,M$292/M$153*M102*(1+M$105/SUM(M$102:M$104))*75/60/M$161)</f>
        <v>72719.432776206071</v>
      </c>
      <c r="N576" s="7">
        <f ca="1">IF(M$153=0,0,M$292/M$153*N102*(1+N$105/SUM(N$102:N$104))*120/60/M$161)</f>
        <v>49939.958843272434</v>
      </c>
      <c r="P576" s="5"/>
      <c r="Q576" s="6">
        <f ca="1">IF(R$153=0,0,R$292/R$153*Q102*(1+Q$105/SUM(Q$102:Q$104))*60/60/R$161)</f>
        <v>130651.47299177863</v>
      </c>
      <c r="R576" s="6">
        <f ca="1">IF(R$153=0,0,R$292/R$153*R102*(1+R$105/SUM(R$102:R$104))*75/60/R$161)</f>
        <v>97297.408207641085</v>
      </c>
      <c r="S576" s="7">
        <f ca="1">IF(R$153=0,0,R$292/R$153*S102*(1+S$105/SUM(S$102:S$104))*120/60/R$161)</f>
        <v>59405.454052554487</v>
      </c>
      <c r="U576" s="5"/>
      <c r="V576" s="6" t="e">
        <f ca="1">IF(W$153=0,0,W$292/W$153*V102*(1+V$105/SUM(V$102:V$104))*60/60/W$161)</f>
        <v>#DIV/0!</v>
      </c>
      <c r="W576" s="6" t="e">
        <f ca="1">IF(W$153=0,0,W$292/W$153*W102*(1+W$105/SUM(W$102:W$104))*75/60/W$161)</f>
        <v>#DIV/0!</v>
      </c>
      <c r="X576" s="7" t="e">
        <f ca="1">IF(W$153=0,0,W$292/W$153*X102*(1+X$105/SUM(X$102:X$104))*120/60/W$161)</f>
        <v>#DIV/0!</v>
      </c>
    </row>
    <row r="577" spans="1:24" x14ac:dyDescent="0.25">
      <c r="A577" s="5"/>
      <c r="B577" s="6">
        <f ca="1">IF(C$153=0,0,C$292/C$153*B103*(1+B$105/SUM(B$102:B$104))*60/60/C$161)</f>
        <v>17037.091842812268</v>
      </c>
      <c r="C577" s="6">
        <f ca="1">IF(C$153=0,0,C$292/C$153*C103*(1+C$105/SUM(C$102:C$104))*75/60/C$161)</f>
        <v>16661.234106655538</v>
      </c>
      <c r="D577" s="7">
        <f ca="1">IF(C$153=0,0,C$292/C$153*D103*(1+D$105/SUM(D$102:D$104))*120/60/C$161)</f>
        <v>10188.842024908206</v>
      </c>
      <c r="F577" s="5"/>
      <c r="G577" s="6">
        <f ca="1">IF(H$153=0,0,H$292/H$153*G103*(1+G$105/SUM(G$102:G$104))*60/60/H$161)</f>
        <v>59854.351040373018</v>
      </c>
      <c r="H577" s="6">
        <f ca="1">IF(H$153=0,0,H$292/H$153*H103*(1+H$105/SUM(H$102:H$104))*75/60/H$161)</f>
        <v>42994.565466842287</v>
      </c>
      <c r="I577" s="7">
        <f ca="1">IF(H$153=0,0,H$292/H$153*I103*(1+I$105/SUM(I$102:I$104))*120/60/H$161)</f>
        <v>29108.00650302977</v>
      </c>
      <c r="K577" s="5"/>
      <c r="L577" s="6">
        <f ca="1">IF(M$153=0,0,M$292/M$153*L103*(1+L$105/SUM(L$102:L$104))*60/60/M$161)</f>
        <v>81692.55179893742</v>
      </c>
      <c r="M577" s="6">
        <f ca="1">IF(M$153=0,0,M$292/M$153*M103*(1+M$105/SUM(M$102:M$104))*75/60/M$161)</f>
        <v>46337.052811223664</v>
      </c>
      <c r="N577" s="7">
        <f ca="1">IF(M$153=0,0,M$292/M$153*N103*(1+N$105/SUM(N$102:N$104))*120/60/M$161)</f>
        <v>37032.400249934333</v>
      </c>
      <c r="P577" s="5"/>
      <c r="Q577" s="6">
        <f ca="1">IF(R$153=0,0,R$292/R$153*Q103*(1+Q$105/SUM(Q$102:Q$104))*60/60/R$161)</f>
        <v>59902.162338238035</v>
      </c>
      <c r="R577" s="6">
        <f ca="1">IF(R$153=0,0,R$292/R$153*R103*(1+R$105/SUM(R$102:R$104))*75/60/R$161)</f>
        <v>59391.959593414264</v>
      </c>
      <c r="S577" s="7">
        <f ca="1">IF(R$153=0,0,R$292/R$153*S103*(1+S$105/SUM(S$102:S$104))*120/60/R$161)</f>
        <v>64274.753565058949</v>
      </c>
      <c r="U577" s="5"/>
      <c r="V577" s="6" t="e">
        <f ca="1">IF(W$153=0,0,W$292/W$153*V103*(1+V$105/SUM(V$102:V$104))*60/60/W$161)</f>
        <v>#DIV/0!</v>
      </c>
      <c r="W577" s="6" t="e">
        <f ca="1">IF(W$153=0,0,W$292/W$153*W103*(1+W$105/SUM(W$102:W$104))*75/60/W$161)</f>
        <v>#DIV/0!</v>
      </c>
      <c r="X577" s="7" t="e">
        <f ca="1">IF(W$153=0,0,W$292/W$153*X103*(1+X$105/SUM(X$102:X$104))*120/60/W$161)</f>
        <v>#DIV/0!</v>
      </c>
    </row>
    <row r="578" spans="1:24" ht="13.8" thickBot="1" x14ac:dyDescent="0.3">
      <c r="A578" s="9"/>
      <c r="B578" s="10">
        <f ca="1">IF(C$153=0,0,C$292/C$153*B104*(1+B$105/SUM(B$102:B$104))*60/60/C$161)</f>
        <v>41081.893160592597</v>
      </c>
      <c r="C578" s="10">
        <f ca="1">IF(C$153=0,0,C$292/C$153*C104*(1+C$105/SUM(C$102:C$104))*75/60/C$161)</f>
        <v>28734.592154956659</v>
      </c>
      <c r="D578" s="11">
        <f ca="1">IF(C$153=0,0,C$292/C$153*D104*(1+D$105/SUM(D$102:D$104))*120/60/C$161)</f>
        <v>20764.602101395205</v>
      </c>
      <c r="F578" s="9"/>
      <c r="G578" s="10">
        <f ca="1">IF(H$153=0,0,H$292/H$153*G104*(1+G$105/SUM(G$102:G$104))*60/60/H$161)</f>
        <v>47808.662893497945</v>
      </c>
      <c r="H578" s="10">
        <f ca="1">IF(H$153=0,0,H$292/H$153*H104*(1+H$105/SUM(H$102:H$104))*75/60/H$161)</f>
        <v>19202.36584031082</v>
      </c>
      <c r="I578" s="11">
        <f ca="1">IF(H$153=0,0,H$292/H$153*I104*(1+I$105/SUM(I$102:I$104))*120/60/H$161)</f>
        <v>16804.622311027495</v>
      </c>
      <c r="K578" s="9"/>
      <c r="L578" s="10">
        <f ca="1">IF(M$153=0,0,M$292/M$153*L104*(1+L$105/SUM(L$102:L$104))*60/60/M$161)</f>
        <v>53414.360791612926</v>
      </c>
      <c r="M578" s="10">
        <f ca="1">IF(M$153=0,0,M$292/M$153*M104*(1+M$105/SUM(M$102:M$104))*75/60/M$161)</f>
        <v>18035.954303333434</v>
      </c>
      <c r="N578" s="11">
        <f ca="1">IF(M$153=0,0,M$292/M$153*N104*(1+N$105/SUM(N$102:N$104))*120/60/M$161)</f>
        <v>16288.109653498086</v>
      </c>
      <c r="P578" s="9"/>
      <c r="Q578" s="10">
        <f ca="1">IF(R$153=0,0,R$292/R$153*Q104*(1+Q$105/SUM(Q$102:Q$104))*60/60/R$161)</f>
        <v>40069.689672199769</v>
      </c>
      <c r="R578" s="10">
        <f ca="1">IF(R$153=0,0,R$292/R$153*R104*(1+R$105/SUM(R$102:R$104))*75/60/R$161)</f>
        <v>24831.109386325072</v>
      </c>
      <c r="S578" s="11">
        <f ca="1">IF(R$153=0,0,R$292/R$153*S104*(1+S$105/SUM(S$102:S$104))*120/60/R$161)</f>
        <v>20775.677920019054</v>
      </c>
      <c r="U578" s="9"/>
      <c r="V578" s="10" t="e">
        <f ca="1">IF(W$153=0,0,W$292/W$153*V104*(1+V$105/SUM(V$102:V$104))*60/60/W$161)</f>
        <v>#DIV/0!</v>
      </c>
      <c r="W578" s="10" t="e">
        <f ca="1">IF(W$153=0,0,W$292/W$153*W104*(1+W$105/SUM(W$102:W$104))*75/60/W$161)</f>
        <v>#DIV/0!</v>
      </c>
      <c r="X578" s="11" t="e">
        <f ca="1">IF(W$153=0,0,W$292/W$153*X104*(1+X$105/SUM(X$102:X$104))*120/60/W$161)</f>
        <v>#DIV/0!</v>
      </c>
    </row>
    <row r="579" spans="1:24" x14ac:dyDescent="0.25">
      <c r="A579" s="5"/>
      <c r="B579" s="6"/>
      <c r="C579" s="6"/>
      <c r="D579" s="7"/>
      <c r="F579" s="5"/>
      <c r="G579" s="6"/>
      <c r="H579" s="6"/>
      <c r="I579" s="7"/>
      <c r="K579" s="5"/>
      <c r="L579" s="6"/>
      <c r="M579" s="6"/>
      <c r="N579" s="7"/>
      <c r="P579" s="5"/>
      <c r="Q579" s="6"/>
      <c r="R579" s="6"/>
      <c r="S579" s="7"/>
      <c r="U579" s="5"/>
      <c r="V579" s="6"/>
      <c r="W579" s="6"/>
      <c r="X579" s="7"/>
    </row>
    <row r="580" spans="1:24" x14ac:dyDescent="0.25">
      <c r="A580" s="5"/>
      <c r="B580" s="6">
        <f ca="1">B102*(1+B$105/SUM(B$102:B$104))*60/60/C$161*8+B102*(1+B$105/SUM(B$102:B$104))</f>
        <v>9170.7829787345217</v>
      </c>
      <c r="C580" s="6">
        <f ca="1">C102*(1+C$105/SUM(C$102:C$104))*75/60/C$161*8+C102*(1+C$105/SUM(C$102:C$104))</f>
        <v>8419.9272788491762</v>
      </c>
      <c r="D580" s="7">
        <f ca="1">D102*(1+D$105/SUM(D$102:D$104))*120/60/C$161*8+D102*(1+D$105/SUM(D$102:D$104))</f>
        <v>5544.3881031986248</v>
      </c>
      <c r="F580" s="5"/>
      <c r="G580" s="6">
        <f ca="1">G102*(1+G$105/SUM(G$102:G$104))*60/60/H$161*8+G102*(1+G$105/SUM(G$102:G$104))</f>
        <v>13518.78277647804</v>
      </c>
      <c r="H580" s="6">
        <f ca="1">H102*(1+H$105/SUM(H$102:H$104))*75/60/H$161*8+H102*(1+H$105/SUM(H$102:H$104))</f>
        <v>9210.8393401388985</v>
      </c>
      <c r="I580" s="7">
        <f ca="1">I102*(1+I$105/SUM(I$102:I$104))*120/60/H$161*8+I102*(1+I$105/SUM(I$102:I$104))</f>
        <v>5691.3820085808893</v>
      </c>
      <c r="K580" s="5"/>
      <c r="L580" s="6">
        <f ca="1">L102*(1+L$105/SUM(L$102:L$104))*60/60/M$161*8+L102*(1+L$105/SUM(L$102:L$104))</f>
        <v>17678.640378859807</v>
      </c>
      <c r="M580" s="6">
        <f ca="1">M102*(1+M$105/SUM(M$102:M$104))*75/60/M$161*8+M102*(1+M$105/SUM(M$102:M$104))</f>
        <v>9778.3601202054233</v>
      </c>
      <c r="N580" s="7">
        <f ca="1">N102*(1+N$105/SUM(N$102:N$104))*120/60/M$161*8+N102*(1+N$105/SUM(N$102:N$104))</f>
        <v>6514.2438817361353</v>
      </c>
      <c r="P580" s="5"/>
      <c r="Q580" s="6">
        <f ca="1">Q102*(1+Q$105/SUM(Q$102:Q$104))*60/60/R$161*8+Q102*(1+Q$105/SUM(Q$102:Q$104))</f>
        <v>17397.633190852739</v>
      </c>
      <c r="R580" s="6">
        <f ca="1">R102*(1+R$105/SUM(R$102:R$104))*75/60/R$161*8+R102*(1+R$105/SUM(R$102:R$104))</f>
        <v>12708.839082369901</v>
      </c>
      <c r="S580" s="7">
        <f ca="1">S102*(1+S$105/SUM(S$102:S$104))*120/60/R$161*8+S102*(1+S$105/SUM(S$102:S$104))</f>
        <v>7532.9225056854193</v>
      </c>
      <c r="U580" s="5"/>
      <c r="V580" s="6" t="e">
        <f ca="1">V102*(1+V$105/SUM(V$102:V$104))*60/60/W$161*8+V102*(1+V$105/SUM(V$102:V$104))</f>
        <v>#DIV/0!</v>
      </c>
      <c r="W580" s="6" t="e">
        <f ca="1">W102*(1+W$105/SUM(W$102:W$104))*75/60/W$161*8+W102*(1+W$105/SUM(W$102:W$104))</f>
        <v>#DIV/0!</v>
      </c>
      <c r="X580" s="7" t="e">
        <f ca="1">X102*(1+X$105/SUM(X$102:X$104))*120/60/W$161*8+X102*(1+X$105/SUM(X$102:X$104))</f>
        <v>#DIV/0!</v>
      </c>
    </row>
    <row r="581" spans="1:24" x14ac:dyDescent="0.25">
      <c r="A581" s="5"/>
      <c r="B581" s="6">
        <f ca="1">B103*(1+B$105/SUM(B$102:B$104))*60/60/C$161*8+B103*(1+B$105/SUM(B$102:B$104))</f>
        <v>2618.8119497463881</v>
      </c>
      <c r="C581" s="6">
        <f ca="1">C103*(1+C$105/SUM(C$102:C$104))*75/60/C$161*8+C103*(1+C$105/SUM(C$102:C$104))</f>
        <v>2507.8056787363735</v>
      </c>
      <c r="D581" s="7">
        <f ca="1">D103*(1+D$105/SUM(D$102:D$104))*120/60/C$161*8+D103*(1+D$105/SUM(D$102:D$104))</f>
        <v>1484.7683395006486</v>
      </c>
      <c r="F581" s="5"/>
      <c r="G581" s="6">
        <f ca="1">G103*(1+G$105/SUM(G$102:G$104))*60/60/H$161*8+G103*(1+G$105/SUM(G$102:G$104))</f>
        <v>8107.2160578578932</v>
      </c>
      <c r="H581" s="6">
        <f ca="1">H103*(1+H$105/SUM(H$102:H$104))*75/60/H$161*8+H103*(1+H$105/SUM(H$102:H$104))</f>
        <v>5705.4996722317892</v>
      </c>
      <c r="I581" s="7">
        <f ca="1">I103*(1+I$105/SUM(I$102:I$104))*120/60/H$161*8+I103*(1+I$105/SUM(I$102:I$104))</f>
        <v>3742.8071514057374</v>
      </c>
      <c r="K581" s="5"/>
      <c r="L581" s="6">
        <f ca="1">L103*(1+L$105/SUM(L$102:L$104))*60/60/M$161*8+L103*(1+L$105/SUM(L$102:L$104))</f>
        <v>11204.179930953957</v>
      </c>
      <c r="M581" s="6">
        <f ca="1">M103*(1+M$105/SUM(M$102:M$104))*75/60/M$161*8+M103*(1+M$105/SUM(M$102:M$104))</f>
        <v>6230.8020291018738</v>
      </c>
      <c r="N581" s="7">
        <f ca="1">N103*(1+N$105/SUM(N$102:N$104))*120/60/M$161*8+N103*(1+N$105/SUM(N$102:N$104))</f>
        <v>4830.5623861489494</v>
      </c>
      <c r="P581" s="5"/>
      <c r="Q581" s="6">
        <f ca="1">Q103*(1+Q$105/SUM(Q$102:Q$104))*60/60/R$161*8+Q103*(1+Q$105/SUM(Q$102:Q$104))</f>
        <v>7976.6100131542908</v>
      </c>
      <c r="R581" s="6">
        <f ca="1">R103*(1+R$105/SUM(R$102:R$104))*75/60/R$161*8+R103*(1+R$105/SUM(R$102:R$104))</f>
        <v>7757.6871898632935</v>
      </c>
      <c r="S581" s="7">
        <f ca="1">S103*(1+S$105/SUM(S$102:S$104))*120/60/R$161*8+S103*(1+S$105/SUM(S$102:S$104))</f>
        <v>8150.3751700858629</v>
      </c>
      <c r="U581" s="5"/>
      <c r="V581" s="6" t="e">
        <f ca="1">V103*(1+V$105/SUM(V$102:V$104))*60/60/W$161*8+V103*(1+V$105/SUM(V$102:V$104))</f>
        <v>#DIV/0!</v>
      </c>
      <c r="W581" s="6" t="e">
        <f ca="1">W103*(1+W$105/SUM(W$102:W$104))*75/60/W$161*8+W103*(1+W$105/SUM(W$102:W$104))</f>
        <v>#DIV/0!</v>
      </c>
      <c r="X581" s="7" t="e">
        <f ca="1">X103*(1+X$105/SUM(X$102:X$104))*120/60/W$161*8+X103*(1+X$105/SUM(X$102:X$104))</f>
        <v>#DIV/0!</v>
      </c>
    </row>
    <row r="582" spans="1:24" ht="13.8" thickBot="1" x14ac:dyDescent="0.3">
      <c r="A582" s="9"/>
      <c r="B582" s="10">
        <f ca="1">B104*(1+B$105/SUM(B$102:B$104))*60/60/C$161*8+B104*(1+B$105/SUM(B$102:B$104))</f>
        <v>6314.7956071243098</v>
      </c>
      <c r="C582" s="10">
        <f ca="1">C104*(1+C$105/SUM(C$102:C$104))*75/60/C$161*8+C104*(1+C$105/SUM(C$102:C$104))</f>
        <v>4325.0561705743257</v>
      </c>
      <c r="D582" s="11">
        <f ca="1">D104*(1+D$105/SUM(D$102:D$104))*120/60/C$161*8+D104*(1+D$105/SUM(D$102:D$104))</f>
        <v>3025.9202868304355</v>
      </c>
      <c r="F582" s="9"/>
      <c r="G582" s="10">
        <f ca="1">G104*(1+G$105/SUM(G$102:G$104))*60/60/H$161*8+G104*(1+G$105/SUM(G$102:G$104))</f>
        <v>6475.6388262139926</v>
      </c>
      <c r="H582" s="10">
        <f ca="1">H104*(1+H$105/SUM(H$102:H$104))*75/60/H$161*8+H104*(1+H$105/SUM(H$102:H$104))</f>
        <v>2548.207914613326</v>
      </c>
      <c r="I582" s="11">
        <f ca="1">I104*(1+I$105/SUM(I$102:I$104))*120/60/H$161*8+I104*(1+I$105/SUM(I$102:I$104))</f>
        <v>2160.7958812239308</v>
      </c>
      <c r="K582" s="9"/>
      <c r="L582" s="10">
        <f ca="1">L104*(1+L$105/SUM(L$102:L$104))*60/60/M$161*8+L104*(1+L$105/SUM(L$102:L$104))</f>
        <v>7325.8099548545097</v>
      </c>
      <c r="M582" s="10">
        <f ca="1">M104*(1+M$105/SUM(M$102:M$104))*75/60/M$161*8+M104*(1+M$105/SUM(M$102:M$104))</f>
        <v>2425.239713190791</v>
      </c>
      <c r="N582" s="11">
        <f ca="1">N104*(1+N$105/SUM(N$102:N$104))*120/60/M$161*8+N104*(1+N$105/SUM(N$102:N$104))</f>
        <v>2124.6456968124012</v>
      </c>
      <c r="P582" s="9"/>
      <c r="Q582" s="10">
        <f ca="1">Q104*(1+Q$105/SUM(Q$102:Q$104))*60/60/R$161*8+Q104*(1+Q$105/SUM(Q$102:Q$104))</f>
        <v>5335.7053466369916</v>
      </c>
      <c r="R582" s="10">
        <f ca="1">R104*(1+R$105/SUM(R$102:R$104))*75/60/R$161*8+R104*(1+R$105/SUM(R$102:R$104))</f>
        <v>3243.4016408131524</v>
      </c>
      <c r="S582" s="11">
        <f ca="1">S104*(1+S$105/SUM(S$102:S$104))*120/60/R$161*8+S104*(1+S$105/SUM(S$102:S$104))</f>
        <v>2634.4647014418952</v>
      </c>
      <c r="U582" s="9"/>
      <c r="V582" s="10" t="e">
        <f ca="1">V104*(1+V$105/SUM(V$102:V$104))*60/60/W$161*8+V104*(1+V$105/SUM(V$102:V$104))</f>
        <v>#DIV/0!</v>
      </c>
      <c r="W582" s="10" t="e">
        <f ca="1">W104*(1+W$105/SUM(W$102:W$104))*75/60/W$161*8+W104*(1+W$105/SUM(W$102:W$104))</f>
        <v>#DIV/0!</v>
      </c>
      <c r="X582" s="11" t="e">
        <f ca="1">X104*(1+X$105/SUM(X$102:X$104))*120/60/W$161*8+X104*(1+X$105/SUM(X$102:X$104))</f>
        <v>#DIV/0!</v>
      </c>
    </row>
    <row r="583" spans="1:24" x14ac:dyDescent="0.25">
      <c r="A583" s="5"/>
      <c r="B583" s="6"/>
      <c r="C583" s="6"/>
      <c r="D583" s="7"/>
      <c r="F583" s="5"/>
      <c r="G583" s="6"/>
      <c r="H583" s="6"/>
      <c r="I583" s="7"/>
      <c r="K583" s="5"/>
      <c r="L583" s="6"/>
      <c r="M583" s="6"/>
      <c r="N583" s="7"/>
      <c r="P583" s="5"/>
      <c r="Q583" s="6"/>
      <c r="R583" s="6"/>
      <c r="S583" s="7"/>
      <c r="U583" s="5"/>
      <c r="V583" s="6"/>
      <c r="W583" s="6"/>
      <c r="X583" s="7"/>
    </row>
    <row r="584" spans="1:24" x14ac:dyDescent="0.25">
      <c r="A584" s="5"/>
      <c r="B584" s="6"/>
      <c r="C584" s="6"/>
      <c r="D584" s="7"/>
      <c r="F584" s="5"/>
      <c r="G584" s="6"/>
      <c r="H584" s="6"/>
      <c r="I584" s="7"/>
      <c r="K584" s="5"/>
      <c r="L584" s="6"/>
      <c r="M584" s="6"/>
      <c r="N584" s="7"/>
      <c r="P584" s="5"/>
      <c r="Q584" s="6"/>
      <c r="R584" s="6"/>
      <c r="S584" s="7"/>
      <c r="U584" s="5"/>
      <c r="V584" s="6"/>
      <c r="W584" s="6"/>
      <c r="X584" s="7"/>
    </row>
    <row r="585" spans="1:24" x14ac:dyDescent="0.25">
      <c r="A585" s="5"/>
      <c r="B585" s="6"/>
      <c r="C585" s="6"/>
      <c r="D585" s="7"/>
      <c r="F585" s="5"/>
      <c r="G585" s="6"/>
      <c r="H585" s="6"/>
      <c r="I585" s="7"/>
      <c r="K585" s="5"/>
      <c r="L585" s="6"/>
      <c r="M585" s="6"/>
      <c r="N585" s="7"/>
      <c r="P585" s="5"/>
      <c r="Q585" s="6"/>
      <c r="R585" s="6"/>
      <c r="S585" s="7"/>
      <c r="U585" s="5"/>
      <c r="V585" s="6"/>
      <c r="W585" s="6"/>
      <c r="X585" s="7"/>
    </row>
    <row r="586" spans="1:24" ht="13.8" thickBot="1" x14ac:dyDescent="0.3">
      <c r="A586" s="9"/>
      <c r="B586" s="10"/>
      <c r="C586" s="10"/>
      <c r="D586" s="11"/>
      <c r="F586" s="9"/>
      <c r="G586" s="10"/>
      <c r="H586" s="10"/>
      <c r="I586" s="11"/>
      <c r="K586" s="9"/>
      <c r="L586" s="10"/>
      <c r="M586" s="10"/>
      <c r="N586" s="11"/>
      <c r="P586" s="9"/>
      <c r="Q586" s="10"/>
      <c r="R586" s="10"/>
      <c r="S586" s="11"/>
      <c r="U586" s="9"/>
      <c r="V586" s="10"/>
      <c r="W586" s="10"/>
      <c r="X586" s="11"/>
    </row>
    <row r="587" spans="1:24" x14ac:dyDescent="0.25">
      <c r="A587" s="5"/>
      <c r="B587" s="6"/>
      <c r="C587" s="6"/>
      <c r="D587" s="7"/>
      <c r="F587" s="5"/>
      <c r="G587" s="6"/>
      <c r="H587" s="6"/>
      <c r="I587" s="7"/>
      <c r="K587" s="5"/>
      <c r="L587" s="6"/>
      <c r="M587" s="6"/>
      <c r="N587" s="7"/>
      <c r="P587" s="5"/>
      <c r="Q587" s="6"/>
      <c r="R587" s="6"/>
      <c r="S587" s="7"/>
      <c r="U587" s="5"/>
      <c r="V587" s="6"/>
      <c r="W587" s="6"/>
      <c r="X587" s="7"/>
    </row>
    <row r="588" spans="1:24" x14ac:dyDescent="0.25">
      <c r="A588" s="5"/>
      <c r="B588" s="6"/>
      <c r="C588" s="6"/>
      <c r="D588" s="7"/>
      <c r="F588" s="5"/>
      <c r="G588" s="6"/>
      <c r="H588" s="6"/>
      <c r="I588" s="7"/>
      <c r="K588" s="5"/>
      <c r="L588" s="6"/>
      <c r="M588" s="6"/>
      <c r="N588" s="7"/>
      <c r="P588" s="5"/>
      <c r="Q588" s="6"/>
      <c r="R588" s="6"/>
      <c r="S588" s="7"/>
      <c r="U588" s="5"/>
      <c r="V588" s="6"/>
      <c r="W588" s="6"/>
      <c r="X588" s="7"/>
    </row>
    <row r="589" spans="1:24" x14ac:dyDescent="0.25">
      <c r="A589" s="5"/>
      <c r="B589" s="6"/>
      <c r="C589" s="6"/>
      <c r="D589" s="7"/>
      <c r="F589" s="5"/>
      <c r="G589" s="6"/>
      <c r="H589" s="6"/>
      <c r="I589" s="7"/>
      <c r="K589" s="5"/>
      <c r="L589" s="6"/>
      <c r="M589" s="6"/>
      <c r="N589" s="7"/>
      <c r="P589" s="5"/>
      <c r="Q589" s="6"/>
      <c r="R589" s="6"/>
      <c r="S589" s="7"/>
      <c r="U589" s="5"/>
      <c r="V589" s="6"/>
      <c r="W589" s="6"/>
      <c r="X589" s="7"/>
    </row>
    <row r="590" spans="1:24" ht="13.8" thickBot="1" x14ac:dyDescent="0.3">
      <c r="A590" s="9"/>
      <c r="B590" s="10"/>
      <c r="C590" s="10"/>
      <c r="D590" s="11"/>
      <c r="F590" s="9"/>
      <c r="G590" s="10"/>
      <c r="H590" s="10"/>
      <c r="I590" s="11"/>
      <c r="K590" s="9"/>
      <c r="L590" s="10"/>
      <c r="M590" s="10"/>
      <c r="N590" s="11"/>
      <c r="P590" s="9"/>
      <c r="Q590" s="10"/>
      <c r="R590" s="10"/>
      <c r="S590" s="11"/>
      <c r="U590" s="9"/>
      <c r="V590" s="10"/>
      <c r="W590" s="10"/>
      <c r="X590" s="11"/>
    </row>
  </sheetData>
  <scenarios current="0">
    <scenario name="1" count="1" user="Олег Игоревич" comment="Автор: Олег Игоревич , 12/9/2013">
      <inputCells r="C163" val="0"/>
    </scenario>
  </scenarios>
  <mergeCells count="458">
    <mergeCell ref="A233:C233"/>
    <mergeCell ref="F233:H233"/>
    <mergeCell ref="K233:M233"/>
    <mergeCell ref="P233:R233"/>
    <mergeCell ref="U233:W233"/>
    <mergeCell ref="A238:C238"/>
    <mergeCell ref="F238:H238"/>
    <mergeCell ref="K238:M238"/>
    <mergeCell ref="P238:R238"/>
    <mergeCell ref="U238:W238"/>
    <mergeCell ref="K252:M252"/>
    <mergeCell ref="A243:C243"/>
    <mergeCell ref="F243:H243"/>
    <mergeCell ref="K243:M243"/>
    <mergeCell ref="P243:R243"/>
    <mergeCell ref="U243:W243"/>
    <mergeCell ref="A248:C248"/>
    <mergeCell ref="F248:H248"/>
    <mergeCell ref="K248:M248"/>
    <mergeCell ref="P248:R248"/>
    <mergeCell ref="U248:W248"/>
    <mergeCell ref="K223:M223"/>
    <mergeCell ref="P223:R223"/>
    <mergeCell ref="U223:W223"/>
    <mergeCell ref="A228:C228"/>
    <mergeCell ref="F228:H228"/>
    <mergeCell ref="K228:M228"/>
    <mergeCell ref="P228:R228"/>
    <mergeCell ref="U228:W228"/>
    <mergeCell ref="A213:C213"/>
    <mergeCell ref="F213:H213"/>
    <mergeCell ref="K213:M213"/>
    <mergeCell ref="P213:R213"/>
    <mergeCell ref="U213:W213"/>
    <mergeCell ref="A218:C218"/>
    <mergeCell ref="F218:H218"/>
    <mergeCell ref="K218:M218"/>
    <mergeCell ref="P218:R218"/>
    <mergeCell ref="U218:W218"/>
    <mergeCell ref="A223:C223"/>
    <mergeCell ref="F223:H223"/>
    <mergeCell ref="A203:B203"/>
    <mergeCell ref="F203:G203"/>
    <mergeCell ref="K203:L203"/>
    <mergeCell ref="P203:Q203"/>
    <mergeCell ref="U203:V203"/>
    <mergeCell ref="A208:C208"/>
    <mergeCell ref="F208:H208"/>
    <mergeCell ref="K208:M208"/>
    <mergeCell ref="P208:R208"/>
    <mergeCell ref="U208:W208"/>
    <mergeCell ref="A201:B201"/>
    <mergeCell ref="F201:G201"/>
    <mergeCell ref="K201:L201"/>
    <mergeCell ref="P201:Q201"/>
    <mergeCell ref="U201:V201"/>
    <mergeCell ref="K202:M202"/>
    <mergeCell ref="A199:B199"/>
    <mergeCell ref="F199:G199"/>
    <mergeCell ref="K199:L199"/>
    <mergeCell ref="P199:Q199"/>
    <mergeCell ref="U199:V199"/>
    <mergeCell ref="A200:B200"/>
    <mergeCell ref="F200:G200"/>
    <mergeCell ref="K200:L200"/>
    <mergeCell ref="P200:Q200"/>
    <mergeCell ref="U200:V200"/>
    <mergeCell ref="A197:B197"/>
    <mergeCell ref="F197:G197"/>
    <mergeCell ref="K197:L197"/>
    <mergeCell ref="P197:Q197"/>
    <mergeCell ref="U197:V197"/>
    <mergeCell ref="A198:B198"/>
    <mergeCell ref="F198:G198"/>
    <mergeCell ref="K198:L198"/>
    <mergeCell ref="P198:Q198"/>
    <mergeCell ref="U198:V198"/>
    <mergeCell ref="A195:B195"/>
    <mergeCell ref="F195:G195"/>
    <mergeCell ref="K195:L195"/>
    <mergeCell ref="P195:Q195"/>
    <mergeCell ref="U195:V195"/>
    <mergeCell ref="A196:B196"/>
    <mergeCell ref="F196:G196"/>
    <mergeCell ref="K196:L196"/>
    <mergeCell ref="P196:Q196"/>
    <mergeCell ref="U196:V196"/>
    <mergeCell ref="A193:B193"/>
    <mergeCell ref="F193:G193"/>
    <mergeCell ref="K193:L193"/>
    <mergeCell ref="P193:Q193"/>
    <mergeCell ref="U193:V193"/>
    <mergeCell ref="A194:B194"/>
    <mergeCell ref="F194:G194"/>
    <mergeCell ref="K194:L194"/>
    <mergeCell ref="P194:Q194"/>
    <mergeCell ref="U194:V194"/>
    <mergeCell ref="A191:B191"/>
    <mergeCell ref="F191:G191"/>
    <mergeCell ref="K191:L191"/>
    <mergeCell ref="P191:Q191"/>
    <mergeCell ref="U191:V191"/>
    <mergeCell ref="A192:B192"/>
    <mergeCell ref="F192:G192"/>
    <mergeCell ref="K192:L192"/>
    <mergeCell ref="P192:Q192"/>
    <mergeCell ref="U192:V192"/>
    <mergeCell ref="A189:B189"/>
    <mergeCell ref="F189:G189"/>
    <mergeCell ref="K189:L189"/>
    <mergeCell ref="P189:Q189"/>
    <mergeCell ref="U189:V189"/>
    <mergeCell ref="A190:B190"/>
    <mergeCell ref="F190:G190"/>
    <mergeCell ref="K190:L190"/>
    <mergeCell ref="P190:Q190"/>
    <mergeCell ref="U190:V190"/>
    <mergeCell ref="A187:C187"/>
    <mergeCell ref="F187:H187"/>
    <mergeCell ref="K187:M187"/>
    <mergeCell ref="P187:R187"/>
    <mergeCell ref="U187:W187"/>
    <mergeCell ref="A188:C188"/>
    <mergeCell ref="F188:H188"/>
    <mergeCell ref="K188:M188"/>
    <mergeCell ref="P188:R188"/>
    <mergeCell ref="U188:W188"/>
    <mergeCell ref="A182:B182"/>
    <mergeCell ref="F182:G182"/>
    <mergeCell ref="K182:L182"/>
    <mergeCell ref="P182:Q182"/>
    <mergeCell ref="U182:V182"/>
    <mergeCell ref="A183:B183"/>
    <mergeCell ref="F183:G183"/>
    <mergeCell ref="K183:L183"/>
    <mergeCell ref="P183:Q183"/>
    <mergeCell ref="U183:V183"/>
    <mergeCell ref="A180:B180"/>
    <mergeCell ref="F180:G180"/>
    <mergeCell ref="K180:L180"/>
    <mergeCell ref="P180:Q180"/>
    <mergeCell ref="U180:V180"/>
    <mergeCell ref="A181:B181"/>
    <mergeCell ref="F181:G181"/>
    <mergeCell ref="K181:L181"/>
    <mergeCell ref="P181:Q181"/>
    <mergeCell ref="U181:V181"/>
    <mergeCell ref="A178:B178"/>
    <mergeCell ref="F178:G178"/>
    <mergeCell ref="K178:L178"/>
    <mergeCell ref="P178:Q178"/>
    <mergeCell ref="U178:V178"/>
    <mergeCell ref="A179:C179"/>
    <mergeCell ref="F179:H179"/>
    <mergeCell ref="K179:M179"/>
    <mergeCell ref="P179:R179"/>
    <mergeCell ref="U179:W179"/>
    <mergeCell ref="A176:B176"/>
    <mergeCell ref="F176:G176"/>
    <mergeCell ref="K176:L176"/>
    <mergeCell ref="P176:Q176"/>
    <mergeCell ref="U176:V176"/>
    <mergeCell ref="A177:B177"/>
    <mergeCell ref="F177:G177"/>
    <mergeCell ref="K177:L177"/>
    <mergeCell ref="P177:Q177"/>
    <mergeCell ref="U177:V177"/>
    <mergeCell ref="A174:B174"/>
    <mergeCell ref="F174:G174"/>
    <mergeCell ref="K174:L174"/>
    <mergeCell ref="P174:Q174"/>
    <mergeCell ref="U174:V174"/>
    <mergeCell ref="A175:B175"/>
    <mergeCell ref="F175:G175"/>
    <mergeCell ref="K175:L175"/>
    <mergeCell ref="P175:Q175"/>
    <mergeCell ref="U175:V175"/>
    <mergeCell ref="A172:B172"/>
    <mergeCell ref="F172:G172"/>
    <mergeCell ref="K172:L172"/>
    <mergeCell ref="P172:Q172"/>
    <mergeCell ref="U172:V172"/>
    <mergeCell ref="A173:B173"/>
    <mergeCell ref="F173:G173"/>
    <mergeCell ref="K173:L173"/>
    <mergeCell ref="P173:Q173"/>
    <mergeCell ref="U173:V173"/>
    <mergeCell ref="A170:B170"/>
    <mergeCell ref="F170:G170"/>
    <mergeCell ref="K170:L170"/>
    <mergeCell ref="P170:Q170"/>
    <mergeCell ref="U170:V170"/>
    <mergeCell ref="A171:B171"/>
    <mergeCell ref="F171:G171"/>
    <mergeCell ref="K171:L171"/>
    <mergeCell ref="P171:Q171"/>
    <mergeCell ref="U171:V171"/>
    <mergeCell ref="A168:B168"/>
    <mergeCell ref="F168:G168"/>
    <mergeCell ref="K168:L168"/>
    <mergeCell ref="P168:Q168"/>
    <mergeCell ref="U168:V168"/>
    <mergeCell ref="A169:B169"/>
    <mergeCell ref="F169:G169"/>
    <mergeCell ref="K169:L169"/>
    <mergeCell ref="P169:Q169"/>
    <mergeCell ref="U169:V169"/>
    <mergeCell ref="A166:B166"/>
    <mergeCell ref="F166:G166"/>
    <mergeCell ref="K166:L166"/>
    <mergeCell ref="P166:Q166"/>
    <mergeCell ref="U166:V166"/>
    <mergeCell ref="A167:B167"/>
    <mergeCell ref="F167:G167"/>
    <mergeCell ref="K167:L167"/>
    <mergeCell ref="P167:Q167"/>
    <mergeCell ref="U167:V167"/>
    <mergeCell ref="A163:B163"/>
    <mergeCell ref="F163:G163"/>
    <mergeCell ref="K163:L163"/>
    <mergeCell ref="P163:Q163"/>
    <mergeCell ref="U163:V163"/>
    <mergeCell ref="A165:C165"/>
    <mergeCell ref="F165:H165"/>
    <mergeCell ref="K165:M165"/>
    <mergeCell ref="P165:R165"/>
    <mergeCell ref="U165:W165"/>
    <mergeCell ref="A161:B161"/>
    <mergeCell ref="F161:G161"/>
    <mergeCell ref="K161:L161"/>
    <mergeCell ref="P161:Q161"/>
    <mergeCell ref="U161:V161"/>
    <mergeCell ref="A162:B162"/>
    <mergeCell ref="F162:G162"/>
    <mergeCell ref="K162:L162"/>
    <mergeCell ref="P162:Q162"/>
    <mergeCell ref="U162:V162"/>
    <mergeCell ref="A159:B159"/>
    <mergeCell ref="F159:G159"/>
    <mergeCell ref="K159:L159"/>
    <mergeCell ref="P159:Q159"/>
    <mergeCell ref="U159:V159"/>
    <mergeCell ref="A160:B160"/>
    <mergeCell ref="F160:G160"/>
    <mergeCell ref="K160:L160"/>
    <mergeCell ref="P160:Q160"/>
    <mergeCell ref="U160:V160"/>
    <mergeCell ref="A157:B157"/>
    <mergeCell ref="F157:G157"/>
    <mergeCell ref="K157:L157"/>
    <mergeCell ref="P157:Q157"/>
    <mergeCell ref="U157:V157"/>
    <mergeCell ref="A158:B158"/>
    <mergeCell ref="F158:G158"/>
    <mergeCell ref="K158:L158"/>
    <mergeCell ref="P158:Q158"/>
    <mergeCell ref="U158:V158"/>
    <mergeCell ref="A155:B155"/>
    <mergeCell ref="F155:G155"/>
    <mergeCell ref="K155:L155"/>
    <mergeCell ref="P155:Q155"/>
    <mergeCell ref="U155:V155"/>
    <mergeCell ref="A156:B156"/>
    <mergeCell ref="F156:G156"/>
    <mergeCell ref="K156:L156"/>
    <mergeCell ref="P156:Q156"/>
    <mergeCell ref="U156:V156"/>
    <mergeCell ref="A153:B153"/>
    <mergeCell ref="F153:G153"/>
    <mergeCell ref="K153:L153"/>
    <mergeCell ref="P153:Q153"/>
    <mergeCell ref="U153:V153"/>
    <mergeCell ref="A154:B154"/>
    <mergeCell ref="F154:G154"/>
    <mergeCell ref="K154:L154"/>
    <mergeCell ref="P154:Q154"/>
    <mergeCell ref="U154:V154"/>
    <mergeCell ref="Z148:AB148"/>
    <mergeCell ref="AC148:AE148"/>
    <mergeCell ref="AF148:AH148"/>
    <mergeCell ref="AI148:AK148"/>
    <mergeCell ref="K151:M151"/>
    <mergeCell ref="A152:C152"/>
    <mergeCell ref="F152:H152"/>
    <mergeCell ref="K152:M152"/>
    <mergeCell ref="P152:R152"/>
    <mergeCell ref="U152:W152"/>
    <mergeCell ref="A147:D147"/>
    <mergeCell ref="F147:I147"/>
    <mergeCell ref="K147:N147"/>
    <mergeCell ref="P147:S147"/>
    <mergeCell ref="U147:X147"/>
    <mergeCell ref="Z147:AL147"/>
    <mergeCell ref="A137:C137"/>
    <mergeCell ref="F137:H137"/>
    <mergeCell ref="K137:M137"/>
    <mergeCell ref="P137:R137"/>
    <mergeCell ref="U137:W137"/>
    <mergeCell ref="A142:C142"/>
    <mergeCell ref="F142:H142"/>
    <mergeCell ref="K142:M142"/>
    <mergeCell ref="P142:R142"/>
    <mergeCell ref="U142:W142"/>
    <mergeCell ref="Z131:AI131"/>
    <mergeCell ref="A132:C132"/>
    <mergeCell ref="F132:H132"/>
    <mergeCell ref="K132:M132"/>
    <mergeCell ref="P132:R132"/>
    <mergeCell ref="U132:W132"/>
    <mergeCell ref="A118:A119"/>
    <mergeCell ref="F118:F119"/>
    <mergeCell ref="K118:K119"/>
    <mergeCell ref="P118:P119"/>
    <mergeCell ref="U118:U119"/>
    <mergeCell ref="A127:D127"/>
    <mergeCell ref="F127:I127"/>
    <mergeCell ref="K127:N127"/>
    <mergeCell ref="P127:S127"/>
    <mergeCell ref="U127:X127"/>
    <mergeCell ref="Z115:AC115"/>
    <mergeCell ref="Z99:AE99"/>
    <mergeCell ref="AI99:AJ99"/>
    <mergeCell ref="K100:M100"/>
    <mergeCell ref="A101:C101"/>
    <mergeCell ref="F101:H101"/>
    <mergeCell ref="K101:M101"/>
    <mergeCell ref="P101:R101"/>
    <mergeCell ref="U101:W101"/>
    <mergeCell ref="AI115:AJ115"/>
    <mergeCell ref="A96:B96"/>
    <mergeCell ref="F96:G96"/>
    <mergeCell ref="K96:L96"/>
    <mergeCell ref="P96:Q96"/>
    <mergeCell ref="U96:V96"/>
    <mergeCell ref="A115:D115"/>
    <mergeCell ref="F115:I115"/>
    <mergeCell ref="K115:N115"/>
    <mergeCell ref="P115:S115"/>
    <mergeCell ref="U115:X115"/>
    <mergeCell ref="AI83:AJ83"/>
    <mergeCell ref="A91:C91"/>
    <mergeCell ref="F91:H91"/>
    <mergeCell ref="K91:M91"/>
    <mergeCell ref="P91:R91"/>
    <mergeCell ref="U91:W91"/>
    <mergeCell ref="A81:C81"/>
    <mergeCell ref="F81:H81"/>
    <mergeCell ref="K81:M81"/>
    <mergeCell ref="P81:R81"/>
    <mergeCell ref="U81:W81"/>
    <mergeCell ref="Z83:AE83"/>
    <mergeCell ref="A86:C86"/>
    <mergeCell ref="F86:H86"/>
    <mergeCell ref="K86:M86"/>
    <mergeCell ref="P86:R86"/>
    <mergeCell ref="U86:W86"/>
    <mergeCell ref="Z67:AE67"/>
    <mergeCell ref="A71:C71"/>
    <mergeCell ref="F71:H71"/>
    <mergeCell ref="K71:M71"/>
    <mergeCell ref="P71:R71"/>
    <mergeCell ref="U71:W71"/>
    <mergeCell ref="A76:C76"/>
    <mergeCell ref="F76:H76"/>
    <mergeCell ref="K76:M76"/>
    <mergeCell ref="P76:R76"/>
    <mergeCell ref="U76:W76"/>
    <mergeCell ref="A66:C66"/>
    <mergeCell ref="F66:H66"/>
    <mergeCell ref="K66:M66"/>
    <mergeCell ref="P66:R66"/>
    <mergeCell ref="U66:W66"/>
    <mergeCell ref="A56:C56"/>
    <mergeCell ref="F56:H56"/>
    <mergeCell ref="K56:M56"/>
    <mergeCell ref="P56:R56"/>
    <mergeCell ref="U56:W56"/>
    <mergeCell ref="A61:C61"/>
    <mergeCell ref="F61:H61"/>
    <mergeCell ref="K61:M61"/>
    <mergeCell ref="P61:R61"/>
    <mergeCell ref="U61:W61"/>
    <mergeCell ref="A51:C51"/>
    <mergeCell ref="F51:H51"/>
    <mergeCell ref="K51:M51"/>
    <mergeCell ref="P51:R51"/>
    <mergeCell ref="U51:W51"/>
    <mergeCell ref="Z51:AI51"/>
    <mergeCell ref="AC41:AC44"/>
    <mergeCell ref="A46:C46"/>
    <mergeCell ref="F46:H46"/>
    <mergeCell ref="K46:M46"/>
    <mergeCell ref="P46:R46"/>
    <mergeCell ref="U46:W46"/>
    <mergeCell ref="Z46:AA46"/>
    <mergeCell ref="AC46:AC49"/>
    <mergeCell ref="A41:C41"/>
    <mergeCell ref="F41:H41"/>
    <mergeCell ref="K41:M41"/>
    <mergeCell ref="P41:R41"/>
    <mergeCell ref="U41:W41"/>
    <mergeCell ref="Z41:AA41"/>
    <mergeCell ref="AC31:AC34"/>
    <mergeCell ref="A36:C36"/>
    <mergeCell ref="F36:H36"/>
    <mergeCell ref="K36:M36"/>
    <mergeCell ref="P36:R36"/>
    <mergeCell ref="U36:W36"/>
    <mergeCell ref="Z36:AA36"/>
    <mergeCell ref="AC36:AC39"/>
    <mergeCell ref="A31:C31"/>
    <mergeCell ref="F31:H31"/>
    <mergeCell ref="K31:M31"/>
    <mergeCell ref="P31:R31"/>
    <mergeCell ref="U31:W31"/>
    <mergeCell ref="Z31:AA31"/>
    <mergeCell ref="AC21:AC24"/>
    <mergeCell ref="A26:C26"/>
    <mergeCell ref="F26:H26"/>
    <mergeCell ref="K26:M26"/>
    <mergeCell ref="P26:R26"/>
    <mergeCell ref="U26:W26"/>
    <mergeCell ref="Z26:AA26"/>
    <mergeCell ref="AC26:AC29"/>
    <mergeCell ref="A21:C21"/>
    <mergeCell ref="F21:H21"/>
    <mergeCell ref="K21:M21"/>
    <mergeCell ref="P21:R21"/>
    <mergeCell ref="U21:W21"/>
    <mergeCell ref="Z21:AA21"/>
    <mergeCell ref="AC11:AC14"/>
    <mergeCell ref="A16:C16"/>
    <mergeCell ref="F16:H16"/>
    <mergeCell ref="K16:M16"/>
    <mergeCell ref="P16:R16"/>
    <mergeCell ref="U16:W16"/>
    <mergeCell ref="Z16:AA16"/>
    <mergeCell ref="AC16:AC19"/>
    <mergeCell ref="A11:C11"/>
    <mergeCell ref="F11:H11"/>
    <mergeCell ref="K11:M11"/>
    <mergeCell ref="P11:R11"/>
    <mergeCell ref="U11:W11"/>
    <mergeCell ref="Z11:AA11"/>
    <mergeCell ref="AC1:AC4"/>
    <mergeCell ref="A6:C6"/>
    <mergeCell ref="F6:H6"/>
    <mergeCell ref="K6:M6"/>
    <mergeCell ref="P6:R6"/>
    <mergeCell ref="U6:W6"/>
    <mergeCell ref="Z6:AA6"/>
    <mergeCell ref="AC6:AC9"/>
    <mergeCell ref="A1:C1"/>
    <mergeCell ref="F1:H1"/>
    <mergeCell ref="K1:M1"/>
    <mergeCell ref="P1:R1"/>
    <mergeCell ref="U1:W1"/>
    <mergeCell ref="Z1:AA1"/>
  </mergeCells>
  <conditionalFormatting sqref="Z69:Z81">
    <cfRule type="colorScale" priority="458">
      <colorScale>
        <cfvo type="min"/>
        <cfvo type="percentile" val="50"/>
        <cfvo type="max"/>
        <color rgb="FFF8696B"/>
        <color rgb="FFFFEB84"/>
        <color rgb="FF63BE7B"/>
      </colorScale>
    </cfRule>
  </conditionalFormatting>
  <conditionalFormatting sqref="AB69:AB81">
    <cfRule type="colorScale" priority="457">
      <colorScale>
        <cfvo type="min"/>
        <cfvo type="percentile" val="50"/>
        <cfvo type="max"/>
        <color rgb="FFF8696B"/>
        <color rgb="FFFFEB84"/>
        <color rgb="FF63BE7B"/>
      </colorScale>
    </cfRule>
  </conditionalFormatting>
  <conditionalFormatting sqref="AD69:AD81">
    <cfRule type="colorScale" priority="456">
      <colorScale>
        <cfvo type="min"/>
        <cfvo type="percentile" val="50"/>
        <cfvo type="max"/>
        <color rgb="FFF8696B"/>
        <color rgb="FFFFEB84"/>
        <color rgb="FF63BE7B"/>
      </colorScale>
    </cfRule>
  </conditionalFormatting>
  <conditionalFormatting sqref="D50">
    <cfRule type="cellIs" dxfId="276" priority="452" operator="lessThan">
      <formula>0</formula>
    </cfRule>
    <cfRule type="cellIs" dxfId="275" priority="453" operator="greaterThan">
      <formula>0</formula>
    </cfRule>
  </conditionalFormatting>
  <conditionalFormatting sqref="C96">
    <cfRule type="cellIs" dxfId="274" priority="451" operator="greaterThan">
      <formula>0</formula>
    </cfRule>
  </conditionalFormatting>
  <conditionalFormatting sqref="D101">
    <cfRule type="cellIs" dxfId="273" priority="444" operator="greaterThan">
      <formula>0</formula>
    </cfRule>
  </conditionalFormatting>
  <conditionalFormatting sqref="B148:D150">
    <cfRule type="colorScale" priority="443">
      <colorScale>
        <cfvo type="min"/>
        <cfvo type="percentile" val="50"/>
        <cfvo type="max"/>
        <color rgb="FF63BE7B"/>
        <color rgb="FFFFEB84"/>
        <color rgb="FFF8696B"/>
      </colorScale>
    </cfRule>
  </conditionalFormatting>
  <conditionalFormatting sqref="D135">
    <cfRule type="cellIs" dxfId="272" priority="445" operator="between">
      <formula>$D$40-$D$40*0.05</formula>
      <formula>$D$40+$D$40*0.05</formula>
    </cfRule>
  </conditionalFormatting>
  <conditionalFormatting sqref="B133:B134">
    <cfRule type="cellIs" dxfId="271" priority="446" operator="between">
      <formula>$B$38-$B$38*0.05</formula>
      <formula>$B$38+$B$38*0.05</formula>
    </cfRule>
  </conditionalFormatting>
  <conditionalFormatting sqref="B135">
    <cfRule type="cellIs" dxfId="270" priority="447" operator="between">
      <formula>$B$40-$B$40*0.05</formula>
      <formula>$B$40+$B$40*0.05</formula>
    </cfRule>
  </conditionalFormatting>
  <conditionalFormatting sqref="C133:C134">
    <cfRule type="cellIs" dxfId="269" priority="448" operator="between">
      <formula>$C$38-$C$38*0.05</formula>
      <formula>$C$38+$C$38*0.05</formula>
    </cfRule>
  </conditionalFormatting>
  <conditionalFormatting sqref="C135">
    <cfRule type="cellIs" dxfId="268" priority="449" operator="between">
      <formula>$C$40-$C$40*0.05</formula>
      <formula>$C$40+$C$40*0.05</formula>
    </cfRule>
  </conditionalFormatting>
  <conditionalFormatting sqref="D133:D134">
    <cfRule type="cellIs" dxfId="267" priority="450" operator="between">
      <formula>$D$38-$D$38*0.05</formula>
      <formula>$D$38+$D$38*0.05</formula>
    </cfRule>
  </conditionalFormatting>
  <conditionalFormatting sqref="D166">
    <cfRule type="cellIs" dxfId="266" priority="56" operator="lessThan">
      <formula>100%</formula>
    </cfRule>
    <cfRule type="cellIs" dxfId="265" priority="441" operator="greaterThan">
      <formula>D$167</formula>
    </cfRule>
  </conditionalFormatting>
  <conditionalFormatting sqref="D161">
    <cfRule type="cellIs" dxfId="264" priority="440" operator="equal">
      <formula>0</formula>
    </cfRule>
  </conditionalFormatting>
  <conditionalFormatting sqref="C183">
    <cfRule type="cellIs" dxfId="263" priority="439" operator="lessThan">
      <formula>0</formula>
    </cfRule>
  </conditionalFormatting>
  <conditionalFormatting sqref="A209:C211">
    <cfRule type="cellIs" dxfId="262" priority="438" operator="greaterThan">
      <formula>0</formula>
    </cfRule>
  </conditionalFormatting>
  <conditionalFormatting sqref="A239:C241">
    <cfRule type="cellIs" dxfId="261" priority="437" operator="lessThan">
      <formula>0</formula>
    </cfRule>
  </conditionalFormatting>
  <conditionalFormatting sqref="D256:D272 D275:D277 D281:D282">
    <cfRule type="cellIs" dxfId="260" priority="436" operator="equal">
      <formula>C256</formula>
    </cfRule>
  </conditionalFormatting>
  <conditionalFormatting sqref="D288:D308 D310:D313 D285:D286">
    <cfRule type="cellIs" dxfId="259" priority="435" operator="equal">
      <formula>C285</formula>
    </cfRule>
  </conditionalFormatting>
  <conditionalFormatting sqref="D317:D320 D341 D344:D347 D331 D323:D329 D334:D339">
    <cfRule type="cellIs" dxfId="258" priority="434" operator="equal">
      <formula>C317</formula>
    </cfRule>
  </conditionalFormatting>
  <conditionalFormatting sqref="C327">
    <cfRule type="cellIs" dxfId="257" priority="433" operator="lessThan">
      <formula>0</formula>
    </cfRule>
  </conditionalFormatting>
  <conditionalFormatting sqref="C328">
    <cfRule type="cellIs" dxfId="256" priority="432" operator="lessThan">
      <formula>0</formula>
    </cfRule>
  </conditionalFormatting>
  <conditionalFormatting sqref="D351:D355 D364:D369 D358:D361 D371:D374 D376:D377 D379:D380">
    <cfRule type="cellIs" dxfId="255" priority="431" operator="equal">
      <formula>C351</formula>
    </cfRule>
  </conditionalFormatting>
  <conditionalFormatting sqref="B383:D385">
    <cfRule type="colorScale" priority="430">
      <colorScale>
        <cfvo type="min"/>
        <cfvo type="percentile" val="50"/>
        <cfvo type="max"/>
        <color rgb="FFF8696B"/>
        <color rgb="FFFFEB84"/>
        <color rgb="FF63BE7B"/>
      </colorScale>
    </cfRule>
  </conditionalFormatting>
  <conditionalFormatting sqref="I50">
    <cfRule type="cellIs" dxfId="254" priority="428" operator="lessThan">
      <formula>0</formula>
    </cfRule>
    <cfRule type="cellIs" dxfId="253" priority="429" operator="greaterThan">
      <formula>0</formula>
    </cfRule>
  </conditionalFormatting>
  <conditionalFormatting sqref="H96">
    <cfRule type="cellIs" dxfId="252" priority="427" operator="greaterThan">
      <formula>0</formula>
    </cfRule>
  </conditionalFormatting>
  <conditionalFormatting sqref="I101">
    <cfRule type="cellIs" dxfId="251" priority="426" operator="greaterThan">
      <formula>0</formula>
    </cfRule>
  </conditionalFormatting>
  <conditionalFormatting sqref="G148:I150">
    <cfRule type="colorScale" priority="425">
      <colorScale>
        <cfvo type="min"/>
        <cfvo type="percentile" val="50"/>
        <cfvo type="max"/>
        <color rgb="FF63BE7B"/>
        <color rgb="FFFFEB84"/>
        <color rgb="FFF8696B"/>
      </colorScale>
    </cfRule>
  </conditionalFormatting>
  <conditionalFormatting sqref="I161">
    <cfRule type="cellIs" dxfId="250" priority="423" operator="equal">
      <formula>0</formula>
    </cfRule>
  </conditionalFormatting>
  <conditionalFormatting sqref="H182">
    <cfRule type="cellIs" dxfId="249" priority="421" operator="greaterThan">
      <formula>2000</formula>
    </cfRule>
    <cfRule type="cellIs" dxfId="248" priority="422" operator="lessThan">
      <formula>0</formula>
    </cfRule>
  </conditionalFormatting>
  <conditionalFormatting sqref="F209:H211">
    <cfRule type="cellIs" dxfId="247" priority="420" operator="greaterThan">
      <formula>0</formula>
    </cfRule>
  </conditionalFormatting>
  <conditionalFormatting sqref="F239:H241">
    <cfRule type="cellIs" dxfId="246" priority="419" operator="lessThan">
      <formula>0</formula>
    </cfRule>
  </conditionalFormatting>
  <conditionalFormatting sqref="H328">
    <cfRule type="cellIs" dxfId="245" priority="418" operator="lessThan">
      <formula>0</formula>
    </cfRule>
  </conditionalFormatting>
  <conditionalFormatting sqref="G383:I385">
    <cfRule type="colorScale" priority="416">
      <colorScale>
        <cfvo type="min"/>
        <cfvo type="percentile" val="50"/>
        <cfvo type="max"/>
        <color rgb="FFF8696B"/>
        <color rgb="FFFFEB84"/>
        <color rgb="FF63BE7B"/>
      </colorScale>
    </cfRule>
  </conditionalFormatting>
  <conditionalFormatting sqref="I135">
    <cfRule type="cellIs" dxfId="244" priority="459" operator="between">
      <formula>$I$40-$I$40*0.05</formula>
      <formula>$I$40+$I$40*0.05</formula>
    </cfRule>
  </conditionalFormatting>
  <conditionalFormatting sqref="G133:G134">
    <cfRule type="cellIs" dxfId="243" priority="460" operator="between">
      <formula>$G$38-$G$38*0.05</formula>
      <formula>$G$38+$G$38*0.05</formula>
    </cfRule>
  </conditionalFormatting>
  <conditionalFormatting sqref="G135">
    <cfRule type="cellIs" dxfId="242" priority="461" operator="between">
      <formula>$G$40-$G$40*0.05</formula>
      <formula>$G$40+$G$40*0.05</formula>
    </cfRule>
  </conditionalFormatting>
  <conditionalFormatting sqref="H133:H134">
    <cfRule type="cellIs" dxfId="241" priority="462" operator="between">
      <formula>$H$38-$H$38*0.05</formula>
      <formula>$H$38+$H$38*0.05</formula>
    </cfRule>
  </conditionalFormatting>
  <conditionalFormatting sqref="H135">
    <cfRule type="cellIs" dxfId="240" priority="463" operator="between">
      <formula>$H$40-$H$40*0.05</formula>
      <formula>$H$40+$H$40*0.05</formula>
    </cfRule>
  </conditionalFormatting>
  <conditionalFormatting sqref="I133:I134">
    <cfRule type="cellIs" dxfId="239" priority="464" operator="between">
      <formula>$I$38-$I$38*0.05</formula>
      <formula>$I$38+$I$38*0.05</formula>
    </cfRule>
  </conditionalFormatting>
  <conditionalFormatting sqref="M96">
    <cfRule type="cellIs" dxfId="238" priority="415" operator="greaterThan">
      <formula>0</formula>
    </cfRule>
  </conditionalFormatting>
  <conditionalFormatting sqref="N101">
    <cfRule type="cellIs" dxfId="237" priority="414" operator="greaterThan">
      <formula>0</formula>
    </cfRule>
  </conditionalFormatting>
  <conditionalFormatting sqref="L148:N150">
    <cfRule type="colorScale" priority="413">
      <colorScale>
        <cfvo type="min"/>
        <cfvo type="percentile" val="50"/>
        <cfvo type="max"/>
        <color rgb="FF63BE7B"/>
        <color rgb="FFFFEB84"/>
        <color rgb="FFF8696B"/>
      </colorScale>
    </cfRule>
  </conditionalFormatting>
  <conditionalFormatting sqref="M182">
    <cfRule type="cellIs" dxfId="236" priority="410" operator="greaterThan">
      <formula>2000</formula>
    </cfRule>
    <cfRule type="cellIs" dxfId="235" priority="411" operator="lessThan">
      <formula>0</formula>
    </cfRule>
  </conditionalFormatting>
  <conditionalFormatting sqref="K239:M241">
    <cfRule type="cellIs" dxfId="234" priority="409" operator="lessThan">
      <formula>0</formula>
    </cfRule>
  </conditionalFormatting>
  <conditionalFormatting sqref="L383:N385">
    <cfRule type="colorScale" priority="407">
      <colorScale>
        <cfvo type="min"/>
        <cfvo type="percentile" val="50"/>
        <cfvo type="max"/>
        <color rgb="FFF8696B"/>
        <color rgb="FFFFEB84"/>
        <color rgb="FF63BE7B"/>
      </colorScale>
    </cfRule>
  </conditionalFormatting>
  <conditionalFormatting sqref="R96">
    <cfRule type="cellIs" dxfId="233" priority="406" operator="greaterThan">
      <formula>0</formula>
    </cfRule>
  </conditionalFormatting>
  <conditionalFormatting sqref="S101">
    <cfRule type="cellIs" dxfId="232" priority="405" operator="greaterThan">
      <formula>0</formula>
    </cfRule>
  </conditionalFormatting>
  <conditionalFormatting sqref="Q148:S150">
    <cfRule type="colorScale" priority="404">
      <colorScale>
        <cfvo type="min"/>
        <cfvo type="percentile" val="50"/>
        <cfvo type="max"/>
        <color rgb="FF63BE7B"/>
        <color rgb="FFFFEB84"/>
        <color rgb="FFF8696B"/>
      </colorScale>
    </cfRule>
  </conditionalFormatting>
  <conditionalFormatting sqref="R182">
    <cfRule type="cellIs" dxfId="231" priority="401" operator="greaterThan">
      <formula>2000</formula>
    </cfRule>
    <cfRule type="cellIs" dxfId="230" priority="402" operator="lessThan">
      <formula>0</formula>
    </cfRule>
  </conditionalFormatting>
  <conditionalFormatting sqref="P239:R241">
    <cfRule type="cellIs" dxfId="229" priority="400" operator="lessThan">
      <formula>0</formula>
    </cfRule>
  </conditionalFormatting>
  <conditionalFormatting sqref="Q383:S385">
    <cfRule type="colorScale" priority="398">
      <colorScale>
        <cfvo type="min"/>
        <cfvo type="percentile" val="50"/>
        <cfvo type="max"/>
        <color rgb="FFF8696B"/>
        <color rgb="FFFFEB84"/>
        <color rgb="FF63BE7B"/>
      </colorScale>
    </cfRule>
  </conditionalFormatting>
  <conditionalFormatting sqref="N135">
    <cfRule type="cellIs" dxfId="228" priority="465" operator="between">
      <formula>$N$40-$N$40*0.05</formula>
      <formula>$N$40+$N$40*0.05</formula>
    </cfRule>
  </conditionalFormatting>
  <conditionalFormatting sqref="L133:L134">
    <cfRule type="cellIs" dxfId="227" priority="466" operator="between">
      <formula>$L$38-$L$38*0.05</formula>
      <formula>$L$38+$L$38*0.05</formula>
    </cfRule>
  </conditionalFormatting>
  <conditionalFormatting sqref="L135">
    <cfRule type="cellIs" dxfId="226" priority="467" operator="between">
      <formula>$L$40-$L$40*0.05</formula>
      <formula>$L$40+$L$40*0.05</formula>
    </cfRule>
  </conditionalFormatting>
  <conditionalFormatting sqref="M133:M134">
    <cfRule type="cellIs" dxfId="225" priority="468" operator="between">
      <formula>$M$38-$M$38*0.05</formula>
      <formula>$M$38+$M$38*0.05</formula>
    </cfRule>
  </conditionalFormatting>
  <conditionalFormatting sqref="M135">
    <cfRule type="cellIs" dxfId="224" priority="469" operator="between">
      <formula>$M$40-$M$40*0.05</formula>
      <formula>$M$40+$M$40*0.05</formula>
    </cfRule>
  </conditionalFormatting>
  <conditionalFormatting sqref="N133:N134">
    <cfRule type="cellIs" dxfId="223" priority="470" operator="between">
      <formula>$N$38-$N$38*0.05</formula>
      <formula>$N$38+$N$38*0.05</formula>
    </cfRule>
  </conditionalFormatting>
  <conditionalFormatting sqref="S135">
    <cfRule type="cellIs" dxfId="222" priority="471" operator="between">
      <formula>$S$40-$S$40*0.05</formula>
      <formula>$S$40+$S$40*0.05</formula>
    </cfRule>
  </conditionalFormatting>
  <conditionalFormatting sqref="Q133:Q134">
    <cfRule type="cellIs" dxfId="221" priority="472" operator="between">
      <formula>$Q$38-$Q$38*0.05</formula>
      <formula>$Q$38+$Q$38*0.05</formula>
    </cfRule>
  </conditionalFormatting>
  <conditionalFormatting sqref="Q135">
    <cfRule type="cellIs" dxfId="220" priority="473" operator="between">
      <formula>$Q$40-$Q$40*0.05</formula>
      <formula>$Q$40+$Q$40*0.05</formula>
    </cfRule>
  </conditionalFormatting>
  <conditionalFormatting sqref="R133:R134">
    <cfRule type="cellIs" dxfId="219" priority="474" operator="between">
      <formula>$R$38-$R$38*0.05</formula>
      <formula>$R$38+$R$38*0.05</formula>
    </cfRule>
  </conditionalFormatting>
  <conditionalFormatting sqref="R135">
    <cfRule type="cellIs" dxfId="218" priority="475" operator="between">
      <formula>$R$40-$R$40*0.05</formula>
      <formula>$R$40+$R$40*0.05</formula>
    </cfRule>
  </conditionalFormatting>
  <conditionalFormatting sqref="S133:S134">
    <cfRule type="cellIs" dxfId="217" priority="476" operator="between">
      <formula>$S$38-$S$38*0.05</formula>
      <formula>$S$38+$S$38*0.05</formula>
    </cfRule>
  </conditionalFormatting>
  <conditionalFormatting sqref="X50">
    <cfRule type="cellIs" dxfId="216" priority="396" operator="lessThan">
      <formula>0</formula>
    </cfRule>
    <cfRule type="cellIs" dxfId="215" priority="397" operator="greaterThan">
      <formula>0</formula>
    </cfRule>
  </conditionalFormatting>
  <conditionalFormatting sqref="W96">
    <cfRule type="cellIs" dxfId="214" priority="395" operator="greaterThan">
      <formula>0</formula>
    </cfRule>
  </conditionalFormatting>
  <conditionalFormatting sqref="X101">
    <cfRule type="cellIs" dxfId="213" priority="394" operator="greaterThan">
      <formula>0</formula>
    </cfRule>
  </conditionalFormatting>
  <conditionalFormatting sqref="V148:X150">
    <cfRule type="colorScale" priority="393">
      <colorScale>
        <cfvo type="min"/>
        <cfvo type="percentile" val="50"/>
        <cfvo type="max"/>
        <color rgb="FF63BE7B"/>
        <color rgb="FFFFEB84"/>
        <color rgb="FFF8696B"/>
      </colorScale>
    </cfRule>
  </conditionalFormatting>
  <conditionalFormatting sqref="W182">
    <cfRule type="cellIs" dxfId="212" priority="390" operator="greaterThan">
      <formula>2000</formula>
    </cfRule>
    <cfRule type="cellIs" dxfId="211" priority="391" operator="lessThan">
      <formula>0</formula>
    </cfRule>
  </conditionalFormatting>
  <conditionalFormatting sqref="U239:W241">
    <cfRule type="cellIs" dxfId="210" priority="389" operator="lessThan">
      <formula>0</formula>
    </cfRule>
  </conditionalFormatting>
  <conditionalFormatting sqref="V383:X385">
    <cfRule type="colorScale" priority="387">
      <colorScale>
        <cfvo type="min"/>
        <cfvo type="percentile" val="50"/>
        <cfvo type="max"/>
        <color rgb="FFF8696B"/>
        <color rgb="FFFFEB84"/>
        <color rgb="FF63BE7B"/>
      </colorScale>
    </cfRule>
  </conditionalFormatting>
  <conditionalFormatting sqref="X135">
    <cfRule type="cellIs" dxfId="209" priority="477" operator="between">
      <formula>$X$40-$X$40*0.05</formula>
      <formula>$X$40+$X$40*0.05</formula>
    </cfRule>
  </conditionalFormatting>
  <conditionalFormatting sqref="V133:V134">
    <cfRule type="cellIs" dxfId="208" priority="478" operator="between">
      <formula>$V$38-$V$38*0.05</formula>
      <formula>$V$38+$V$38*0.05</formula>
    </cfRule>
  </conditionalFormatting>
  <conditionalFormatting sqref="V135">
    <cfRule type="cellIs" dxfId="207" priority="479" operator="between">
      <formula>$V$40-$V$40*0.05</formula>
      <formula>$V$40+$V$40*0.05</formula>
    </cfRule>
  </conditionalFormatting>
  <conditionalFormatting sqref="W133:W134">
    <cfRule type="cellIs" dxfId="206" priority="480" operator="between">
      <formula>$W$38-$W$38*0.05</formula>
      <formula>$W$38+$W$38*0.05</formula>
    </cfRule>
  </conditionalFormatting>
  <conditionalFormatting sqref="W135">
    <cfRule type="cellIs" dxfId="205" priority="481" operator="between">
      <formula>$W$40-$W$40*0.05</formula>
      <formula>$W$40+$W$40*0.05</formula>
    </cfRule>
  </conditionalFormatting>
  <conditionalFormatting sqref="X133:X134">
    <cfRule type="cellIs" dxfId="204" priority="482" operator="between">
      <formula>$X$38-$X$38*0.05</formula>
      <formula>$X$38+$X$38*0.05</formula>
    </cfRule>
  </conditionalFormatting>
  <conditionalFormatting sqref="D177">
    <cfRule type="cellIs" dxfId="203" priority="483" operator="lessThan">
      <formula>#REF!</formula>
    </cfRule>
  </conditionalFormatting>
  <conditionalFormatting sqref="C196">
    <cfRule type="cellIs" dxfId="202" priority="484" operator="lessThan">
      <formula>#REF!</formula>
    </cfRule>
  </conditionalFormatting>
  <conditionalFormatting sqref="D200">
    <cfRule type="cellIs" dxfId="201" priority="485" operator="lessThan">
      <formula>#REF!</formula>
    </cfRule>
  </conditionalFormatting>
  <conditionalFormatting sqref="E328">
    <cfRule type="cellIs" dxfId="200" priority="486" operator="greaterThan">
      <formula>#REF!</formula>
    </cfRule>
  </conditionalFormatting>
  <conditionalFormatting sqref="I256:I272 I275:I277 I281:I282">
    <cfRule type="cellIs" dxfId="199" priority="386" operator="equal">
      <formula>H256</formula>
    </cfRule>
  </conditionalFormatting>
  <conditionalFormatting sqref="I286 I288:I308 I310:I313">
    <cfRule type="cellIs" dxfId="198" priority="385" operator="equal">
      <formula>H286</formula>
    </cfRule>
  </conditionalFormatting>
  <conditionalFormatting sqref="I317:I320 I341 I344:I347 I331 I334:I335 I338:I339 I323:I329">
    <cfRule type="cellIs" dxfId="197" priority="384" operator="equal">
      <formula>H317</formula>
    </cfRule>
  </conditionalFormatting>
  <conditionalFormatting sqref="I351:I355 I364:I369 I358:I361 I371:I374 I376:I377 I379:I380">
    <cfRule type="cellIs" dxfId="196" priority="383" operator="equal">
      <formula>H351</formula>
    </cfRule>
  </conditionalFormatting>
  <conditionalFormatting sqref="N256:N272 N275:N277 N281:N282">
    <cfRule type="cellIs" dxfId="195" priority="382" operator="equal">
      <formula>M256</formula>
    </cfRule>
  </conditionalFormatting>
  <conditionalFormatting sqref="N286 N288:N308 N310:N313">
    <cfRule type="cellIs" dxfId="194" priority="381" operator="equal">
      <formula>M286</formula>
    </cfRule>
  </conditionalFormatting>
  <conditionalFormatting sqref="N317:N320 N341 N344:N347 N331 N334:N335 N338:N339 N323:N329">
    <cfRule type="cellIs" dxfId="193" priority="380" operator="equal">
      <formula>M317</formula>
    </cfRule>
  </conditionalFormatting>
  <conditionalFormatting sqref="N351:N355 N364:N369 N358:N361 N371:N374 N376:N377 N379:N380">
    <cfRule type="cellIs" dxfId="192" priority="379" operator="equal">
      <formula>M351</formula>
    </cfRule>
  </conditionalFormatting>
  <conditionalFormatting sqref="S256:S272 S275:S277 S281:S282">
    <cfRule type="cellIs" dxfId="191" priority="378" operator="equal">
      <formula>R256</formula>
    </cfRule>
  </conditionalFormatting>
  <conditionalFormatting sqref="S286 S288:S308 S310:S313">
    <cfRule type="cellIs" dxfId="190" priority="377" operator="equal">
      <formula>R286</formula>
    </cfRule>
  </conditionalFormatting>
  <conditionalFormatting sqref="S317:S320 S341 S344:S347 S331 S334:S335 S338:S339 S323:S329">
    <cfRule type="cellIs" dxfId="189" priority="376" operator="equal">
      <formula>R317</formula>
    </cfRule>
  </conditionalFormatting>
  <conditionalFormatting sqref="S351:S355 S364:S369 S358:S361 S371:S374 S376:S377 S379:S380">
    <cfRule type="cellIs" dxfId="188" priority="375" operator="equal">
      <formula>R351</formula>
    </cfRule>
  </conditionalFormatting>
  <conditionalFormatting sqref="X256:X272 X275:X277 X281:X282">
    <cfRule type="cellIs" dxfId="187" priority="374" operator="equal">
      <formula>W256</formula>
    </cfRule>
  </conditionalFormatting>
  <conditionalFormatting sqref="X286 X288:X308 X310:X313">
    <cfRule type="cellIs" dxfId="186" priority="373" operator="equal">
      <formula>W286</formula>
    </cfRule>
  </conditionalFormatting>
  <conditionalFormatting sqref="X317:X320 X341 X344:X347 X331 X334:X335 X338:X339 X323:X329">
    <cfRule type="cellIs" dxfId="185" priority="372" operator="equal">
      <formula>W317</formula>
    </cfRule>
  </conditionalFormatting>
  <conditionalFormatting sqref="X351:X355 X364:X369 X358:X361 X371:X374 X376:X377 X379:X380">
    <cfRule type="cellIs" dxfId="184" priority="371" operator="equal">
      <formula>W351</formula>
    </cfRule>
  </conditionalFormatting>
  <conditionalFormatting sqref="I177">
    <cfRule type="cellIs" dxfId="183" priority="424" operator="lessThan">
      <formula>#REF!</formula>
    </cfRule>
  </conditionalFormatting>
  <conditionalFormatting sqref="J328">
    <cfRule type="cellIs" dxfId="182" priority="417" operator="greaterThan">
      <formula>#REF!</formula>
    </cfRule>
  </conditionalFormatting>
  <conditionalFormatting sqref="N177">
    <cfRule type="cellIs" dxfId="181" priority="412" operator="lessThan">
      <formula>#REF!</formula>
    </cfRule>
  </conditionalFormatting>
  <conditionalFormatting sqref="O328">
    <cfRule type="cellIs" dxfId="180" priority="408" operator="greaterThan">
      <formula>#REF!</formula>
    </cfRule>
  </conditionalFormatting>
  <conditionalFormatting sqref="S177">
    <cfRule type="cellIs" dxfId="179" priority="403" operator="lessThan">
      <formula>#REF!</formula>
    </cfRule>
  </conditionalFormatting>
  <conditionalFormatting sqref="T328">
    <cfRule type="cellIs" dxfId="178" priority="399" operator="greaterThan">
      <formula>#REF!</formula>
    </cfRule>
  </conditionalFormatting>
  <conditionalFormatting sqref="X177">
    <cfRule type="cellIs" dxfId="177" priority="392" operator="lessThan">
      <formula>#REF!</formula>
    </cfRule>
  </conditionalFormatting>
  <conditionalFormatting sqref="Y328">
    <cfRule type="cellIs" dxfId="176" priority="388" operator="greaterThan">
      <formula>#REF!</formula>
    </cfRule>
  </conditionalFormatting>
  <conditionalFormatting sqref="I285">
    <cfRule type="cellIs" dxfId="175" priority="370" operator="equal">
      <formula>H285</formula>
    </cfRule>
  </conditionalFormatting>
  <conditionalFormatting sqref="N285">
    <cfRule type="cellIs" dxfId="174" priority="369" operator="equal">
      <formula>M285</formula>
    </cfRule>
  </conditionalFormatting>
  <conditionalFormatting sqref="S285">
    <cfRule type="cellIs" dxfId="173" priority="368" operator="equal">
      <formula>R285</formula>
    </cfRule>
  </conditionalFormatting>
  <conditionalFormatting sqref="X285">
    <cfRule type="cellIs" dxfId="172" priority="367" operator="equal">
      <formula>W285</formula>
    </cfRule>
  </conditionalFormatting>
  <conditionalFormatting sqref="N161">
    <cfRule type="cellIs" dxfId="171" priority="366" operator="equal">
      <formula>0</formula>
    </cfRule>
  </conditionalFormatting>
  <conditionalFormatting sqref="S161">
    <cfRule type="cellIs" dxfId="170" priority="365" operator="equal">
      <formula>0</formula>
    </cfRule>
  </conditionalFormatting>
  <conditionalFormatting sqref="X161">
    <cfRule type="cellIs" dxfId="169" priority="364" operator="equal">
      <formula>0</formula>
    </cfRule>
  </conditionalFormatting>
  <conditionalFormatting sqref="M328">
    <cfRule type="cellIs" dxfId="168" priority="363" operator="lessThan">
      <formula>0</formula>
    </cfRule>
  </conditionalFormatting>
  <conditionalFormatting sqref="R328">
    <cfRule type="cellIs" dxfId="167" priority="362" operator="lessThan">
      <formula>0</formula>
    </cfRule>
  </conditionalFormatting>
  <conditionalFormatting sqref="W328">
    <cfRule type="cellIs" dxfId="166" priority="361" operator="lessThan">
      <formula>0</formula>
    </cfRule>
  </conditionalFormatting>
  <conditionalFormatting sqref="C170">
    <cfRule type="cellIs" dxfId="165" priority="360" operator="greaterThan">
      <formula>0</formula>
    </cfRule>
  </conditionalFormatting>
  <conditionalFormatting sqref="W170">
    <cfRule type="cellIs" dxfId="164" priority="356" operator="greaterThan">
      <formula>0</formula>
    </cfRule>
  </conditionalFormatting>
  <conditionalFormatting sqref="H170">
    <cfRule type="cellIs" dxfId="163" priority="359" operator="greaterThan">
      <formula>0</formula>
    </cfRule>
  </conditionalFormatting>
  <conditionalFormatting sqref="M170">
    <cfRule type="cellIs" dxfId="162" priority="358" operator="greaterThan">
      <formula>0</formula>
    </cfRule>
  </conditionalFormatting>
  <conditionalFormatting sqref="R170">
    <cfRule type="cellIs" dxfId="161" priority="357" operator="greaterThan">
      <formula>0</formula>
    </cfRule>
  </conditionalFormatting>
  <conditionalFormatting sqref="B113">
    <cfRule type="cellIs" dxfId="160" priority="355" operator="lessThan">
      <formula>0</formula>
    </cfRule>
  </conditionalFormatting>
  <conditionalFormatting sqref="A113">
    <cfRule type="cellIs" dxfId="159" priority="354" operator="lessThan">
      <formula>0</formula>
    </cfRule>
  </conditionalFormatting>
  <conditionalFormatting sqref="G113">
    <cfRule type="cellIs" dxfId="158" priority="353" operator="lessThan">
      <formula>0</formula>
    </cfRule>
  </conditionalFormatting>
  <conditionalFormatting sqref="I336:I337">
    <cfRule type="cellIs" dxfId="157" priority="352" operator="equal">
      <formula>H336</formula>
    </cfRule>
  </conditionalFormatting>
  <conditionalFormatting sqref="N336:N337">
    <cfRule type="cellIs" dxfId="156" priority="351" operator="equal">
      <formula>M336</formula>
    </cfRule>
  </conditionalFormatting>
  <conditionalFormatting sqref="S336:S337">
    <cfRule type="cellIs" dxfId="155" priority="350" operator="equal">
      <formula>R336</formula>
    </cfRule>
  </conditionalFormatting>
  <conditionalFormatting sqref="X336:X337">
    <cfRule type="cellIs" dxfId="154" priority="349" operator="equal">
      <formula>W336</formula>
    </cfRule>
  </conditionalFormatting>
  <conditionalFormatting sqref="B110:D110">
    <cfRule type="cellIs" dxfId="153" priority="348" operator="lessThan">
      <formula>B$11</formula>
    </cfRule>
  </conditionalFormatting>
  <conditionalFormatting sqref="F113">
    <cfRule type="cellIs" dxfId="152" priority="347" operator="lessThan">
      <formula>0</formula>
    </cfRule>
  </conditionalFormatting>
  <conditionalFormatting sqref="K113">
    <cfRule type="cellIs" dxfId="151" priority="346" operator="lessThan">
      <formula>0</formula>
    </cfRule>
  </conditionalFormatting>
  <conditionalFormatting sqref="P113">
    <cfRule type="cellIs" dxfId="150" priority="345" operator="lessThan">
      <formula>0</formula>
    </cfRule>
  </conditionalFormatting>
  <conditionalFormatting sqref="U113">
    <cfRule type="cellIs" dxfId="149" priority="344" operator="lessThan">
      <formula>0</formula>
    </cfRule>
  </conditionalFormatting>
  <conditionalFormatting sqref="H327">
    <cfRule type="cellIs" dxfId="148" priority="343" operator="lessThan">
      <formula>0</formula>
    </cfRule>
  </conditionalFormatting>
  <conditionalFormatting sqref="M327">
    <cfRule type="cellIs" dxfId="147" priority="342" operator="lessThan">
      <formula>0</formula>
    </cfRule>
  </conditionalFormatting>
  <conditionalFormatting sqref="R327">
    <cfRule type="cellIs" dxfId="146" priority="341" operator="lessThan">
      <formula>0</formula>
    </cfRule>
  </conditionalFormatting>
  <conditionalFormatting sqref="W327">
    <cfRule type="cellIs" dxfId="145" priority="340" operator="lessThan">
      <formula>0</formula>
    </cfRule>
  </conditionalFormatting>
  <conditionalFormatting sqref="K209:M211">
    <cfRule type="cellIs" dxfId="144" priority="339" operator="greaterThan">
      <formula>0</formula>
    </cfRule>
  </conditionalFormatting>
  <conditionalFormatting sqref="P209:R211">
    <cfRule type="cellIs" dxfId="143" priority="338" operator="greaterThan">
      <formula>0</formula>
    </cfRule>
  </conditionalFormatting>
  <conditionalFormatting sqref="U209:W211">
    <cfRule type="cellIs" dxfId="142" priority="337" operator="greaterThan">
      <formula>0</formula>
    </cfRule>
  </conditionalFormatting>
  <conditionalFormatting sqref="D153">
    <cfRule type="cellIs" dxfId="141" priority="331" operator="lessThan">
      <formula>D$157</formula>
    </cfRule>
    <cfRule type="cellIs" dxfId="140" priority="336" operator="greaterThan">
      <formula>D$154</formula>
    </cfRule>
  </conditionalFormatting>
  <conditionalFormatting sqref="B110:D110">
    <cfRule type="cellIs" dxfId="139" priority="322" operator="lessThan">
      <formula>B111</formula>
    </cfRule>
  </conditionalFormatting>
  <conditionalFormatting sqref="Z114">
    <cfRule type="colorScale" priority="321">
      <colorScale>
        <cfvo type="min"/>
        <cfvo type="percentile" val="50"/>
        <cfvo type="max"/>
        <color rgb="FFF8696B"/>
        <color rgb="FFFFEB84"/>
        <color rgb="FF63BE7B"/>
      </colorScale>
    </cfRule>
  </conditionalFormatting>
  <conditionalFormatting sqref="AB114">
    <cfRule type="colorScale" priority="320">
      <colorScale>
        <cfvo type="min"/>
        <cfvo type="percentile" val="50"/>
        <cfvo type="max"/>
        <color rgb="FFF8696B"/>
        <color rgb="FFFFEB84"/>
        <color rgb="FF63BE7B"/>
      </colorScale>
    </cfRule>
  </conditionalFormatting>
  <conditionalFormatting sqref="AD114">
    <cfRule type="colorScale" priority="319">
      <colorScale>
        <cfvo type="min"/>
        <cfvo type="percentile" val="50"/>
        <cfvo type="max"/>
        <color rgb="FFF8696B"/>
        <color rgb="FFFFEB84"/>
        <color rgb="FF63BE7B"/>
      </colorScale>
    </cfRule>
  </conditionalFormatting>
  <conditionalFormatting sqref="AF114">
    <cfRule type="colorScale" priority="318">
      <colorScale>
        <cfvo type="min"/>
        <cfvo type="percentile" val="50"/>
        <cfvo type="max"/>
        <color rgb="FFF8696B"/>
        <color rgb="FFFFEB84"/>
        <color rgb="FF63BE7B"/>
      </colorScale>
    </cfRule>
  </conditionalFormatting>
  <conditionalFormatting sqref="C130">
    <cfRule type="cellIs" dxfId="138" priority="317" operator="lessThan">
      <formula>5</formula>
    </cfRule>
  </conditionalFormatting>
  <conditionalFormatting sqref="M196">
    <cfRule type="cellIs" dxfId="137" priority="313" operator="lessThan">
      <formula>#REF!</formula>
    </cfRule>
  </conditionalFormatting>
  <conditionalFormatting sqref="H130">
    <cfRule type="cellIs" dxfId="136" priority="316" operator="lessThan">
      <formula>5</formula>
    </cfRule>
  </conditionalFormatting>
  <conditionalFormatting sqref="I200">
    <cfRule type="cellIs" dxfId="135" priority="310" operator="lessThan">
      <formula>#REF!</formula>
    </cfRule>
  </conditionalFormatting>
  <conditionalFormatting sqref="H196">
    <cfRule type="cellIs" dxfId="134" priority="314" operator="lessThan">
      <formula>#REF!</formula>
    </cfRule>
  </conditionalFormatting>
  <conditionalFormatting sqref="R196">
    <cfRule type="cellIs" dxfId="133" priority="312" operator="lessThan">
      <formula>#REF!</formula>
    </cfRule>
  </conditionalFormatting>
  <conditionalFormatting sqref="W196">
    <cfRule type="cellIs" dxfId="132" priority="311" operator="lessThan">
      <formula>#REF!</formula>
    </cfRule>
  </conditionalFormatting>
  <conditionalFormatting sqref="N200">
    <cfRule type="cellIs" dxfId="131" priority="309" operator="lessThan">
      <formula>#REF!</formula>
    </cfRule>
  </conditionalFormatting>
  <conditionalFormatting sqref="S200">
    <cfRule type="cellIs" dxfId="130" priority="308" operator="lessThan">
      <formula>#REF!</formula>
    </cfRule>
  </conditionalFormatting>
  <conditionalFormatting sqref="X200">
    <cfRule type="cellIs" dxfId="129" priority="307" operator="lessThan">
      <formula>#REF!</formula>
    </cfRule>
  </conditionalFormatting>
  <conditionalFormatting sqref="N50">
    <cfRule type="cellIs" dxfId="128" priority="305" operator="lessThan">
      <formula>0</formula>
    </cfRule>
    <cfRule type="cellIs" dxfId="127" priority="306" operator="greaterThan">
      <formula>0</formula>
    </cfRule>
  </conditionalFormatting>
  <conditionalFormatting sqref="S50">
    <cfRule type="cellIs" dxfId="126" priority="303" operator="lessThan">
      <formula>0</formula>
    </cfRule>
    <cfRule type="cellIs" dxfId="125" priority="304" operator="greaterThan">
      <formula>0</formula>
    </cfRule>
  </conditionalFormatting>
  <conditionalFormatting sqref="H183">
    <cfRule type="cellIs" dxfId="124" priority="302" operator="lessThan">
      <formula>0</formula>
    </cfRule>
  </conditionalFormatting>
  <conditionalFormatting sqref="M183">
    <cfRule type="cellIs" dxfId="123" priority="301" operator="lessThan">
      <formula>0</formula>
    </cfRule>
  </conditionalFormatting>
  <conditionalFormatting sqref="R183">
    <cfRule type="cellIs" dxfId="122" priority="300" operator="lessThan">
      <formula>0</formula>
    </cfRule>
  </conditionalFormatting>
  <conditionalFormatting sqref="W183">
    <cfRule type="cellIs" dxfId="121" priority="299" operator="lessThan">
      <formula>0</formula>
    </cfRule>
  </conditionalFormatting>
  <conditionalFormatting sqref="Z53:Z65">
    <cfRule type="colorScale" priority="297">
      <colorScale>
        <cfvo type="min"/>
        <cfvo type="percentile" val="50"/>
        <cfvo type="max"/>
        <color rgb="FFF8696B"/>
        <color rgb="FFFFEB84"/>
        <color rgb="FF63BE7B"/>
      </colorScale>
    </cfRule>
  </conditionalFormatting>
  <conditionalFormatting sqref="AB53:AB65">
    <cfRule type="colorScale" priority="296">
      <colorScale>
        <cfvo type="min"/>
        <cfvo type="percentile" val="50"/>
        <cfvo type="max"/>
        <color rgb="FFF8696B"/>
        <color rgb="FFFFEB84"/>
        <color rgb="FF63BE7B"/>
      </colorScale>
    </cfRule>
  </conditionalFormatting>
  <conditionalFormatting sqref="AD53:AD65">
    <cfRule type="colorScale" priority="295">
      <colorScale>
        <cfvo type="min"/>
        <cfvo type="percentile" val="50"/>
        <cfvo type="max"/>
        <color rgb="FFF8696B"/>
        <color rgb="FFFFEB84"/>
        <color rgb="FF63BE7B"/>
      </colorScale>
    </cfRule>
  </conditionalFormatting>
  <conditionalFormatting sqref="AF53:AF65">
    <cfRule type="colorScale" priority="294">
      <colorScale>
        <cfvo type="min"/>
        <cfvo type="percentile" val="50"/>
        <cfvo type="max"/>
        <color rgb="FFF8696B"/>
        <color rgb="FFFFEB84"/>
        <color rgb="FF63BE7B"/>
      </colorScale>
    </cfRule>
  </conditionalFormatting>
  <conditionalFormatting sqref="AH53:AH65">
    <cfRule type="colorScale" priority="293">
      <colorScale>
        <cfvo type="min"/>
        <cfvo type="percentile" val="50"/>
        <cfvo type="max"/>
        <color rgb="FFF8696B"/>
        <color rgb="FFFFEB84"/>
        <color rgb="FF63BE7B"/>
      </colorScale>
    </cfRule>
  </conditionalFormatting>
  <conditionalFormatting sqref="Z85:Z97">
    <cfRule type="colorScale" priority="292">
      <colorScale>
        <cfvo type="min"/>
        <cfvo type="percentile" val="50"/>
        <cfvo type="max"/>
        <color rgb="FFF8696B"/>
        <color rgb="FFFFEB84"/>
        <color rgb="FF63BE7B"/>
      </colorScale>
    </cfRule>
  </conditionalFormatting>
  <conditionalFormatting sqref="AB85:AB97">
    <cfRule type="colorScale" priority="291">
      <colorScale>
        <cfvo type="min"/>
        <cfvo type="percentile" val="50"/>
        <cfvo type="max"/>
        <color rgb="FFF8696B"/>
        <color rgb="FFFFEB84"/>
        <color rgb="FF63BE7B"/>
      </colorScale>
    </cfRule>
  </conditionalFormatting>
  <conditionalFormatting sqref="AD85:AD97">
    <cfRule type="colorScale" priority="290">
      <colorScale>
        <cfvo type="min"/>
        <cfvo type="percentile" val="50"/>
        <cfvo type="max"/>
        <color rgb="FFF8696B"/>
        <color rgb="FFFFEB84"/>
        <color rgb="FF63BE7B"/>
      </colorScale>
    </cfRule>
  </conditionalFormatting>
  <conditionalFormatting sqref="AI85:AI97">
    <cfRule type="colorScale" priority="289">
      <colorScale>
        <cfvo type="min"/>
        <cfvo type="percentile" val="50"/>
        <cfvo type="max"/>
        <color rgb="FFF8696B"/>
        <color rgb="FFFFEB84"/>
        <color rgb="FF63BE7B"/>
      </colorScale>
    </cfRule>
  </conditionalFormatting>
  <conditionalFormatting sqref="AK96:AK97">
    <cfRule type="colorScale" priority="288">
      <colorScale>
        <cfvo type="min"/>
        <cfvo type="percentile" val="50"/>
        <cfvo type="max"/>
        <color rgb="FFF8696B"/>
        <color rgb="FFFFEB84"/>
        <color rgb="FF63BE7B"/>
      </colorScale>
    </cfRule>
  </conditionalFormatting>
  <conditionalFormatting sqref="AM96:AM97">
    <cfRule type="colorScale" priority="287">
      <colorScale>
        <cfvo type="min"/>
        <cfvo type="percentile" val="50"/>
        <cfvo type="max"/>
        <color rgb="FFF8696B"/>
        <color rgb="FFFFEB84"/>
        <color rgb="FF63BE7B"/>
      </colorScale>
    </cfRule>
  </conditionalFormatting>
  <conditionalFormatting sqref="AH114">
    <cfRule type="colorScale" priority="286">
      <colorScale>
        <cfvo type="min"/>
        <cfvo type="percentile" val="50"/>
        <cfvo type="max"/>
        <color rgb="FFF8696B"/>
        <color rgb="FFFFEB84"/>
        <color rgb="FF63BE7B"/>
      </colorScale>
    </cfRule>
  </conditionalFormatting>
  <conditionalFormatting sqref="B116:D117 G116:I117 L116:N117 Q116:S117 V116:X117">
    <cfRule type="cellIs" dxfId="120" priority="285" operator="equal">
      <formula>"Major"</formula>
    </cfRule>
  </conditionalFormatting>
  <conditionalFormatting sqref="AI101:AI113">
    <cfRule type="colorScale" priority="279">
      <colorScale>
        <cfvo type="min"/>
        <cfvo type="percentile" val="50"/>
        <cfvo type="max"/>
        <color rgb="FFF8696B"/>
        <color rgb="FFFFEB84"/>
        <color rgb="FF63BE7B"/>
      </colorScale>
    </cfRule>
  </conditionalFormatting>
  <conditionalFormatting sqref="AK112:AK113">
    <cfRule type="colorScale" priority="278">
      <colorScale>
        <cfvo type="min"/>
        <cfvo type="percentile" val="50"/>
        <cfvo type="max"/>
        <color rgb="FFF8696B"/>
        <color rgb="FFFFEB84"/>
        <color rgb="FF63BE7B"/>
      </colorScale>
    </cfRule>
  </conditionalFormatting>
  <conditionalFormatting sqref="Z101:Z113">
    <cfRule type="colorScale" priority="277">
      <colorScale>
        <cfvo type="min"/>
        <cfvo type="percentile" val="50"/>
        <cfvo type="max"/>
        <color rgb="FFF8696B"/>
        <color rgb="FFFFEB84"/>
        <color rgb="FF63BE7B"/>
      </colorScale>
    </cfRule>
  </conditionalFormatting>
  <conditionalFormatting sqref="AB101:AB113">
    <cfRule type="colorScale" priority="276">
      <colorScale>
        <cfvo type="min"/>
        <cfvo type="percentile" val="50"/>
        <cfvo type="max"/>
        <color rgb="FFF8696B"/>
        <color rgb="FFFFEB84"/>
        <color rgb="FF63BE7B"/>
      </colorScale>
    </cfRule>
  </conditionalFormatting>
  <conditionalFormatting sqref="AD101:AD113">
    <cfRule type="colorScale" priority="275">
      <colorScale>
        <cfvo type="min"/>
        <cfvo type="percentile" val="50"/>
        <cfvo type="max"/>
        <color rgb="FFF8696B"/>
        <color rgb="FFFFEB84"/>
        <color rgb="FF63BE7B"/>
      </colorScale>
    </cfRule>
  </conditionalFormatting>
  <conditionalFormatting sqref="V108:X108">
    <cfRule type="cellIs" dxfId="119" priority="274" operator="lessThan">
      <formula>#REF!</formula>
    </cfRule>
  </conditionalFormatting>
  <conditionalFormatting sqref="G108:I108">
    <cfRule type="cellIs" dxfId="118" priority="271" operator="lessThan">
      <formula>#REF!</formula>
    </cfRule>
  </conditionalFormatting>
  <conditionalFormatting sqref="Z117:Z129">
    <cfRule type="colorScale" priority="269">
      <colorScale>
        <cfvo type="min"/>
        <cfvo type="percentile" val="50"/>
        <cfvo type="max"/>
        <color rgb="FFF8696B"/>
        <color rgb="FFFFEB84"/>
        <color rgb="FF63BE7B"/>
      </colorScale>
    </cfRule>
  </conditionalFormatting>
  <conditionalFormatting sqref="AB117:AB129">
    <cfRule type="colorScale" priority="268">
      <colorScale>
        <cfvo type="min"/>
        <cfvo type="percentile" val="50"/>
        <cfvo type="max"/>
        <color rgb="FFF8696B"/>
        <color rgb="FFFFEB84"/>
        <color rgb="FF63BE7B"/>
      </colorScale>
    </cfRule>
  </conditionalFormatting>
  <conditionalFormatting sqref="AF123:AF129">
    <cfRule type="colorScale" priority="267">
      <colorScale>
        <cfvo type="min"/>
        <cfvo type="percentile" val="50"/>
        <cfvo type="max"/>
        <color rgb="FFF8696B"/>
        <color rgb="FFFFEB84"/>
        <color rgb="FF63BE7B"/>
      </colorScale>
    </cfRule>
  </conditionalFormatting>
  <conditionalFormatting sqref="AH123:AH129">
    <cfRule type="colorScale" priority="266">
      <colorScale>
        <cfvo type="min"/>
        <cfvo type="percentile" val="50"/>
        <cfvo type="max"/>
        <color rgb="FFF8696B"/>
        <color rgb="FFFFEB84"/>
        <color rgb="FF63BE7B"/>
      </colorScale>
    </cfRule>
  </conditionalFormatting>
  <conditionalFormatting sqref="Z133:Z145">
    <cfRule type="colorScale" priority="265">
      <colorScale>
        <cfvo type="min"/>
        <cfvo type="percentile" val="50"/>
        <cfvo type="max"/>
        <color rgb="FFF8696B"/>
        <color rgb="FFFFEB84"/>
        <color rgb="FF63BE7B"/>
      </colorScale>
    </cfRule>
  </conditionalFormatting>
  <conditionalFormatting sqref="AB133:AB145">
    <cfRule type="colorScale" priority="264">
      <colorScale>
        <cfvo type="min"/>
        <cfvo type="percentile" val="50"/>
        <cfvo type="max"/>
        <color rgb="FFF8696B"/>
        <color rgb="FFFFEB84"/>
        <color rgb="FF63BE7B"/>
      </colorScale>
    </cfRule>
  </conditionalFormatting>
  <conditionalFormatting sqref="AD133:AD145">
    <cfRule type="colorScale" priority="263">
      <colorScale>
        <cfvo type="min"/>
        <cfvo type="percentile" val="50"/>
        <cfvo type="max"/>
        <color rgb="FFF8696B"/>
        <color rgb="FFFFEB84"/>
        <color rgb="FF63BE7B"/>
      </colorScale>
    </cfRule>
  </conditionalFormatting>
  <conditionalFormatting sqref="AF133:AF145">
    <cfRule type="colorScale" priority="262">
      <colorScale>
        <cfvo type="min"/>
        <cfvo type="percentile" val="50"/>
        <cfvo type="max"/>
        <color rgb="FFF8696B"/>
        <color rgb="FFFFEB84"/>
        <color rgb="FF63BE7B"/>
      </colorScale>
    </cfRule>
  </conditionalFormatting>
  <conditionalFormatting sqref="AH133:AH145">
    <cfRule type="colorScale" priority="261">
      <colorScale>
        <cfvo type="min"/>
        <cfvo type="percentile" val="50"/>
        <cfvo type="max"/>
        <color rgb="FFF8696B"/>
        <color rgb="FFFFEB84"/>
        <color rgb="FF63BE7B"/>
      </colorScale>
    </cfRule>
  </conditionalFormatting>
  <conditionalFormatting sqref="E113 E109">
    <cfRule type="cellIs" dxfId="117" priority="259" operator="greaterThan">
      <formula>0</formula>
    </cfRule>
    <cfRule type="cellIs" dxfId="116" priority="260" operator="lessThan">
      <formula>0</formula>
    </cfRule>
  </conditionalFormatting>
  <conditionalFormatting sqref="Z154">
    <cfRule type="colorScale" priority="256">
      <colorScale>
        <cfvo type="min"/>
        <cfvo type="percentile" val="50"/>
        <cfvo type="max"/>
        <color rgb="FFF8696B"/>
        <color rgb="FFFFEB84"/>
        <color rgb="FF63BE7B"/>
      </colorScale>
    </cfRule>
  </conditionalFormatting>
  <conditionalFormatting sqref="AA154">
    <cfRule type="colorScale" priority="255">
      <colorScale>
        <cfvo type="min"/>
        <cfvo type="percentile" val="50"/>
        <cfvo type="max"/>
        <color rgb="FFF8696B"/>
        <color rgb="FFFFEB84"/>
        <color rgb="FF63BE7B"/>
      </colorScale>
    </cfRule>
  </conditionalFormatting>
  <conditionalFormatting sqref="AB154">
    <cfRule type="colorScale" priority="254">
      <colorScale>
        <cfvo type="min"/>
        <cfvo type="percentile" val="50"/>
        <cfvo type="max"/>
        <color rgb="FFF8696B"/>
        <color rgb="FFFFEB84"/>
        <color rgb="FF63BE7B"/>
      </colorScale>
    </cfRule>
  </conditionalFormatting>
  <conditionalFormatting sqref="AC154">
    <cfRule type="colorScale" priority="253">
      <colorScale>
        <cfvo type="min"/>
        <cfvo type="percentile" val="50"/>
        <cfvo type="max"/>
        <color rgb="FFF8696B"/>
        <color rgb="FFFFEB84"/>
        <color rgb="FF63BE7B"/>
      </colorScale>
    </cfRule>
  </conditionalFormatting>
  <conditionalFormatting sqref="AD154">
    <cfRule type="colorScale" priority="252">
      <colorScale>
        <cfvo type="min"/>
        <cfvo type="percentile" val="50"/>
        <cfvo type="max"/>
        <color rgb="FFF8696B"/>
        <color rgb="FFFFEB84"/>
        <color rgb="FF63BE7B"/>
      </colorScale>
    </cfRule>
  </conditionalFormatting>
  <conditionalFormatting sqref="AE154">
    <cfRule type="colorScale" priority="251">
      <colorScale>
        <cfvo type="min"/>
        <cfvo type="percentile" val="50"/>
        <cfvo type="max"/>
        <color rgb="FFF8696B"/>
        <color rgb="FFFFEB84"/>
        <color rgb="FF63BE7B"/>
      </colorScale>
    </cfRule>
  </conditionalFormatting>
  <conditionalFormatting sqref="AF154">
    <cfRule type="colorScale" priority="250">
      <colorScale>
        <cfvo type="min"/>
        <cfvo type="percentile" val="50"/>
        <cfvo type="max"/>
        <color rgb="FFF8696B"/>
        <color rgb="FFFFEB84"/>
        <color rgb="FF63BE7B"/>
      </colorScale>
    </cfRule>
  </conditionalFormatting>
  <conditionalFormatting sqref="AG154">
    <cfRule type="colorScale" priority="249">
      <colorScale>
        <cfvo type="min"/>
        <cfvo type="percentile" val="50"/>
        <cfvo type="max"/>
        <color rgb="FFF8696B"/>
        <color rgb="FFFFEB84"/>
        <color rgb="FF63BE7B"/>
      </colorScale>
    </cfRule>
  </conditionalFormatting>
  <conditionalFormatting sqref="AH154">
    <cfRule type="colorScale" priority="248">
      <colorScale>
        <cfvo type="min"/>
        <cfvo type="percentile" val="50"/>
        <cfvo type="max"/>
        <color rgb="FFF8696B"/>
        <color rgb="FFFFEB84"/>
        <color rgb="FF63BE7B"/>
      </colorScale>
    </cfRule>
  </conditionalFormatting>
  <conditionalFormatting sqref="Z154:AH154">
    <cfRule type="colorScale" priority="247">
      <colorScale>
        <cfvo type="min"/>
        <cfvo type="percentile" val="50"/>
        <cfvo type="max"/>
        <color rgb="FFF8696B"/>
        <color rgb="FFFFEB84"/>
        <color rgb="FF63BE7B"/>
      </colorScale>
    </cfRule>
  </conditionalFormatting>
  <conditionalFormatting sqref="Z155">
    <cfRule type="colorScale" priority="246">
      <colorScale>
        <cfvo type="min"/>
        <cfvo type="percentile" val="50"/>
        <cfvo type="max"/>
        <color rgb="FFF8696B"/>
        <color rgb="FFFFEB84"/>
        <color rgb="FF63BE7B"/>
      </colorScale>
    </cfRule>
  </conditionalFormatting>
  <conditionalFormatting sqref="AA155">
    <cfRule type="colorScale" priority="245">
      <colorScale>
        <cfvo type="min"/>
        <cfvo type="percentile" val="50"/>
        <cfvo type="max"/>
        <color rgb="FFF8696B"/>
        <color rgb="FFFFEB84"/>
        <color rgb="FF63BE7B"/>
      </colorScale>
    </cfRule>
  </conditionalFormatting>
  <conditionalFormatting sqref="AB155">
    <cfRule type="colorScale" priority="244">
      <colorScale>
        <cfvo type="min"/>
        <cfvo type="percentile" val="50"/>
        <cfvo type="max"/>
        <color rgb="FFF8696B"/>
        <color rgb="FFFFEB84"/>
        <color rgb="FF63BE7B"/>
      </colorScale>
    </cfRule>
  </conditionalFormatting>
  <conditionalFormatting sqref="AC155">
    <cfRule type="colorScale" priority="243">
      <colorScale>
        <cfvo type="min"/>
        <cfvo type="percentile" val="50"/>
        <cfvo type="max"/>
        <color rgb="FFF8696B"/>
        <color rgb="FFFFEB84"/>
        <color rgb="FF63BE7B"/>
      </colorScale>
    </cfRule>
  </conditionalFormatting>
  <conditionalFormatting sqref="AD155">
    <cfRule type="colorScale" priority="242">
      <colorScale>
        <cfvo type="min"/>
        <cfvo type="percentile" val="50"/>
        <cfvo type="max"/>
        <color rgb="FFF8696B"/>
        <color rgb="FFFFEB84"/>
        <color rgb="FF63BE7B"/>
      </colorScale>
    </cfRule>
  </conditionalFormatting>
  <conditionalFormatting sqref="AE155">
    <cfRule type="colorScale" priority="241">
      <colorScale>
        <cfvo type="min"/>
        <cfvo type="percentile" val="50"/>
        <cfvo type="max"/>
        <color rgb="FFF8696B"/>
        <color rgb="FFFFEB84"/>
        <color rgb="FF63BE7B"/>
      </colorScale>
    </cfRule>
  </conditionalFormatting>
  <conditionalFormatting sqref="AF155">
    <cfRule type="colorScale" priority="240">
      <colorScale>
        <cfvo type="min"/>
        <cfvo type="percentile" val="50"/>
        <cfvo type="max"/>
        <color rgb="FFF8696B"/>
        <color rgb="FFFFEB84"/>
        <color rgb="FF63BE7B"/>
      </colorScale>
    </cfRule>
  </conditionalFormatting>
  <conditionalFormatting sqref="AG155">
    <cfRule type="colorScale" priority="239">
      <colorScale>
        <cfvo type="min"/>
        <cfvo type="percentile" val="50"/>
        <cfvo type="max"/>
        <color rgb="FFF8696B"/>
        <color rgb="FFFFEB84"/>
        <color rgb="FF63BE7B"/>
      </colorScale>
    </cfRule>
  </conditionalFormatting>
  <conditionalFormatting sqref="AH155">
    <cfRule type="colorScale" priority="238">
      <colorScale>
        <cfvo type="min"/>
        <cfvo type="percentile" val="50"/>
        <cfvo type="max"/>
        <color rgb="FFF8696B"/>
        <color rgb="FFFFEB84"/>
        <color rgb="FF63BE7B"/>
      </colorScale>
    </cfRule>
  </conditionalFormatting>
  <conditionalFormatting sqref="Z155:AH155">
    <cfRule type="colorScale" priority="237">
      <colorScale>
        <cfvo type="min"/>
        <cfvo type="percentile" val="50"/>
        <cfvo type="max"/>
        <color rgb="FFF8696B"/>
        <color rgb="FFFFEB84"/>
        <color rgb="FF63BE7B"/>
      </colorScale>
    </cfRule>
  </conditionalFormatting>
  <conditionalFormatting sqref="Z156">
    <cfRule type="colorScale" priority="236">
      <colorScale>
        <cfvo type="min"/>
        <cfvo type="percentile" val="50"/>
        <cfvo type="max"/>
        <color rgb="FFF8696B"/>
        <color rgb="FFFFEB84"/>
        <color rgb="FF63BE7B"/>
      </colorScale>
    </cfRule>
  </conditionalFormatting>
  <conditionalFormatting sqref="AA156">
    <cfRule type="colorScale" priority="235">
      <colorScale>
        <cfvo type="min"/>
        <cfvo type="percentile" val="50"/>
        <cfvo type="max"/>
        <color rgb="FFF8696B"/>
        <color rgb="FFFFEB84"/>
        <color rgb="FF63BE7B"/>
      </colorScale>
    </cfRule>
  </conditionalFormatting>
  <conditionalFormatting sqref="AB156">
    <cfRule type="colorScale" priority="234">
      <colorScale>
        <cfvo type="min"/>
        <cfvo type="percentile" val="50"/>
        <cfvo type="max"/>
        <color rgb="FFF8696B"/>
        <color rgb="FFFFEB84"/>
        <color rgb="FF63BE7B"/>
      </colorScale>
    </cfRule>
  </conditionalFormatting>
  <conditionalFormatting sqref="AC156">
    <cfRule type="colorScale" priority="233">
      <colorScale>
        <cfvo type="min"/>
        <cfvo type="percentile" val="50"/>
        <cfvo type="max"/>
        <color rgb="FFF8696B"/>
        <color rgb="FFFFEB84"/>
        <color rgb="FF63BE7B"/>
      </colorScale>
    </cfRule>
  </conditionalFormatting>
  <conditionalFormatting sqref="AD156">
    <cfRule type="colorScale" priority="232">
      <colorScale>
        <cfvo type="min"/>
        <cfvo type="percentile" val="50"/>
        <cfvo type="max"/>
        <color rgb="FFF8696B"/>
        <color rgb="FFFFEB84"/>
        <color rgb="FF63BE7B"/>
      </colorScale>
    </cfRule>
  </conditionalFormatting>
  <conditionalFormatting sqref="AE156">
    <cfRule type="colorScale" priority="231">
      <colorScale>
        <cfvo type="min"/>
        <cfvo type="percentile" val="50"/>
        <cfvo type="max"/>
        <color rgb="FFF8696B"/>
        <color rgb="FFFFEB84"/>
        <color rgb="FF63BE7B"/>
      </colorScale>
    </cfRule>
  </conditionalFormatting>
  <conditionalFormatting sqref="AF156">
    <cfRule type="colorScale" priority="230">
      <colorScale>
        <cfvo type="min"/>
        <cfvo type="percentile" val="50"/>
        <cfvo type="max"/>
        <color rgb="FFF8696B"/>
        <color rgb="FFFFEB84"/>
        <color rgb="FF63BE7B"/>
      </colorScale>
    </cfRule>
  </conditionalFormatting>
  <conditionalFormatting sqref="AG156">
    <cfRule type="colorScale" priority="229">
      <colorScale>
        <cfvo type="min"/>
        <cfvo type="percentile" val="50"/>
        <cfvo type="max"/>
        <color rgb="FFF8696B"/>
        <color rgb="FFFFEB84"/>
        <color rgb="FF63BE7B"/>
      </colorScale>
    </cfRule>
  </conditionalFormatting>
  <conditionalFormatting sqref="AH156">
    <cfRule type="colorScale" priority="228">
      <colorScale>
        <cfvo type="min"/>
        <cfvo type="percentile" val="50"/>
        <cfvo type="max"/>
        <color rgb="FFF8696B"/>
        <color rgb="FFFFEB84"/>
        <color rgb="FF63BE7B"/>
      </colorScale>
    </cfRule>
  </conditionalFormatting>
  <conditionalFormatting sqref="Z156:AH156">
    <cfRule type="colorScale" priority="227">
      <colorScale>
        <cfvo type="min"/>
        <cfvo type="percentile" val="50"/>
        <cfvo type="max"/>
        <color rgb="FFF8696B"/>
        <color rgb="FFFFEB84"/>
        <color rgb="FF63BE7B"/>
      </colorScale>
    </cfRule>
  </conditionalFormatting>
  <conditionalFormatting sqref="Z157">
    <cfRule type="colorScale" priority="226">
      <colorScale>
        <cfvo type="min"/>
        <cfvo type="percentile" val="50"/>
        <cfvo type="max"/>
        <color rgb="FFF8696B"/>
        <color rgb="FFFFEB84"/>
        <color rgb="FF63BE7B"/>
      </colorScale>
    </cfRule>
  </conditionalFormatting>
  <conditionalFormatting sqref="AA157">
    <cfRule type="colorScale" priority="225">
      <colorScale>
        <cfvo type="min"/>
        <cfvo type="percentile" val="50"/>
        <cfvo type="max"/>
        <color rgb="FFF8696B"/>
        <color rgb="FFFFEB84"/>
        <color rgb="FF63BE7B"/>
      </colorScale>
    </cfRule>
  </conditionalFormatting>
  <conditionalFormatting sqref="AB157">
    <cfRule type="colorScale" priority="224">
      <colorScale>
        <cfvo type="min"/>
        <cfvo type="percentile" val="50"/>
        <cfvo type="max"/>
        <color rgb="FFF8696B"/>
        <color rgb="FFFFEB84"/>
        <color rgb="FF63BE7B"/>
      </colorScale>
    </cfRule>
  </conditionalFormatting>
  <conditionalFormatting sqref="AC157">
    <cfRule type="colorScale" priority="223">
      <colorScale>
        <cfvo type="min"/>
        <cfvo type="percentile" val="50"/>
        <cfvo type="max"/>
        <color rgb="FFF8696B"/>
        <color rgb="FFFFEB84"/>
        <color rgb="FF63BE7B"/>
      </colorScale>
    </cfRule>
  </conditionalFormatting>
  <conditionalFormatting sqref="AD157">
    <cfRule type="colorScale" priority="222">
      <colorScale>
        <cfvo type="min"/>
        <cfvo type="percentile" val="50"/>
        <cfvo type="max"/>
        <color rgb="FFF8696B"/>
        <color rgb="FFFFEB84"/>
        <color rgb="FF63BE7B"/>
      </colorScale>
    </cfRule>
  </conditionalFormatting>
  <conditionalFormatting sqref="AE157">
    <cfRule type="colorScale" priority="221">
      <colorScale>
        <cfvo type="min"/>
        <cfvo type="percentile" val="50"/>
        <cfvo type="max"/>
        <color rgb="FFF8696B"/>
        <color rgb="FFFFEB84"/>
        <color rgb="FF63BE7B"/>
      </colorScale>
    </cfRule>
  </conditionalFormatting>
  <conditionalFormatting sqref="AF157">
    <cfRule type="colorScale" priority="220">
      <colorScale>
        <cfvo type="min"/>
        <cfvo type="percentile" val="50"/>
        <cfvo type="max"/>
        <color rgb="FFF8696B"/>
        <color rgb="FFFFEB84"/>
        <color rgb="FF63BE7B"/>
      </colorScale>
    </cfRule>
  </conditionalFormatting>
  <conditionalFormatting sqref="AG157">
    <cfRule type="colorScale" priority="219">
      <colorScale>
        <cfvo type="min"/>
        <cfvo type="percentile" val="50"/>
        <cfvo type="max"/>
        <color rgb="FFF8696B"/>
        <color rgb="FFFFEB84"/>
        <color rgb="FF63BE7B"/>
      </colorScale>
    </cfRule>
  </conditionalFormatting>
  <conditionalFormatting sqref="AH157">
    <cfRule type="colorScale" priority="218">
      <colorScale>
        <cfvo type="min"/>
        <cfvo type="percentile" val="50"/>
        <cfvo type="max"/>
        <color rgb="FFF8696B"/>
        <color rgb="FFFFEB84"/>
        <color rgb="FF63BE7B"/>
      </colorScale>
    </cfRule>
  </conditionalFormatting>
  <conditionalFormatting sqref="Z157:AH157">
    <cfRule type="colorScale" priority="217">
      <colorScale>
        <cfvo type="min"/>
        <cfvo type="percentile" val="50"/>
        <cfvo type="max"/>
        <color rgb="FFF8696B"/>
        <color rgb="FFFFEB84"/>
        <color rgb="FF63BE7B"/>
      </colorScale>
    </cfRule>
  </conditionalFormatting>
  <conditionalFormatting sqref="Z158">
    <cfRule type="colorScale" priority="216">
      <colorScale>
        <cfvo type="min"/>
        <cfvo type="percentile" val="50"/>
        <cfvo type="max"/>
        <color rgb="FFF8696B"/>
        <color rgb="FFFFEB84"/>
        <color rgb="FF63BE7B"/>
      </colorScale>
    </cfRule>
  </conditionalFormatting>
  <conditionalFormatting sqref="AA158">
    <cfRule type="colorScale" priority="215">
      <colorScale>
        <cfvo type="min"/>
        <cfvo type="percentile" val="50"/>
        <cfvo type="max"/>
        <color rgb="FFF8696B"/>
        <color rgb="FFFFEB84"/>
        <color rgb="FF63BE7B"/>
      </colorScale>
    </cfRule>
  </conditionalFormatting>
  <conditionalFormatting sqref="AB158">
    <cfRule type="colorScale" priority="214">
      <colorScale>
        <cfvo type="min"/>
        <cfvo type="percentile" val="50"/>
        <cfvo type="max"/>
        <color rgb="FFF8696B"/>
        <color rgb="FFFFEB84"/>
        <color rgb="FF63BE7B"/>
      </colorScale>
    </cfRule>
  </conditionalFormatting>
  <conditionalFormatting sqref="AC158">
    <cfRule type="colorScale" priority="213">
      <colorScale>
        <cfvo type="min"/>
        <cfvo type="percentile" val="50"/>
        <cfvo type="max"/>
        <color rgb="FFF8696B"/>
        <color rgb="FFFFEB84"/>
        <color rgb="FF63BE7B"/>
      </colorScale>
    </cfRule>
  </conditionalFormatting>
  <conditionalFormatting sqref="AD158">
    <cfRule type="colorScale" priority="212">
      <colorScale>
        <cfvo type="min"/>
        <cfvo type="percentile" val="50"/>
        <cfvo type="max"/>
        <color rgb="FFF8696B"/>
        <color rgb="FFFFEB84"/>
        <color rgb="FF63BE7B"/>
      </colorScale>
    </cfRule>
  </conditionalFormatting>
  <conditionalFormatting sqref="AE158">
    <cfRule type="colorScale" priority="211">
      <colorScale>
        <cfvo type="min"/>
        <cfvo type="percentile" val="50"/>
        <cfvo type="max"/>
        <color rgb="FFF8696B"/>
        <color rgb="FFFFEB84"/>
        <color rgb="FF63BE7B"/>
      </colorScale>
    </cfRule>
  </conditionalFormatting>
  <conditionalFormatting sqref="AF158">
    <cfRule type="colorScale" priority="210">
      <colorScale>
        <cfvo type="min"/>
        <cfvo type="percentile" val="50"/>
        <cfvo type="max"/>
        <color rgb="FFF8696B"/>
        <color rgb="FFFFEB84"/>
        <color rgb="FF63BE7B"/>
      </colorScale>
    </cfRule>
  </conditionalFormatting>
  <conditionalFormatting sqref="AG158">
    <cfRule type="colorScale" priority="209">
      <colorScale>
        <cfvo type="min"/>
        <cfvo type="percentile" val="50"/>
        <cfvo type="max"/>
        <color rgb="FFF8696B"/>
        <color rgb="FFFFEB84"/>
        <color rgb="FF63BE7B"/>
      </colorScale>
    </cfRule>
  </conditionalFormatting>
  <conditionalFormatting sqref="AH158">
    <cfRule type="colorScale" priority="208">
      <colorScale>
        <cfvo type="min"/>
        <cfvo type="percentile" val="50"/>
        <cfvo type="max"/>
        <color rgb="FFF8696B"/>
        <color rgb="FFFFEB84"/>
        <color rgb="FF63BE7B"/>
      </colorScale>
    </cfRule>
  </conditionalFormatting>
  <conditionalFormatting sqref="Z158:AH158">
    <cfRule type="colorScale" priority="207">
      <colorScale>
        <cfvo type="min"/>
        <cfvo type="percentile" val="50"/>
        <cfvo type="max"/>
        <color rgb="FFF8696B"/>
        <color rgb="FFFFEB84"/>
        <color rgb="FF63BE7B"/>
      </colorScale>
    </cfRule>
  </conditionalFormatting>
  <conditionalFormatting sqref="AI154">
    <cfRule type="colorScale" priority="206">
      <colorScale>
        <cfvo type="min"/>
        <cfvo type="percentile" val="50"/>
        <cfvo type="max"/>
        <color rgb="FFF8696B"/>
        <color rgb="FFFFEB84"/>
        <color rgb="FF63BE7B"/>
      </colorScale>
    </cfRule>
  </conditionalFormatting>
  <conditionalFormatting sqref="AJ154">
    <cfRule type="colorScale" priority="205">
      <colorScale>
        <cfvo type="min"/>
        <cfvo type="percentile" val="50"/>
        <cfvo type="max"/>
        <color rgb="FFF8696B"/>
        <color rgb="FFFFEB84"/>
        <color rgb="FF63BE7B"/>
      </colorScale>
    </cfRule>
  </conditionalFormatting>
  <conditionalFormatting sqref="AK154">
    <cfRule type="colorScale" priority="204">
      <colorScale>
        <cfvo type="min"/>
        <cfvo type="percentile" val="50"/>
        <cfvo type="max"/>
        <color rgb="FFF8696B"/>
        <color rgb="FFFFEB84"/>
        <color rgb="FF63BE7B"/>
      </colorScale>
    </cfRule>
  </conditionalFormatting>
  <conditionalFormatting sqref="AI154:AK154">
    <cfRule type="colorScale" priority="203">
      <colorScale>
        <cfvo type="min"/>
        <cfvo type="percentile" val="50"/>
        <cfvo type="max"/>
        <color rgb="FFF8696B"/>
        <color rgb="FFFFEB84"/>
        <color rgb="FF63BE7B"/>
      </colorScale>
    </cfRule>
  </conditionalFormatting>
  <conditionalFormatting sqref="AI155">
    <cfRule type="colorScale" priority="202">
      <colorScale>
        <cfvo type="min"/>
        <cfvo type="percentile" val="50"/>
        <cfvo type="max"/>
        <color rgb="FFF8696B"/>
        <color rgb="FFFFEB84"/>
        <color rgb="FF63BE7B"/>
      </colorScale>
    </cfRule>
  </conditionalFormatting>
  <conditionalFormatting sqref="AJ155">
    <cfRule type="colorScale" priority="201">
      <colorScale>
        <cfvo type="min"/>
        <cfvo type="percentile" val="50"/>
        <cfvo type="max"/>
        <color rgb="FFF8696B"/>
        <color rgb="FFFFEB84"/>
        <color rgb="FF63BE7B"/>
      </colorScale>
    </cfRule>
  </conditionalFormatting>
  <conditionalFormatting sqref="AK155">
    <cfRule type="colorScale" priority="200">
      <colorScale>
        <cfvo type="min"/>
        <cfvo type="percentile" val="50"/>
        <cfvo type="max"/>
        <color rgb="FFF8696B"/>
        <color rgb="FFFFEB84"/>
        <color rgb="FF63BE7B"/>
      </colorScale>
    </cfRule>
  </conditionalFormatting>
  <conditionalFormatting sqref="AI155:AK155">
    <cfRule type="colorScale" priority="199">
      <colorScale>
        <cfvo type="min"/>
        <cfvo type="percentile" val="50"/>
        <cfvo type="max"/>
        <color rgb="FFF8696B"/>
        <color rgb="FFFFEB84"/>
        <color rgb="FF63BE7B"/>
      </colorScale>
    </cfRule>
  </conditionalFormatting>
  <conditionalFormatting sqref="AI156">
    <cfRule type="colorScale" priority="198">
      <colorScale>
        <cfvo type="min"/>
        <cfvo type="percentile" val="50"/>
        <cfvo type="max"/>
        <color rgb="FFF8696B"/>
        <color rgb="FFFFEB84"/>
        <color rgb="FF63BE7B"/>
      </colorScale>
    </cfRule>
  </conditionalFormatting>
  <conditionalFormatting sqref="AJ156">
    <cfRule type="colorScale" priority="197">
      <colorScale>
        <cfvo type="min"/>
        <cfvo type="percentile" val="50"/>
        <cfvo type="max"/>
        <color rgb="FFF8696B"/>
        <color rgb="FFFFEB84"/>
        <color rgb="FF63BE7B"/>
      </colorScale>
    </cfRule>
  </conditionalFormatting>
  <conditionalFormatting sqref="AK156">
    <cfRule type="colorScale" priority="196">
      <colorScale>
        <cfvo type="min"/>
        <cfvo type="percentile" val="50"/>
        <cfvo type="max"/>
        <color rgb="FFF8696B"/>
        <color rgb="FFFFEB84"/>
        <color rgb="FF63BE7B"/>
      </colorScale>
    </cfRule>
  </conditionalFormatting>
  <conditionalFormatting sqref="AI156:AK156">
    <cfRule type="colorScale" priority="195">
      <colorScale>
        <cfvo type="min"/>
        <cfvo type="percentile" val="50"/>
        <cfvo type="max"/>
        <color rgb="FFF8696B"/>
        <color rgb="FFFFEB84"/>
        <color rgb="FF63BE7B"/>
      </colorScale>
    </cfRule>
  </conditionalFormatting>
  <conditionalFormatting sqref="AI157">
    <cfRule type="colorScale" priority="194">
      <colorScale>
        <cfvo type="min"/>
        <cfvo type="percentile" val="50"/>
        <cfvo type="max"/>
        <color rgb="FFF8696B"/>
        <color rgb="FFFFEB84"/>
        <color rgb="FF63BE7B"/>
      </colorScale>
    </cfRule>
  </conditionalFormatting>
  <conditionalFormatting sqref="AJ157">
    <cfRule type="colorScale" priority="193">
      <colorScale>
        <cfvo type="min"/>
        <cfvo type="percentile" val="50"/>
        <cfvo type="max"/>
        <color rgb="FFF8696B"/>
        <color rgb="FFFFEB84"/>
        <color rgb="FF63BE7B"/>
      </colorScale>
    </cfRule>
  </conditionalFormatting>
  <conditionalFormatting sqref="AK157">
    <cfRule type="colorScale" priority="192">
      <colorScale>
        <cfvo type="min"/>
        <cfvo type="percentile" val="50"/>
        <cfvo type="max"/>
        <color rgb="FFF8696B"/>
        <color rgb="FFFFEB84"/>
        <color rgb="FF63BE7B"/>
      </colorScale>
    </cfRule>
  </conditionalFormatting>
  <conditionalFormatting sqref="AI157:AK157">
    <cfRule type="colorScale" priority="191">
      <colorScale>
        <cfvo type="min"/>
        <cfvo type="percentile" val="50"/>
        <cfvo type="max"/>
        <color rgb="FFF8696B"/>
        <color rgb="FFFFEB84"/>
        <color rgb="FF63BE7B"/>
      </colorScale>
    </cfRule>
  </conditionalFormatting>
  <conditionalFormatting sqref="AI158">
    <cfRule type="colorScale" priority="190">
      <colorScale>
        <cfvo type="min"/>
        <cfvo type="percentile" val="50"/>
        <cfvo type="max"/>
        <color rgb="FFF8696B"/>
        <color rgb="FFFFEB84"/>
        <color rgb="FF63BE7B"/>
      </colorScale>
    </cfRule>
  </conditionalFormatting>
  <conditionalFormatting sqref="AJ158">
    <cfRule type="colorScale" priority="189">
      <colorScale>
        <cfvo type="min"/>
        <cfvo type="percentile" val="50"/>
        <cfvo type="max"/>
        <color rgb="FFF8696B"/>
        <color rgb="FFFFEB84"/>
        <color rgb="FF63BE7B"/>
      </colorScale>
    </cfRule>
  </conditionalFormatting>
  <conditionalFormatting sqref="AK158">
    <cfRule type="colorScale" priority="188">
      <colorScale>
        <cfvo type="min"/>
        <cfvo type="percentile" val="50"/>
        <cfvo type="max"/>
        <color rgb="FFF8696B"/>
        <color rgb="FFFFEB84"/>
        <color rgb="FF63BE7B"/>
      </colorScale>
    </cfRule>
  </conditionalFormatting>
  <conditionalFormatting sqref="AI158:AK158">
    <cfRule type="colorScale" priority="187">
      <colorScale>
        <cfvo type="min"/>
        <cfvo type="percentile" val="50"/>
        <cfvo type="max"/>
        <color rgb="FFF8696B"/>
        <color rgb="FFFFEB84"/>
        <color rgb="FF63BE7B"/>
      </colorScale>
    </cfRule>
  </conditionalFormatting>
  <conditionalFormatting sqref="Z149:Z153">
    <cfRule type="colorScale" priority="186">
      <colorScale>
        <cfvo type="min"/>
        <cfvo type="percentile" val="50"/>
        <cfvo type="max"/>
        <color rgb="FFF8696B"/>
        <color rgb="FFFFEB84"/>
        <color rgb="FF63BE7B"/>
      </colorScale>
    </cfRule>
  </conditionalFormatting>
  <conditionalFormatting sqref="AA149:AA153">
    <cfRule type="colorScale" priority="185">
      <colorScale>
        <cfvo type="min"/>
        <cfvo type="percentile" val="50"/>
        <cfvo type="max"/>
        <color rgb="FFF8696B"/>
        <color rgb="FFFFEB84"/>
        <color rgb="FF63BE7B"/>
      </colorScale>
    </cfRule>
  </conditionalFormatting>
  <conditionalFormatting sqref="AB149:AB153">
    <cfRule type="colorScale" priority="184">
      <colorScale>
        <cfvo type="min"/>
        <cfvo type="percentile" val="50"/>
        <cfvo type="max"/>
        <color rgb="FFF8696B"/>
        <color rgb="FFFFEB84"/>
        <color rgb="FF63BE7B"/>
      </colorScale>
    </cfRule>
  </conditionalFormatting>
  <conditionalFormatting sqref="AC149:AC153">
    <cfRule type="colorScale" priority="183">
      <colorScale>
        <cfvo type="min"/>
        <cfvo type="percentile" val="50"/>
        <cfvo type="max"/>
        <color rgb="FFF8696B"/>
        <color rgb="FFFFEB84"/>
        <color rgb="FF63BE7B"/>
      </colorScale>
    </cfRule>
  </conditionalFormatting>
  <conditionalFormatting sqref="AD149:AD153">
    <cfRule type="colorScale" priority="182">
      <colorScale>
        <cfvo type="min"/>
        <cfvo type="percentile" val="50"/>
        <cfvo type="max"/>
        <color rgb="FFF8696B"/>
        <color rgb="FFFFEB84"/>
        <color rgb="FF63BE7B"/>
      </colorScale>
    </cfRule>
  </conditionalFormatting>
  <conditionalFormatting sqref="AE149:AE153">
    <cfRule type="colorScale" priority="181">
      <colorScale>
        <cfvo type="min"/>
        <cfvo type="percentile" val="50"/>
        <cfvo type="max"/>
        <color rgb="FFF8696B"/>
        <color rgb="FFFFEB84"/>
        <color rgb="FF63BE7B"/>
      </colorScale>
    </cfRule>
  </conditionalFormatting>
  <conditionalFormatting sqref="AF149:AF153">
    <cfRule type="colorScale" priority="180">
      <colorScale>
        <cfvo type="min"/>
        <cfvo type="percentile" val="50"/>
        <cfvo type="max"/>
        <color rgb="FFF8696B"/>
        <color rgb="FFFFEB84"/>
        <color rgb="FF63BE7B"/>
      </colorScale>
    </cfRule>
  </conditionalFormatting>
  <conditionalFormatting sqref="AG149:AG153">
    <cfRule type="colorScale" priority="179">
      <colorScale>
        <cfvo type="min"/>
        <cfvo type="percentile" val="50"/>
        <cfvo type="max"/>
        <color rgb="FFF8696B"/>
        <color rgb="FFFFEB84"/>
        <color rgb="FF63BE7B"/>
      </colorScale>
    </cfRule>
  </conditionalFormatting>
  <conditionalFormatting sqref="AH149:AH153">
    <cfRule type="colorScale" priority="178">
      <colorScale>
        <cfvo type="min"/>
        <cfvo type="percentile" val="50"/>
        <cfvo type="max"/>
        <color rgb="FFF8696B"/>
        <color rgb="FFFFEB84"/>
        <color rgb="FF63BE7B"/>
      </colorScale>
    </cfRule>
  </conditionalFormatting>
  <conditionalFormatting sqref="Z149:AH153">
    <cfRule type="colorScale" priority="177">
      <colorScale>
        <cfvo type="min"/>
        <cfvo type="percentile" val="50"/>
        <cfvo type="max"/>
        <color rgb="FFF8696B"/>
        <color rgb="FFFFEB84"/>
        <color rgb="FF63BE7B"/>
      </colorScale>
    </cfRule>
  </conditionalFormatting>
  <conditionalFormatting sqref="AI149:AI153">
    <cfRule type="colorScale" priority="176">
      <colorScale>
        <cfvo type="min"/>
        <cfvo type="percentile" val="50"/>
        <cfvo type="max"/>
        <color rgb="FFF8696B"/>
        <color rgb="FFFFEB84"/>
        <color rgb="FF63BE7B"/>
      </colorScale>
    </cfRule>
  </conditionalFormatting>
  <conditionalFormatting sqref="AJ149:AJ153">
    <cfRule type="colorScale" priority="175">
      <colorScale>
        <cfvo type="min"/>
        <cfvo type="percentile" val="50"/>
        <cfvo type="max"/>
        <color rgb="FFF8696B"/>
        <color rgb="FFFFEB84"/>
        <color rgb="FF63BE7B"/>
      </colorScale>
    </cfRule>
  </conditionalFormatting>
  <conditionalFormatting sqref="AK149:AK153">
    <cfRule type="colorScale" priority="174">
      <colorScale>
        <cfvo type="min"/>
        <cfvo type="percentile" val="50"/>
        <cfvo type="max"/>
        <color rgb="FFF8696B"/>
        <color rgb="FFFFEB84"/>
        <color rgb="FF63BE7B"/>
      </colorScale>
    </cfRule>
  </conditionalFormatting>
  <conditionalFormatting sqref="AI149:AK153">
    <cfRule type="colorScale" priority="173">
      <colorScale>
        <cfvo type="min"/>
        <cfvo type="percentile" val="50"/>
        <cfvo type="max"/>
        <color rgb="FFF8696B"/>
        <color rgb="FFFFEB84"/>
        <color rgb="FF63BE7B"/>
      </colorScale>
    </cfRule>
  </conditionalFormatting>
  <conditionalFormatting sqref="J109">
    <cfRule type="cellIs" dxfId="115" priority="171" operator="greaterThan">
      <formula>0</formula>
    </cfRule>
    <cfRule type="cellIs" dxfId="114" priority="172" operator="lessThan">
      <formula>0</formula>
    </cfRule>
  </conditionalFormatting>
  <conditionalFormatting sqref="O109">
    <cfRule type="cellIs" dxfId="113" priority="169" operator="greaterThan">
      <formula>0</formula>
    </cfRule>
    <cfRule type="cellIs" dxfId="112" priority="170" operator="lessThan">
      <formula>0</formula>
    </cfRule>
  </conditionalFormatting>
  <conditionalFormatting sqref="T109">
    <cfRule type="cellIs" dxfId="111" priority="167" operator="greaterThan">
      <formula>0</formula>
    </cfRule>
    <cfRule type="cellIs" dxfId="110" priority="168" operator="lessThan">
      <formula>0</formula>
    </cfRule>
  </conditionalFormatting>
  <conditionalFormatting sqref="Y109">
    <cfRule type="cellIs" dxfId="109" priority="165" operator="greaterThan">
      <formula>0</formula>
    </cfRule>
    <cfRule type="cellIs" dxfId="108" priority="166" operator="lessThan">
      <formula>0</formula>
    </cfRule>
  </conditionalFormatting>
  <conditionalFormatting sqref="E107">
    <cfRule type="cellIs" dxfId="107" priority="157" operator="greaterThan">
      <formula>0</formula>
    </cfRule>
    <cfRule type="cellIs" dxfId="106" priority="158" operator="lessThan">
      <formula>0</formula>
    </cfRule>
  </conditionalFormatting>
  <conditionalFormatting sqref="J107">
    <cfRule type="cellIs" dxfId="105" priority="155" operator="greaterThan">
      <formula>0</formula>
    </cfRule>
    <cfRule type="cellIs" dxfId="104" priority="156" operator="lessThan">
      <formula>0</formula>
    </cfRule>
  </conditionalFormatting>
  <conditionalFormatting sqref="O107">
    <cfRule type="cellIs" dxfId="103" priority="153" operator="greaterThan">
      <formula>0</formula>
    </cfRule>
    <cfRule type="cellIs" dxfId="102" priority="154" operator="lessThan">
      <formula>0</formula>
    </cfRule>
  </conditionalFormatting>
  <conditionalFormatting sqref="T107">
    <cfRule type="cellIs" dxfId="101" priority="151" operator="greaterThan">
      <formula>0</formula>
    </cfRule>
    <cfRule type="cellIs" dxfId="100" priority="152" operator="lessThan">
      <formula>0</formula>
    </cfRule>
  </conditionalFormatting>
  <conditionalFormatting sqref="Y107">
    <cfRule type="cellIs" dxfId="99" priority="149" operator="greaterThan">
      <formula>0</formula>
    </cfRule>
    <cfRule type="cellIs" dxfId="98" priority="150" operator="lessThan">
      <formula>0</formula>
    </cfRule>
  </conditionalFormatting>
  <conditionalFormatting sqref="G110:I110">
    <cfRule type="cellIs" dxfId="97" priority="148" operator="lessThan">
      <formula>G$11</formula>
    </cfRule>
  </conditionalFormatting>
  <conditionalFormatting sqref="G110:I110">
    <cfRule type="cellIs" dxfId="96" priority="147" operator="lessThan">
      <formula>G111</formula>
    </cfRule>
  </conditionalFormatting>
  <conditionalFormatting sqref="L110:N110">
    <cfRule type="cellIs" dxfId="95" priority="146" operator="lessThan">
      <formula>L$11</formula>
    </cfRule>
  </conditionalFormatting>
  <conditionalFormatting sqref="L110:N110">
    <cfRule type="cellIs" dxfId="94" priority="145" operator="lessThan">
      <formula>L111</formula>
    </cfRule>
  </conditionalFormatting>
  <conditionalFormatting sqref="Q110:S110">
    <cfRule type="cellIs" dxfId="93" priority="144" operator="lessThan">
      <formula>Q$11</formula>
    </cfRule>
  </conditionalFormatting>
  <conditionalFormatting sqref="Q110:S110">
    <cfRule type="cellIs" dxfId="92" priority="143" operator="lessThan">
      <formula>Q111</formula>
    </cfRule>
  </conditionalFormatting>
  <conditionalFormatting sqref="V110:X110">
    <cfRule type="cellIs" dxfId="91" priority="142" operator="lessThan">
      <formula>V$11</formula>
    </cfRule>
  </conditionalFormatting>
  <conditionalFormatting sqref="V110:X110">
    <cfRule type="cellIs" dxfId="90" priority="141" operator="lessThan">
      <formula>V111</formula>
    </cfRule>
  </conditionalFormatting>
  <conditionalFormatting sqref="AF115">
    <cfRule type="colorScale" priority="140">
      <colorScale>
        <cfvo type="min"/>
        <cfvo type="percentile" val="50"/>
        <cfvo type="max"/>
        <color rgb="FFF8696B"/>
        <color rgb="FFFFEB84"/>
        <color rgb="FF63BE7B"/>
      </colorScale>
    </cfRule>
  </conditionalFormatting>
  <conditionalFormatting sqref="AH115">
    <cfRule type="colorScale" priority="139">
      <colorScale>
        <cfvo type="min"/>
        <cfvo type="percentile" val="50"/>
        <cfvo type="max"/>
        <color rgb="FFF8696B"/>
        <color rgb="FFFFEB84"/>
        <color rgb="FF63BE7B"/>
      </colorScale>
    </cfRule>
  </conditionalFormatting>
  <conditionalFormatting sqref="B108:D108">
    <cfRule type="cellIs" dxfId="89" priority="137" operator="lessThan">
      <formula>#REF!</formula>
    </cfRule>
  </conditionalFormatting>
  <conditionalFormatting sqref="C128:C129">
    <cfRule type="cellIs" dxfId="88" priority="136" operator="lessThan">
      <formula>5</formula>
    </cfRule>
  </conditionalFormatting>
  <conditionalFormatting sqref="AD123:AD129">
    <cfRule type="colorScale" priority="127">
      <colorScale>
        <cfvo type="min"/>
        <cfvo type="percentile" val="50"/>
        <cfvo type="max"/>
        <color rgb="FFF8696B"/>
        <color rgb="FFFFEB84"/>
        <color rgb="FF63BE7B"/>
      </colorScale>
    </cfRule>
  </conditionalFormatting>
  <conditionalFormatting sqref="AD115">
    <cfRule type="colorScale" priority="126">
      <colorScale>
        <cfvo type="min"/>
        <cfvo type="percentile" val="50"/>
        <cfvo type="max"/>
        <color rgb="FFF8696B"/>
        <color rgb="FFFFEB84"/>
        <color rgb="FF63BE7B"/>
      </colorScale>
    </cfRule>
  </conditionalFormatting>
  <conditionalFormatting sqref="AE123:AE129">
    <cfRule type="colorScale" priority="125">
      <colorScale>
        <cfvo type="min"/>
        <cfvo type="percentile" val="50"/>
        <cfvo type="max"/>
        <color rgb="FFF8696B"/>
        <color rgb="FFFFEB84"/>
        <color rgb="FF63BE7B"/>
      </colorScale>
    </cfRule>
  </conditionalFormatting>
  <conditionalFormatting sqref="L113">
    <cfRule type="cellIs" dxfId="87" priority="114" operator="lessThan">
      <formula>0</formula>
    </cfRule>
  </conditionalFormatting>
  <conditionalFormatting sqref="Q113">
    <cfRule type="cellIs" dxfId="86" priority="113" operator="lessThan">
      <formula>0</formula>
    </cfRule>
  </conditionalFormatting>
  <conditionalFormatting sqref="V113">
    <cfRule type="cellIs" dxfId="85" priority="112" operator="lessThan">
      <formula>0</formula>
    </cfRule>
  </conditionalFormatting>
  <conditionalFormatting sqref="E327">
    <cfRule type="cellIs" dxfId="84" priority="111" operator="greaterThan">
      <formula>#REF!</formula>
    </cfRule>
  </conditionalFormatting>
  <conditionalFormatting sqref="J327">
    <cfRule type="cellIs" dxfId="83" priority="110" operator="greaterThan">
      <formula>#REF!</formula>
    </cfRule>
  </conditionalFormatting>
  <conditionalFormatting sqref="O327">
    <cfRule type="cellIs" dxfId="82" priority="109" operator="greaterThan">
      <formula>#REF!</formula>
    </cfRule>
  </conditionalFormatting>
  <conditionalFormatting sqref="T327">
    <cfRule type="cellIs" dxfId="81" priority="108" operator="greaterThan">
      <formula>#REF!</formula>
    </cfRule>
  </conditionalFormatting>
  <conditionalFormatting sqref="Y327">
    <cfRule type="cellIs" dxfId="80" priority="107" operator="greaterThan">
      <formula>#REF!</formula>
    </cfRule>
  </conditionalFormatting>
  <conditionalFormatting sqref="AI117:AI129">
    <cfRule type="colorScale" priority="106">
      <colorScale>
        <cfvo type="min"/>
        <cfvo type="percentile" val="50"/>
        <cfvo type="max"/>
        <color rgb="FFF8696B"/>
        <color rgb="FFFFEB84"/>
        <color rgb="FF63BE7B"/>
      </colorScale>
    </cfRule>
  </conditionalFormatting>
  <conditionalFormatting sqref="AK128:AK129">
    <cfRule type="colorScale" priority="105">
      <colorScale>
        <cfvo type="min"/>
        <cfvo type="percentile" val="50"/>
        <cfvo type="max"/>
        <color rgb="FFF8696B"/>
        <color rgb="FFFFEB84"/>
        <color rgb="FF63BE7B"/>
      </colorScale>
    </cfRule>
  </conditionalFormatting>
  <conditionalFormatting sqref="J113">
    <cfRule type="cellIs" dxfId="79" priority="103" operator="greaterThan">
      <formula>0</formula>
    </cfRule>
    <cfRule type="cellIs" dxfId="78" priority="104" operator="lessThan">
      <formula>0</formula>
    </cfRule>
  </conditionalFormatting>
  <conditionalFormatting sqref="O113">
    <cfRule type="cellIs" dxfId="77" priority="101" operator="greaterThan">
      <formula>0</formula>
    </cfRule>
    <cfRule type="cellIs" dxfId="76" priority="102" operator="lessThan">
      <formula>0</formula>
    </cfRule>
  </conditionalFormatting>
  <conditionalFormatting sqref="T113">
    <cfRule type="cellIs" dxfId="75" priority="99" operator="greaterThan">
      <formula>0</formula>
    </cfRule>
    <cfRule type="cellIs" dxfId="74" priority="100" operator="lessThan">
      <formula>0</formula>
    </cfRule>
  </conditionalFormatting>
  <conditionalFormatting sqref="Y113">
    <cfRule type="cellIs" dxfId="73" priority="97" operator="greaterThan">
      <formula>0</formula>
    </cfRule>
    <cfRule type="cellIs" dxfId="72" priority="98" operator="lessThan">
      <formula>0</formula>
    </cfRule>
  </conditionalFormatting>
  <conditionalFormatting sqref="M130">
    <cfRule type="cellIs" dxfId="71" priority="96" operator="lessThan">
      <formula>5</formula>
    </cfRule>
  </conditionalFormatting>
  <conditionalFormatting sqref="R130">
    <cfRule type="cellIs" dxfId="70" priority="95" operator="lessThan">
      <formula>5</formula>
    </cfRule>
  </conditionalFormatting>
  <conditionalFormatting sqref="W130">
    <cfRule type="cellIs" dxfId="69" priority="94" operator="lessThan">
      <formula>5</formula>
    </cfRule>
  </conditionalFormatting>
  <conditionalFormatting sqref="C193">
    <cfRule type="expression" dxfId="68" priority="93">
      <formula>AND(C193&gt;0,C312&lt;C310)</formula>
    </cfRule>
  </conditionalFormatting>
  <conditionalFormatting sqref="H193">
    <cfRule type="expression" dxfId="67" priority="88">
      <formula>AND(H193&gt;0,H312&lt;H310)</formula>
    </cfRule>
  </conditionalFormatting>
  <conditionalFormatting sqref="M193">
    <cfRule type="expression" dxfId="66" priority="87">
      <formula>AND(M193&gt;0,M312&lt;M310)</formula>
    </cfRule>
  </conditionalFormatting>
  <conditionalFormatting sqref="R193">
    <cfRule type="expression" dxfId="65" priority="86">
      <formula>AND(R193&gt;0,R312&lt;R310)</formula>
    </cfRule>
  </conditionalFormatting>
  <conditionalFormatting sqref="W193">
    <cfRule type="expression" dxfId="64" priority="85">
      <formula>AND(W193&gt;0,W312&lt;W310)</formula>
    </cfRule>
  </conditionalFormatting>
  <conditionalFormatting sqref="B143:D145">
    <cfRule type="cellIs" dxfId="63" priority="77" operator="lessThan">
      <formula>1</formula>
    </cfRule>
  </conditionalFormatting>
  <conditionalFormatting sqref="G143:I145">
    <cfRule type="cellIs" dxfId="62" priority="76" operator="lessThan">
      <formula>1</formula>
    </cfRule>
  </conditionalFormatting>
  <conditionalFormatting sqref="L143:N145">
    <cfRule type="cellIs" dxfId="61" priority="75" operator="lessThan">
      <formula>1</formula>
    </cfRule>
  </conditionalFormatting>
  <conditionalFormatting sqref="Q143:S145">
    <cfRule type="cellIs" dxfId="60" priority="74" operator="lessThan">
      <formula>1</formula>
    </cfRule>
  </conditionalFormatting>
  <conditionalFormatting sqref="V143:X145">
    <cfRule type="cellIs" dxfId="59" priority="72" operator="lessThan">
      <formula>1</formula>
    </cfRule>
  </conditionalFormatting>
  <conditionalFormatting sqref="I153">
    <cfRule type="cellIs" dxfId="58" priority="70" operator="lessThan">
      <formula>I$157</formula>
    </cfRule>
    <cfRule type="cellIs" dxfId="57" priority="71" operator="greaterThan">
      <formula>I$154</formula>
    </cfRule>
  </conditionalFormatting>
  <conditionalFormatting sqref="N153">
    <cfRule type="cellIs" dxfId="56" priority="68" operator="lessThan">
      <formula>N$157</formula>
    </cfRule>
    <cfRule type="cellIs" dxfId="55" priority="69" operator="greaterThan">
      <formula>N$154</formula>
    </cfRule>
  </conditionalFormatting>
  <conditionalFormatting sqref="S153">
    <cfRule type="cellIs" dxfId="54" priority="66" operator="lessThan">
      <formula>S$157</formula>
    </cfRule>
    <cfRule type="cellIs" dxfId="53" priority="67" operator="greaterThan">
      <formula>S$154</formula>
    </cfRule>
  </conditionalFormatting>
  <conditionalFormatting sqref="X153">
    <cfRule type="cellIs" dxfId="52" priority="64" operator="lessThan">
      <formula>X$157</formula>
    </cfRule>
    <cfRule type="cellIs" dxfId="51" priority="65" operator="greaterThan">
      <formula>X$154</formula>
    </cfRule>
  </conditionalFormatting>
  <conditionalFormatting sqref="D163">
    <cfRule type="cellIs" dxfId="50" priority="63" operator="lessThan">
      <formula>10</formula>
    </cfRule>
  </conditionalFormatting>
  <conditionalFormatting sqref="I163">
    <cfRule type="cellIs" dxfId="49" priority="62" operator="lessThan">
      <formula>10</formula>
    </cfRule>
  </conditionalFormatting>
  <conditionalFormatting sqref="N163">
    <cfRule type="cellIs" dxfId="48" priority="61" operator="lessThan">
      <formula>10</formula>
    </cfRule>
  </conditionalFormatting>
  <conditionalFormatting sqref="S163">
    <cfRule type="cellIs" dxfId="47" priority="60" operator="lessThan">
      <formula>10</formula>
    </cfRule>
  </conditionalFormatting>
  <conditionalFormatting sqref="X163">
    <cfRule type="cellIs" dxfId="46" priority="59" operator="lessThan">
      <formula>10</formula>
    </cfRule>
  </conditionalFormatting>
  <conditionalFormatting sqref="L108:N108">
    <cfRule type="cellIs" dxfId="45" priority="58" operator="lessThan">
      <formula>#REF!</formula>
    </cfRule>
  </conditionalFormatting>
  <conditionalFormatting sqref="Q108:S108">
    <cfRule type="cellIs" dxfId="44" priority="57" operator="lessThan">
      <formula>#REF!</formula>
    </cfRule>
  </conditionalFormatting>
  <conditionalFormatting sqref="I166">
    <cfRule type="cellIs" dxfId="43" priority="54" operator="lessThan">
      <formula>100%</formula>
    </cfRule>
    <cfRule type="cellIs" dxfId="42" priority="55" operator="greaterThan">
      <formula>I$167</formula>
    </cfRule>
  </conditionalFormatting>
  <conditionalFormatting sqref="N166">
    <cfRule type="cellIs" dxfId="41" priority="52" operator="lessThan">
      <formula>100%</formula>
    </cfRule>
    <cfRule type="cellIs" dxfId="40" priority="53" operator="greaterThan">
      <formula>N$167</formula>
    </cfRule>
  </conditionalFormatting>
  <conditionalFormatting sqref="S166">
    <cfRule type="cellIs" dxfId="39" priority="50" operator="lessThan">
      <formula>100%</formula>
    </cfRule>
    <cfRule type="cellIs" dxfId="38" priority="51" operator="greaterThan">
      <formula>S$167</formula>
    </cfRule>
  </conditionalFormatting>
  <conditionalFormatting sqref="X166">
    <cfRule type="cellIs" dxfId="37" priority="48" operator="lessThan">
      <formula>100%</formula>
    </cfRule>
    <cfRule type="cellIs" dxfId="36" priority="49" operator="greaterThan">
      <formula>X$167</formula>
    </cfRule>
  </conditionalFormatting>
  <conditionalFormatting sqref="G118">
    <cfRule type="cellIs" dxfId="35" priority="34" operator="lessThan">
      <formula>J120</formula>
    </cfRule>
  </conditionalFormatting>
  <conditionalFormatting sqref="H118">
    <cfRule type="cellIs" dxfId="34" priority="33" operator="lessThan">
      <formula>J121</formula>
    </cfRule>
  </conditionalFormatting>
  <conditionalFormatting sqref="I118">
    <cfRule type="cellIs" dxfId="33" priority="32" operator="lessThan">
      <formula>J122</formula>
    </cfRule>
  </conditionalFormatting>
  <conditionalFormatting sqref="L118">
    <cfRule type="cellIs" dxfId="32" priority="31" operator="lessThan">
      <formula>O120</formula>
    </cfRule>
  </conditionalFormatting>
  <conditionalFormatting sqref="M118">
    <cfRule type="cellIs" dxfId="31" priority="30" operator="lessThan">
      <formula>O121</formula>
    </cfRule>
  </conditionalFormatting>
  <conditionalFormatting sqref="N118">
    <cfRule type="cellIs" dxfId="30" priority="29" operator="lessThan">
      <formula>O122</formula>
    </cfRule>
  </conditionalFormatting>
  <conditionalFormatting sqref="Q118">
    <cfRule type="cellIs" dxfId="29" priority="28" operator="lessThan">
      <formula>T120</formula>
    </cfRule>
  </conditionalFormatting>
  <conditionalFormatting sqref="R118">
    <cfRule type="cellIs" dxfId="28" priority="27" operator="lessThan">
      <formula>T121</formula>
    </cfRule>
  </conditionalFormatting>
  <conditionalFormatting sqref="S118">
    <cfRule type="cellIs" dxfId="27" priority="26" operator="lessThan">
      <formula>T122</formula>
    </cfRule>
  </conditionalFormatting>
  <conditionalFormatting sqref="V118">
    <cfRule type="cellIs" dxfId="26" priority="25" operator="lessThan">
      <formula>Y120</formula>
    </cfRule>
  </conditionalFormatting>
  <conditionalFormatting sqref="W118">
    <cfRule type="cellIs" dxfId="25" priority="24" operator="lessThan">
      <formula>Y121</formula>
    </cfRule>
  </conditionalFormatting>
  <conditionalFormatting sqref="X118">
    <cfRule type="cellIs" dxfId="24" priority="23" operator="lessThan">
      <formula>Y122</formula>
    </cfRule>
  </conditionalFormatting>
  <conditionalFormatting sqref="B118">
    <cfRule type="cellIs" dxfId="23" priority="22" operator="lessThan">
      <formula>E120</formula>
    </cfRule>
  </conditionalFormatting>
  <conditionalFormatting sqref="C118">
    <cfRule type="cellIs" dxfId="22" priority="21" operator="lessThan">
      <formula>E121</formula>
    </cfRule>
  </conditionalFormatting>
  <conditionalFormatting sqref="D118">
    <cfRule type="cellIs" dxfId="21" priority="20" operator="lessThan">
      <formula>E122</formula>
    </cfRule>
  </conditionalFormatting>
  <conditionalFormatting sqref="H128:H129">
    <cfRule type="cellIs" dxfId="20" priority="15" operator="lessThan">
      <formula>5</formula>
    </cfRule>
  </conditionalFormatting>
  <conditionalFormatting sqref="M128:M129">
    <cfRule type="cellIs" dxfId="19" priority="14" operator="lessThan">
      <formula>5</formula>
    </cfRule>
  </conditionalFormatting>
  <conditionalFormatting sqref="R128:R129">
    <cfRule type="cellIs" dxfId="18" priority="13" operator="lessThan">
      <formula>5</formula>
    </cfRule>
  </conditionalFormatting>
  <conditionalFormatting sqref="W128:W129">
    <cfRule type="cellIs" dxfId="17" priority="12" operator="lessThan">
      <formula>5</formula>
    </cfRule>
  </conditionalFormatting>
  <conditionalFormatting sqref="C174">
    <cfRule type="cellIs" dxfId="16" priority="6" operator="lessThan">
      <formula>30</formula>
    </cfRule>
  </conditionalFormatting>
  <conditionalFormatting sqref="C198">
    <cfRule type="cellIs" dxfId="15" priority="5" operator="lessThan">
      <formula>180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Strategy_copy_fact">
                <anchor moveWithCells="1" sizeWithCells="1">
                  <from>
                    <xdr:col>29</xdr:col>
                    <xdr:colOff>335280</xdr:colOff>
                    <xdr:row>41</xdr:row>
                    <xdr:rowOff>160020</xdr:rowOff>
                  </from>
                  <to>
                    <xdr:col>31</xdr:col>
                    <xdr:colOff>335280</xdr:colOff>
                    <xdr:row>43</xdr:row>
                    <xdr:rowOff>160020</xdr:rowOff>
                  </to>
                </anchor>
              </controlPr>
            </control>
          </mc:Choice>
        </mc:AlternateContent>
        <mc:AlternateContent xmlns:mc="http://schemas.openxmlformats.org/markup-compatibility/2006">
          <mc:Choice Requires="x14">
            <control shapeId="819202" r:id="rId5" name="Button 2">
              <controlPr defaultSize="0" print="0" autoFill="0" autoPict="0" macro="[0]!Strategy_corporate_analyze">
                <anchor moveWithCells="1" sizeWithCells="1">
                  <from>
                    <xdr:col>31</xdr:col>
                    <xdr:colOff>7620</xdr:colOff>
                    <xdr:row>66</xdr:row>
                    <xdr:rowOff>0</xdr:rowOff>
                  </from>
                  <to>
                    <xdr:col>32</xdr:col>
                    <xdr:colOff>685800</xdr:colOff>
                    <xdr:row>67</xdr:row>
                    <xdr:rowOff>152400</xdr:rowOff>
                  </to>
                </anchor>
              </controlPr>
            </control>
          </mc:Choice>
        </mc:AlternateContent>
        <mc:AlternateContent xmlns:mc="http://schemas.openxmlformats.org/markup-compatibility/2006">
          <mc:Choice Requires="x14">
            <control shapeId="819205" r:id="rId6" name="Button 5">
              <controlPr defaultSize="0" print="0" autoFill="0" autoPict="0" macro="[0]!Strategy_corporate_clean">
                <anchor moveWithCells="1" sizeWithCells="1">
                  <from>
                    <xdr:col>31</xdr:col>
                    <xdr:colOff>7620</xdr:colOff>
                    <xdr:row>69</xdr:row>
                    <xdr:rowOff>0</xdr:rowOff>
                  </from>
                  <to>
                    <xdr:col>32</xdr:col>
                    <xdr:colOff>685800</xdr:colOff>
                    <xdr:row>70</xdr:row>
                    <xdr:rowOff>152400</xdr:rowOff>
                  </to>
                </anchor>
              </controlPr>
            </control>
          </mc:Choice>
        </mc:AlternateContent>
        <mc:AlternateContent xmlns:mc="http://schemas.openxmlformats.org/markup-compatibility/2006">
          <mc:Choice Requires="x14">
            <control shapeId="819206" r:id="rId7" name="Button 6">
              <controlPr defaultSize="0" print="0" autoFill="0" autoPict="0" macro="[0]!Strategy_copy_fact_all">
                <anchor moveWithCells="1" sizeWithCells="1">
                  <from>
                    <xdr:col>32</xdr:col>
                    <xdr:colOff>0</xdr:colOff>
                    <xdr:row>42</xdr:row>
                    <xdr:rowOff>0</xdr:rowOff>
                  </from>
                  <to>
                    <xdr:col>34</xdr:col>
                    <xdr:colOff>0</xdr:colOff>
                    <xdr:row>44</xdr:row>
                    <xdr:rowOff>0</xdr:rowOff>
                  </to>
                </anchor>
              </controlPr>
            </control>
          </mc:Choice>
        </mc:AlternateContent>
        <mc:AlternateContent xmlns:mc="http://schemas.openxmlformats.org/markup-compatibility/2006">
          <mc:Choice Requires="x14">
            <control shapeId="819207" r:id="rId8" name="Button 7">
              <controlPr defaultSize="0" print="0" autoFill="0" autoPict="0" macro="[0]!Strategy_maintenance_analyze">
                <anchor moveWithCells="1" sizeWithCells="1">
                  <from>
                    <xdr:col>35</xdr:col>
                    <xdr:colOff>22860</xdr:colOff>
                    <xdr:row>50</xdr:row>
                    <xdr:rowOff>7620</xdr:rowOff>
                  </from>
                  <to>
                    <xdr:col>36</xdr:col>
                    <xdr:colOff>685800</xdr:colOff>
                    <xdr:row>52</xdr:row>
                    <xdr:rowOff>0</xdr:rowOff>
                  </to>
                </anchor>
              </controlPr>
            </control>
          </mc:Choice>
        </mc:AlternateContent>
        <mc:AlternateContent xmlns:mc="http://schemas.openxmlformats.org/markup-compatibility/2006">
          <mc:Choice Requires="x14">
            <control shapeId="819208" r:id="rId9" name="Button 8">
              <controlPr defaultSize="0" print="0" autoFill="0" autoPict="0" macro="[0]!Strategy_maintenance_clean">
                <anchor moveWithCells="1" sizeWithCells="1">
                  <from>
                    <xdr:col>35</xdr:col>
                    <xdr:colOff>7620</xdr:colOff>
                    <xdr:row>53</xdr:row>
                    <xdr:rowOff>0</xdr:rowOff>
                  </from>
                  <to>
                    <xdr:col>36</xdr:col>
                    <xdr:colOff>678180</xdr:colOff>
                    <xdr:row>54</xdr:row>
                    <xdr:rowOff>152400</xdr:rowOff>
                  </to>
                </anchor>
              </controlPr>
            </control>
          </mc:Choice>
        </mc:AlternateContent>
        <mc:AlternateContent xmlns:mc="http://schemas.openxmlformats.org/markup-compatibility/2006">
          <mc:Choice Requires="x14">
            <control shapeId="819209" r:id="rId10" name="Button 9">
              <controlPr defaultSize="0" print="0" autoFill="0" autoPict="0" macro="[0]!Strategy_clear_decisions">
                <anchor moveWithCells="1" sizeWithCells="1">
                  <from>
                    <xdr:col>32</xdr:col>
                    <xdr:colOff>7620</xdr:colOff>
                    <xdr:row>46</xdr:row>
                    <xdr:rowOff>7620</xdr:rowOff>
                  </from>
                  <to>
                    <xdr:col>34</xdr:col>
                    <xdr:colOff>7620</xdr:colOff>
                    <xdr:row>48</xdr:row>
                    <xdr:rowOff>7620</xdr:rowOff>
                  </to>
                </anchor>
              </controlPr>
            </control>
          </mc:Choice>
        </mc:AlternateContent>
        <mc:AlternateContent xmlns:mc="http://schemas.openxmlformats.org/markup-compatibility/2006">
          <mc:Choice Requires="x14">
            <control shapeId="819211" r:id="rId11" name="Button 11">
              <controlPr defaultSize="0" print="0" autoFill="0" autoPict="0" macro="[0]!Strategy_assembly_analyze">
                <anchor moveWithCells="1" sizeWithCells="1">
                  <from>
                    <xdr:col>31</xdr:col>
                    <xdr:colOff>7620</xdr:colOff>
                    <xdr:row>82</xdr:row>
                    <xdr:rowOff>0</xdr:rowOff>
                  </from>
                  <to>
                    <xdr:col>33</xdr:col>
                    <xdr:colOff>7620</xdr:colOff>
                    <xdr:row>83</xdr:row>
                    <xdr:rowOff>152400</xdr:rowOff>
                  </to>
                </anchor>
              </controlPr>
            </control>
          </mc:Choice>
        </mc:AlternateContent>
        <mc:AlternateContent xmlns:mc="http://schemas.openxmlformats.org/markup-compatibility/2006">
          <mc:Choice Requires="x14">
            <control shapeId="819212" r:id="rId12" name="Button 12">
              <controlPr defaultSize="0" print="0" autoFill="0" autoPict="0" macro="[0]!Strategy_assembly_clean">
                <anchor moveWithCells="1" sizeWithCells="1">
                  <from>
                    <xdr:col>31</xdr:col>
                    <xdr:colOff>22860</xdr:colOff>
                    <xdr:row>85</xdr:row>
                    <xdr:rowOff>7620</xdr:rowOff>
                  </from>
                  <to>
                    <xdr:col>33</xdr:col>
                    <xdr:colOff>0</xdr:colOff>
                    <xdr:row>87</xdr:row>
                    <xdr:rowOff>0</xdr:rowOff>
                  </to>
                </anchor>
              </controlPr>
            </control>
          </mc:Choice>
        </mc:AlternateContent>
        <mc:AlternateContent xmlns:mc="http://schemas.openxmlformats.org/markup-compatibility/2006">
          <mc:Choice Requires="x14">
            <control shapeId="819213" r:id="rId13" name="Button 13">
              <controlPr defaultSize="0" print="0" autoFill="0" autoPict="0" macro="[0]!Strategy_administrative_analyze">
                <anchor moveWithCells="1" sizeWithCells="1">
                  <from>
                    <xdr:col>36</xdr:col>
                    <xdr:colOff>7620</xdr:colOff>
                    <xdr:row>82</xdr:row>
                    <xdr:rowOff>0</xdr:rowOff>
                  </from>
                  <to>
                    <xdr:col>37</xdr:col>
                    <xdr:colOff>685800</xdr:colOff>
                    <xdr:row>84</xdr:row>
                    <xdr:rowOff>7620</xdr:rowOff>
                  </to>
                </anchor>
              </controlPr>
            </control>
          </mc:Choice>
        </mc:AlternateContent>
        <mc:AlternateContent xmlns:mc="http://schemas.openxmlformats.org/markup-compatibility/2006">
          <mc:Choice Requires="x14">
            <control shapeId="819214" r:id="rId14" name="Button 14">
              <controlPr defaultSize="0" print="0" autoFill="0" autoPict="0" macro="[0]!Strategy_administrative_clean">
                <anchor moveWithCells="1" sizeWithCells="1">
                  <from>
                    <xdr:col>36</xdr:col>
                    <xdr:colOff>7620</xdr:colOff>
                    <xdr:row>85</xdr:row>
                    <xdr:rowOff>7620</xdr:rowOff>
                  </from>
                  <to>
                    <xdr:col>37</xdr:col>
                    <xdr:colOff>685800</xdr:colOff>
                    <xdr:row>87</xdr:row>
                    <xdr:rowOff>0</xdr:rowOff>
                  </to>
                </anchor>
              </controlPr>
            </control>
          </mc:Choice>
        </mc:AlternateContent>
        <mc:AlternateContent xmlns:mc="http://schemas.openxmlformats.org/markup-compatibility/2006">
          <mc:Choice Requires="x14">
            <control shapeId="819215" r:id="rId15" name="Button 15">
              <controlPr defaultSize="0" print="0" autoFill="0" autoPict="0" macro="[0]!Strategy_training_analyze">
                <anchor moveWithCells="1" sizeWithCells="1">
                  <from>
                    <xdr:col>36</xdr:col>
                    <xdr:colOff>7620</xdr:colOff>
                    <xdr:row>98</xdr:row>
                    <xdr:rowOff>7620</xdr:rowOff>
                  </from>
                  <to>
                    <xdr:col>37</xdr:col>
                    <xdr:colOff>685800</xdr:colOff>
                    <xdr:row>100</xdr:row>
                    <xdr:rowOff>7620</xdr:rowOff>
                  </to>
                </anchor>
              </controlPr>
            </control>
          </mc:Choice>
        </mc:AlternateContent>
        <mc:AlternateContent xmlns:mc="http://schemas.openxmlformats.org/markup-compatibility/2006">
          <mc:Choice Requires="x14">
            <control shapeId="819216" r:id="rId16" name="Button 16">
              <controlPr defaultSize="0" print="0" autoFill="0" autoPict="0" macro="[0]!Strategy_training_clean">
                <anchor moveWithCells="1" sizeWithCells="1">
                  <from>
                    <xdr:col>36</xdr:col>
                    <xdr:colOff>7620</xdr:colOff>
                    <xdr:row>101</xdr:row>
                    <xdr:rowOff>7620</xdr:rowOff>
                  </from>
                  <to>
                    <xdr:col>37</xdr:col>
                    <xdr:colOff>685800</xdr:colOff>
                    <xdr:row>103</xdr:row>
                    <xdr:rowOff>0</xdr:rowOff>
                  </to>
                </anchor>
              </controlPr>
            </control>
          </mc:Choice>
        </mc:AlternateContent>
        <mc:AlternateContent xmlns:mc="http://schemas.openxmlformats.org/markup-compatibility/2006">
          <mc:Choice Requires="x14">
            <control shapeId="819217" r:id="rId17" name="Button 17">
              <controlPr defaultSize="0" print="0" autoFill="0" autoPict="0" macro="[0]!Strategy_comission_analyze">
                <anchor moveWithCells="1" sizeWithCells="1">
                  <from>
                    <xdr:col>31</xdr:col>
                    <xdr:colOff>7620</xdr:colOff>
                    <xdr:row>98</xdr:row>
                    <xdr:rowOff>0</xdr:rowOff>
                  </from>
                  <to>
                    <xdr:col>33</xdr:col>
                    <xdr:colOff>7620</xdr:colOff>
                    <xdr:row>99</xdr:row>
                    <xdr:rowOff>152400</xdr:rowOff>
                  </to>
                </anchor>
              </controlPr>
            </control>
          </mc:Choice>
        </mc:AlternateContent>
        <mc:AlternateContent xmlns:mc="http://schemas.openxmlformats.org/markup-compatibility/2006">
          <mc:Choice Requires="x14">
            <control shapeId="819218" r:id="rId18" name="Button 18">
              <controlPr defaultSize="0" print="0" autoFill="0" autoPict="0" macro="[0]!Strategy_comission_clean">
                <anchor moveWithCells="1" sizeWithCells="1">
                  <from>
                    <xdr:col>31</xdr:col>
                    <xdr:colOff>22860</xdr:colOff>
                    <xdr:row>101</xdr:row>
                    <xdr:rowOff>7620</xdr:rowOff>
                  </from>
                  <to>
                    <xdr:col>33</xdr:col>
                    <xdr:colOff>0</xdr:colOff>
                    <xdr:row>103</xdr:row>
                    <xdr:rowOff>0</xdr:rowOff>
                  </to>
                </anchor>
              </controlPr>
            </control>
          </mc:Choice>
        </mc:AlternateContent>
        <mc:AlternateContent xmlns:mc="http://schemas.openxmlformats.org/markup-compatibility/2006">
          <mc:Choice Requires="x14">
            <control shapeId="819219" r:id="rId19" name="Button 19">
              <controlPr defaultSize="0" print="0" autoFill="0" autoPict="0" macro="[0]!Strategy_agents_analyze">
                <anchor moveWithCells="1" sizeWithCells="1">
                  <from>
                    <xdr:col>29</xdr:col>
                    <xdr:colOff>7620</xdr:colOff>
                    <xdr:row>114</xdr:row>
                    <xdr:rowOff>0</xdr:rowOff>
                  </from>
                  <to>
                    <xdr:col>31</xdr:col>
                    <xdr:colOff>7620</xdr:colOff>
                    <xdr:row>115</xdr:row>
                    <xdr:rowOff>160020</xdr:rowOff>
                  </to>
                </anchor>
              </controlPr>
            </control>
          </mc:Choice>
        </mc:AlternateContent>
        <mc:AlternateContent xmlns:mc="http://schemas.openxmlformats.org/markup-compatibility/2006">
          <mc:Choice Requires="x14">
            <control shapeId="819220" r:id="rId20" name="Button 20">
              <controlPr defaultSize="0" print="0" autoFill="0" autoPict="0" macro="[0]!Strategy_agents_clean">
                <anchor moveWithCells="1" sizeWithCells="1">
                  <from>
                    <xdr:col>29</xdr:col>
                    <xdr:colOff>22860</xdr:colOff>
                    <xdr:row>117</xdr:row>
                    <xdr:rowOff>7620</xdr:rowOff>
                  </from>
                  <to>
                    <xdr:col>30</xdr:col>
                    <xdr:colOff>685800</xdr:colOff>
                    <xdr:row>119</xdr:row>
                    <xdr:rowOff>0</xdr:rowOff>
                  </to>
                </anchor>
              </controlPr>
            </control>
          </mc:Choice>
        </mc:AlternateContent>
        <mc:AlternateContent xmlns:mc="http://schemas.openxmlformats.org/markup-compatibility/2006">
          <mc:Choice Requires="x14">
            <control shapeId="819221" r:id="rId21" name="Button 21">
              <controlPr defaultSize="0" print="0" autoFill="0" autoPict="0" macro="[0]!Strategy_advertising_analysis">
                <anchor moveWithCells="1" sizeWithCells="1">
                  <from>
                    <xdr:col>35</xdr:col>
                    <xdr:colOff>7620</xdr:colOff>
                    <xdr:row>129</xdr:row>
                    <xdr:rowOff>152400</xdr:rowOff>
                  </from>
                  <to>
                    <xdr:col>37</xdr:col>
                    <xdr:colOff>7620</xdr:colOff>
                    <xdr:row>131</xdr:row>
                    <xdr:rowOff>144780</xdr:rowOff>
                  </to>
                </anchor>
              </controlPr>
            </control>
          </mc:Choice>
        </mc:AlternateContent>
        <mc:AlternateContent xmlns:mc="http://schemas.openxmlformats.org/markup-compatibility/2006">
          <mc:Choice Requires="x14">
            <control shapeId="819222" r:id="rId22" name="Button 22">
              <controlPr defaultSize="0" print="0" autoFill="0" autoPict="0" macro="[0]!Strategy_advertising_clear">
                <anchor moveWithCells="1" sizeWithCells="1">
                  <from>
                    <xdr:col>35</xdr:col>
                    <xdr:colOff>22860</xdr:colOff>
                    <xdr:row>133</xdr:row>
                    <xdr:rowOff>7620</xdr:rowOff>
                  </from>
                  <to>
                    <xdr:col>37</xdr:col>
                    <xdr:colOff>0</xdr:colOff>
                    <xdr:row>135</xdr:row>
                    <xdr:rowOff>0</xdr:rowOff>
                  </to>
                </anchor>
              </controlPr>
            </control>
          </mc:Choice>
        </mc:AlternateContent>
        <mc:AlternateContent xmlns:mc="http://schemas.openxmlformats.org/markup-compatibility/2006">
          <mc:Choice Requires="x14">
            <control shapeId="819223" r:id="rId23" name="Button 23">
              <controlPr defaultSize="0" print="0" autoFill="0" autoPict="0" macro="[0]!Strategy_copy_decision">
                <anchor moveWithCells="1" sizeWithCells="1">
                  <from>
                    <xdr:col>29</xdr:col>
                    <xdr:colOff>327660</xdr:colOff>
                    <xdr:row>46</xdr:row>
                    <xdr:rowOff>7620</xdr:rowOff>
                  </from>
                  <to>
                    <xdr:col>31</xdr:col>
                    <xdr:colOff>327660</xdr:colOff>
                    <xdr:row>48</xdr:row>
                    <xdr:rowOff>7620</xdr:rowOff>
                  </to>
                </anchor>
              </controlPr>
            </control>
          </mc:Choice>
        </mc:AlternateContent>
        <mc:AlternateContent xmlns:mc="http://schemas.openxmlformats.org/markup-compatibility/2006">
          <mc:Choice Requires="x14">
            <control shapeId="819231" r:id="rId24" name="Button 31">
              <controlPr defaultSize="0" print="0" autoFill="0" autoPict="0" macro="[0]!Strategy_site_analyze">
                <anchor moveWithCells="1" sizeWithCells="1">
                  <from>
                    <xdr:col>36</xdr:col>
                    <xdr:colOff>7620</xdr:colOff>
                    <xdr:row>114</xdr:row>
                    <xdr:rowOff>7620</xdr:rowOff>
                  </from>
                  <to>
                    <xdr:col>38</xdr:col>
                    <xdr:colOff>0</xdr:colOff>
                    <xdr:row>116</xdr:row>
                    <xdr:rowOff>7620</xdr:rowOff>
                  </to>
                </anchor>
              </controlPr>
            </control>
          </mc:Choice>
        </mc:AlternateContent>
        <mc:AlternateContent xmlns:mc="http://schemas.openxmlformats.org/markup-compatibility/2006">
          <mc:Choice Requires="x14">
            <control shapeId="819232" r:id="rId25" name="Button 32">
              <controlPr defaultSize="0" print="0" autoFill="0" autoPict="0" macro="[0]!Strategy_site_clean">
                <anchor moveWithCells="1" sizeWithCells="1">
                  <from>
                    <xdr:col>36</xdr:col>
                    <xdr:colOff>7620</xdr:colOff>
                    <xdr:row>117</xdr:row>
                    <xdr:rowOff>7620</xdr:rowOff>
                  </from>
                  <to>
                    <xdr:col>37</xdr:col>
                    <xdr:colOff>685800</xdr:colOff>
                    <xdr:row>119</xdr:row>
                    <xdr:rowOff>0</xdr:rowOff>
                  </to>
                </anchor>
              </controlPr>
            </control>
          </mc:Choice>
        </mc:AlternateContent>
        <mc:AlternateContent xmlns:mc="http://schemas.openxmlformats.org/markup-compatibility/2006">
          <mc:Choice Requires="x14">
            <control shapeId="819233" r:id="rId26" name="Button 33">
              <controlPr defaultSize="0" print="0" autoFill="0" autoPict="0" macro="[0]!Strategy_manual_correction">
                <anchor moveWithCells="1" sizeWithCells="1">
                  <from>
                    <xdr:col>34</xdr:col>
                    <xdr:colOff>365760</xdr:colOff>
                    <xdr:row>42</xdr:row>
                    <xdr:rowOff>0</xdr:rowOff>
                  </from>
                  <to>
                    <xdr:col>36</xdr:col>
                    <xdr:colOff>365760</xdr:colOff>
                    <xdr:row>44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24" operator="equal" id="{17A4FD9D-E233-4277-8964-813FB2BF445C}">
            <xm:f>'1'!AJ9</xm:f>
            <x14:dxf>
              <font>
                <color rgb="FF006100"/>
              </font>
              <fill>
                <patternFill>
                  <bgColor rgb="FFC6EFCE"/>
                </patternFill>
              </fill>
            </x14:dxf>
          </x14:cfRule>
          <xm:sqref>A390:D485</xm:sqref>
        </x14:conditionalFormatting>
        <x14:conditionalFormatting xmlns:xm="http://schemas.microsoft.com/office/excel/2006/main">
          <x14:cfRule type="cellIs" priority="123" operator="equal" id="{7F89C10E-8EE1-4769-8C1B-56E656BBE057}">
            <xm:f>'1'!AN9</xm:f>
            <x14:dxf>
              <font>
                <color rgb="FF006100"/>
              </font>
              <fill>
                <patternFill>
                  <bgColor rgb="FFC6EFCE"/>
                </patternFill>
              </fill>
            </x14:dxf>
          </x14:cfRule>
          <xm:sqref>A495:D590</xm:sqref>
        </x14:conditionalFormatting>
        <x14:conditionalFormatting xmlns:xm="http://schemas.microsoft.com/office/excel/2006/main">
          <x14:cfRule type="cellIs" priority="122" operator="equal" id="{807490EB-1EA3-4852-86B4-E5CF6B680670}">
            <xm:f>'2'!AJ9</xm:f>
            <x14:dxf>
              <font>
                <color rgb="FF006100"/>
              </font>
              <fill>
                <patternFill>
                  <bgColor rgb="FFC6EFCE"/>
                </patternFill>
              </fill>
            </x14:dxf>
          </x14:cfRule>
          <xm:sqref>F390:I485</xm:sqref>
        </x14:conditionalFormatting>
        <x14:conditionalFormatting xmlns:xm="http://schemas.microsoft.com/office/excel/2006/main">
          <x14:cfRule type="cellIs" priority="121" operator="equal" id="{54AC5AB4-4A8A-4F30-B81C-CD6A7D3247DA}">
            <xm:f>'3'!AJ9</xm:f>
            <x14:dxf>
              <font>
                <color rgb="FF006100"/>
              </font>
              <fill>
                <patternFill>
                  <bgColor rgb="FFC6EFCE"/>
                </patternFill>
              </fill>
            </x14:dxf>
          </x14:cfRule>
          <xm:sqref>K390:N485</xm:sqref>
        </x14:conditionalFormatting>
        <x14:conditionalFormatting xmlns:xm="http://schemas.microsoft.com/office/excel/2006/main">
          <x14:cfRule type="cellIs" priority="120" operator="equal" id="{5A096B57-8397-4D91-A9E6-650FB6D3BF4A}">
            <xm:f>'4'!AJ9</xm:f>
            <x14:dxf>
              <font>
                <color rgb="FF006100"/>
              </font>
              <fill>
                <patternFill>
                  <bgColor rgb="FFC6EFCE"/>
                </patternFill>
              </fill>
            </x14:dxf>
          </x14:cfRule>
          <xm:sqref>P390:S485</xm:sqref>
        </x14:conditionalFormatting>
        <x14:conditionalFormatting xmlns:xm="http://schemas.microsoft.com/office/excel/2006/main">
          <x14:cfRule type="cellIs" priority="119" operator="equal" id="{4888D45A-1C5D-4646-A167-3D117DC35EA8}">
            <xm:f>'5'!AJ9</xm:f>
            <x14:dxf>
              <font>
                <color rgb="FF006100"/>
              </font>
              <fill>
                <patternFill>
                  <bgColor rgb="FFC6EFCE"/>
                </patternFill>
              </fill>
            </x14:dxf>
          </x14:cfRule>
          <xm:sqref>U390:X485</xm:sqref>
        </x14:conditionalFormatting>
        <x14:conditionalFormatting xmlns:xm="http://schemas.microsoft.com/office/excel/2006/main">
          <x14:cfRule type="cellIs" priority="118" operator="equal" id="{90982936-7A1E-411E-A681-9EF6582E15BD}">
            <xm:f>'2'!AN9</xm:f>
            <x14:dxf>
              <font>
                <color rgb="FF006100"/>
              </font>
              <fill>
                <patternFill>
                  <bgColor rgb="FFC6EFCE"/>
                </patternFill>
              </fill>
            </x14:dxf>
          </x14:cfRule>
          <xm:sqref>F495:I590</xm:sqref>
        </x14:conditionalFormatting>
        <x14:conditionalFormatting xmlns:xm="http://schemas.microsoft.com/office/excel/2006/main">
          <x14:cfRule type="cellIs" priority="117" operator="equal" id="{B3E4B1F2-7492-427E-AFDF-AC622D4648A5}">
            <xm:f>'3'!AN9</xm:f>
            <x14:dxf>
              <font>
                <color rgb="FF006100"/>
              </font>
              <fill>
                <patternFill>
                  <bgColor rgb="FFC6EFCE"/>
                </patternFill>
              </fill>
            </x14:dxf>
          </x14:cfRule>
          <xm:sqref>K495:N590</xm:sqref>
        </x14:conditionalFormatting>
        <x14:conditionalFormatting xmlns:xm="http://schemas.microsoft.com/office/excel/2006/main">
          <x14:cfRule type="cellIs" priority="116" operator="equal" id="{8D85ECC2-6DDC-4E87-B2FB-3C971BCA0685}">
            <xm:f>'4'!AN9</xm:f>
            <x14:dxf>
              <font>
                <color rgb="FF006100"/>
              </font>
              <fill>
                <patternFill>
                  <bgColor rgb="FFC6EFCE"/>
                </patternFill>
              </fill>
            </x14:dxf>
          </x14:cfRule>
          <xm:sqref>P495:S590</xm:sqref>
        </x14:conditionalFormatting>
        <x14:conditionalFormatting xmlns:xm="http://schemas.microsoft.com/office/excel/2006/main">
          <x14:cfRule type="cellIs" priority="115" operator="equal" id="{252F7FFD-7D47-4BA6-95F8-F06D7399E4F1}">
            <xm:f>'5'!AN9</xm:f>
            <x14:dxf>
              <font>
                <color rgb="FF006100"/>
              </font>
              <fill>
                <patternFill>
                  <bgColor rgb="FFC6EFCE"/>
                </patternFill>
              </fill>
            </x14:dxf>
          </x14:cfRule>
          <xm:sqref>U495:X590</xm:sqref>
        </x14:conditionalFormatting>
        <x14:conditionalFormatting xmlns:xm="http://schemas.microsoft.com/office/excel/2006/main">
          <x14:cfRule type="cellIs" priority="11" operator="greaterThan" id="{17AA501D-90E8-4034-B612-109DECE46BF7}">
            <xm:f>'51'!$P$25*1.15</xm:f>
            <x14:dxf>
              <font>
                <color rgb="FF9C0006"/>
              </font>
              <fill>
                <patternFill>
                  <bgColor rgb="FFFFC7CE"/>
                </patternFill>
              </fill>
            </x14:dxf>
          </x14:cfRule>
          <xm:sqref>C177</xm:sqref>
        </x14:conditionalFormatting>
        <x14:conditionalFormatting xmlns:xm="http://schemas.microsoft.com/office/excel/2006/main">
          <x14:cfRule type="cellIs" priority="4" operator="greaterThan" id="{06D57830-8FA9-48B3-9767-D16AE443F711}">
            <xm:f>'51'!$P$25*1.15</xm:f>
            <x14:dxf>
              <font>
                <color rgb="FF9C0006"/>
              </font>
              <fill>
                <patternFill>
                  <bgColor rgb="FFFFC7CE"/>
                </patternFill>
              </fill>
            </x14:dxf>
          </x14:cfRule>
          <xm:sqref>H177</xm:sqref>
        </x14:conditionalFormatting>
        <x14:conditionalFormatting xmlns:xm="http://schemas.microsoft.com/office/excel/2006/main">
          <x14:cfRule type="cellIs" priority="3" operator="greaterThan" id="{258D3E55-4248-4AD3-824E-548CFA25F4AE}">
            <xm:f>'51'!$P$25*1.15</xm:f>
            <x14:dxf>
              <font>
                <color rgb="FF9C0006"/>
              </font>
              <fill>
                <patternFill>
                  <bgColor rgb="FFFFC7CE"/>
                </patternFill>
              </fill>
            </x14:dxf>
          </x14:cfRule>
          <xm:sqref>M177</xm:sqref>
        </x14:conditionalFormatting>
        <x14:conditionalFormatting xmlns:xm="http://schemas.microsoft.com/office/excel/2006/main">
          <x14:cfRule type="cellIs" priority="2" operator="greaterThan" id="{766FB9BC-AA8E-48F4-A8DF-24219ECF6825}">
            <xm:f>'51'!$P$25*1.15</xm:f>
            <x14:dxf>
              <font>
                <color rgb="FF9C0006"/>
              </font>
              <fill>
                <patternFill>
                  <bgColor rgb="FFFFC7CE"/>
                </patternFill>
              </fill>
            </x14:dxf>
          </x14:cfRule>
          <xm:sqref>R177</xm:sqref>
        </x14:conditionalFormatting>
        <x14:conditionalFormatting xmlns:xm="http://schemas.microsoft.com/office/excel/2006/main">
          <x14:cfRule type="cellIs" priority="1" operator="greaterThan" id="{90EFBC98-1E6B-4149-8DDE-9291764EA577}">
            <xm:f>'51'!$P$25*1.15</xm:f>
            <x14:dxf>
              <font>
                <color rgb="FF9C0006"/>
              </font>
              <fill>
                <patternFill>
                  <bgColor rgb="FFFFC7CE"/>
                </patternFill>
              </fill>
            </x14:dxf>
          </x14:cfRule>
          <xm:sqref>W177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ED696"/>
  <sheetViews>
    <sheetView zoomScale="80" zoomScaleNormal="80" workbookViewId="0">
      <selection activeCell="I15" sqref="I15"/>
    </sheetView>
  </sheetViews>
  <sheetFormatPr baseColWidth="10" defaultColWidth="9.109375" defaultRowHeight="12.75" customHeight="1" x14ac:dyDescent="0.25"/>
  <cols>
    <col min="1" max="4" width="9.109375" style="3" customWidth="1"/>
    <col min="5" max="5" width="9.109375" style="3"/>
    <col min="6" max="6" width="2.88671875" style="3" customWidth="1"/>
    <col min="7" max="13" width="9.109375" style="3"/>
    <col min="14" max="14" width="9.109375" style="3" customWidth="1"/>
    <col min="15" max="15" width="9.109375" style="3"/>
    <col min="16" max="16" width="2.88671875" style="3" customWidth="1"/>
    <col min="17" max="23" width="9.109375" style="3"/>
    <col min="24" max="24" width="2.88671875" style="3" customWidth="1"/>
    <col min="25" max="32" width="9.109375" style="3"/>
    <col min="33" max="33" width="4.33203125" style="137" customWidth="1"/>
    <col min="34" max="134" width="2.88671875" style="3" customWidth="1"/>
    <col min="135" max="16384" width="9.109375" style="3"/>
  </cols>
  <sheetData>
    <row r="1" spans="1:134" ht="12.75" customHeight="1" x14ac:dyDescent="0.25">
      <c r="A1" s="1100" t="s">
        <v>382</v>
      </c>
      <c r="B1" s="1101"/>
      <c r="C1" s="1101"/>
      <c r="D1" s="1101"/>
      <c r="E1" s="781" t="s">
        <v>677</v>
      </c>
      <c r="F1" s="940"/>
      <c r="G1" s="723" t="s">
        <v>678</v>
      </c>
      <c r="H1" s="724"/>
      <c r="I1"/>
      <c r="J1" s="705" t="s">
        <v>501</v>
      </c>
      <c r="K1" s="707"/>
      <c r="L1" s="706"/>
      <c r="M1" s="705" t="s">
        <v>502</v>
      </c>
      <c r="N1" s="707"/>
      <c r="O1" s="706"/>
      <c r="Q1" s="1080" t="str">
        <f>Lang!$A$38</f>
        <v>Advertising</v>
      </c>
      <c r="R1" s="1103"/>
      <c r="Y1" s="1080" t="str">
        <f>Lang!$A$44</f>
        <v>Assembly time</v>
      </c>
      <c r="Z1" s="1103"/>
      <c r="AH1" s="1203" t="s">
        <v>667</v>
      </c>
      <c r="AI1" s="1204"/>
      <c r="AJ1" s="1205"/>
      <c r="AK1" s="1149" t="str">
        <f>Lang!$A$37</f>
        <v>Maintenance hours</v>
      </c>
      <c r="AL1" s="1081"/>
      <c r="AM1" s="1081"/>
      <c r="AN1" s="1081"/>
      <c r="AO1" s="1081"/>
      <c r="AP1" s="1081"/>
      <c r="AQ1" s="1081"/>
      <c r="AR1" s="1081"/>
      <c r="AS1" s="1081"/>
      <c r="AT1" s="1081"/>
      <c r="AU1" s="1081"/>
      <c r="AV1" s="1081"/>
      <c r="AW1" s="1081"/>
      <c r="AX1" s="1081"/>
      <c r="AY1" s="1081"/>
      <c r="AZ1" s="1081"/>
      <c r="BA1" s="1081"/>
      <c r="BB1" s="1081"/>
      <c r="BC1" s="1081"/>
      <c r="BD1" s="1081"/>
      <c r="BE1" s="1081"/>
      <c r="BF1" s="1081"/>
      <c r="BG1" s="1081"/>
      <c r="BH1" s="1081"/>
      <c r="BI1" s="1081"/>
      <c r="BJ1" s="1081"/>
      <c r="BK1" s="1081"/>
      <c r="BL1" s="1081"/>
      <c r="BM1" s="1081"/>
      <c r="BN1" s="1081"/>
      <c r="BO1" s="1081"/>
      <c r="BP1" s="1081"/>
      <c r="BQ1" s="1081"/>
      <c r="BR1" s="1081"/>
      <c r="BS1" s="1081"/>
      <c r="BT1" s="1081"/>
      <c r="BU1" s="1081"/>
      <c r="BV1" s="1081"/>
      <c r="BW1" s="1081"/>
      <c r="BX1" s="1081"/>
      <c r="BY1" s="1081"/>
      <c r="BZ1" s="1081"/>
      <c r="CA1" s="1081"/>
      <c r="CB1" s="1081"/>
      <c r="CC1" s="1081"/>
      <c r="CD1" s="1081"/>
      <c r="CE1" s="1081"/>
      <c r="CF1" s="1081"/>
      <c r="CG1" s="1081"/>
      <c r="CH1" s="1081"/>
      <c r="CI1" s="1081"/>
      <c r="CJ1" s="1081"/>
      <c r="CK1" s="1081"/>
      <c r="CL1" s="1081"/>
      <c r="CM1" s="1081"/>
      <c r="CN1" s="1081"/>
      <c r="CO1" s="1081"/>
      <c r="CP1" s="1081"/>
      <c r="CQ1" s="1081"/>
      <c r="CR1" s="1081"/>
      <c r="CS1" s="1081"/>
      <c r="CT1" s="1081"/>
      <c r="CU1" s="1081"/>
      <c r="CV1" s="1081"/>
      <c r="CW1" s="1081"/>
      <c r="CX1" s="1081"/>
      <c r="CY1" s="1081"/>
      <c r="CZ1" s="1081"/>
      <c r="DA1" s="1081"/>
      <c r="DB1" s="1081"/>
      <c r="DC1" s="1081"/>
      <c r="DD1" s="1081"/>
      <c r="DE1" s="1081"/>
      <c r="DF1" s="1081"/>
      <c r="DG1" s="1081"/>
      <c r="DH1" s="1081"/>
      <c r="DI1" s="1081"/>
      <c r="DJ1" s="1081"/>
      <c r="DK1" s="1081"/>
      <c r="DL1" s="1081"/>
      <c r="DM1" s="1081"/>
      <c r="DN1" s="1081"/>
      <c r="DO1" s="1081"/>
      <c r="DP1" s="1081"/>
      <c r="DQ1" s="1081"/>
      <c r="DR1" s="1081"/>
      <c r="DS1" s="1081"/>
      <c r="DT1" s="1081"/>
      <c r="DU1" s="1081"/>
      <c r="DV1" s="1081"/>
      <c r="DW1" s="1081"/>
      <c r="DX1" s="1081"/>
      <c r="DY1" s="1081"/>
      <c r="DZ1" s="1081"/>
      <c r="EA1" s="1081"/>
      <c r="EB1" s="1081"/>
      <c r="EC1" s="1081"/>
      <c r="ED1" s="1103"/>
    </row>
    <row r="2" spans="1:134" ht="12.75" customHeight="1" thickBot="1" x14ac:dyDescent="0.3">
      <c r="A2" s="573" t="s">
        <v>51</v>
      </c>
      <c r="B2" s="1068" t="s">
        <v>461</v>
      </c>
      <c r="C2" s="1068" t="s">
        <v>460</v>
      </c>
      <c r="D2" s="1068" t="s">
        <v>391</v>
      </c>
      <c r="E2" s="779" t="s">
        <v>394</v>
      </c>
      <c r="F2" s="940"/>
      <c r="G2" s="725">
        <v>0.20514372785029597</v>
      </c>
      <c r="H2" s="966">
        <v>0.61515560237660594</v>
      </c>
      <c r="I2"/>
      <c r="J2" s="755">
        <v>9.9328756631019105E-4</v>
      </c>
      <c r="K2" s="756">
        <v>8.5682297858390404E-4</v>
      </c>
      <c r="L2" s="757">
        <v>6.7038311406304111E-4</v>
      </c>
      <c r="M2" s="758">
        <v>-1.5214180890473087E-5</v>
      </c>
      <c r="N2" s="759">
        <v>-1.5214180890473087E-5</v>
      </c>
      <c r="O2" s="796">
        <v>-1.5214180890473087E-5</v>
      </c>
      <c r="Q2" s="126">
        <v>0</v>
      </c>
      <c r="R2" s="814">
        <f t="shared" ref="R2:R7" si="0">$L$22*Q2</f>
        <v>0</v>
      </c>
      <c r="Y2" s="126">
        <v>1</v>
      </c>
      <c r="Z2" s="814">
        <f t="shared" ref="Z2:Z7" si="1">Y2^J$17</f>
        <v>1</v>
      </c>
      <c r="AG2" s="851">
        <v>100</v>
      </c>
      <c r="AH2" s="844"/>
      <c r="AI2" s="845"/>
      <c r="AJ2" s="845"/>
      <c r="AK2" s="845"/>
      <c r="AL2" s="845"/>
      <c r="AM2" s="845"/>
      <c r="AN2" s="845"/>
      <c r="AO2" s="845"/>
      <c r="AP2" s="845"/>
      <c r="AQ2" s="845"/>
      <c r="AR2" s="845"/>
      <c r="AS2" s="845"/>
      <c r="AT2" s="845"/>
      <c r="AU2" s="845"/>
      <c r="AV2" s="845">
        <v>99.3</v>
      </c>
      <c r="AW2" s="845">
        <v>99.357142857142861</v>
      </c>
      <c r="AX2" s="845">
        <v>99.414285714285711</v>
      </c>
      <c r="AY2" s="845">
        <v>99.471428571428575</v>
      </c>
      <c r="AZ2" s="845">
        <v>99.528571428571425</v>
      </c>
      <c r="BA2" s="845">
        <v>99.585714285714289</v>
      </c>
      <c r="BB2" s="845">
        <v>99.642857142857139</v>
      </c>
      <c r="BC2" s="845">
        <v>99.628571428571433</v>
      </c>
      <c r="BD2" s="845">
        <v>99.6</v>
      </c>
      <c r="BE2" s="845">
        <v>99.571428571428584</v>
      </c>
      <c r="BF2" s="845">
        <v>99.571428571428584</v>
      </c>
      <c r="BG2" s="845">
        <v>99.544642857142861</v>
      </c>
      <c r="BH2" s="845">
        <v>99.544642857142861</v>
      </c>
      <c r="BI2" s="845">
        <v>99.526785714285722</v>
      </c>
      <c r="BJ2" s="845">
        <v>99.526785714285722</v>
      </c>
      <c r="BK2" s="845"/>
      <c r="BL2" s="845"/>
      <c r="BM2" s="845"/>
      <c r="BN2" s="845"/>
      <c r="BO2" s="845"/>
      <c r="BP2" s="845"/>
      <c r="BQ2" s="845"/>
      <c r="BR2" s="845"/>
      <c r="BS2" s="845"/>
      <c r="BT2" s="845"/>
      <c r="BU2" s="845"/>
      <c r="BV2" s="845"/>
      <c r="BW2" s="845"/>
      <c r="BX2" s="845"/>
      <c r="BY2" s="845"/>
      <c r="BZ2" s="845"/>
      <c r="CA2" s="845"/>
      <c r="CB2" s="845"/>
      <c r="CC2" s="845"/>
      <c r="CD2" s="845"/>
      <c r="CE2" s="845"/>
      <c r="CF2" s="845"/>
      <c r="CG2" s="845"/>
      <c r="CH2" s="845"/>
      <c r="CI2" s="845"/>
      <c r="CJ2" s="845"/>
      <c r="CK2" s="845"/>
      <c r="CL2" s="845"/>
      <c r="CM2" s="845"/>
      <c r="CN2" s="845"/>
      <c r="CO2" s="845"/>
      <c r="CP2" s="845"/>
      <c r="CQ2" s="845"/>
      <c r="CR2" s="845"/>
      <c r="CS2" s="845"/>
      <c r="CT2" s="845"/>
      <c r="CU2" s="845"/>
      <c r="CV2" s="845"/>
      <c r="CW2" s="845"/>
      <c r="CX2" s="845"/>
      <c r="CY2" s="845"/>
      <c r="CZ2" s="845"/>
      <c r="DA2" s="845"/>
      <c r="DB2" s="845"/>
      <c r="DC2" s="845"/>
      <c r="DD2" s="845"/>
      <c r="DE2" s="845"/>
      <c r="DF2" s="845"/>
      <c r="DG2" s="845"/>
      <c r="DH2" s="845"/>
      <c r="DI2" s="845"/>
      <c r="DJ2" s="845"/>
      <c r="DK2" s="845"/>
      <c r="DL2" s="845"/>
      <c r="DM2" s="845"/>
      <c r="DN2" s="845"/>
      <c r="DO2" s="845"/>
      <c r="DP2" s="845"/>
      <c r="DQ2" s="845"/>
      <c r="DR2" s="845"/>
      <c r="DS2" s="845"/>
      <c r="DT2" s="845"/>
      <c r="DU2" s="845"/>
      <c r="DV2" s="845"/>
      <c r="DW2" s="845"/>
      <c r="DX2" s="845"/>
      <c r="DY2" s="845"/>
      <c r="DZ2" s="845"/>
      <c r="EA2" s="845"/>
      <c r="EB2" s="845"/>
      <c r="EC2" s="845"/>
      <c r="ED2" s="846"/>
    </row>
    <row r="3" spans="1:134" ht="12.75" customHeight="1" thickBot="1" x14ac:dyDescent="0.3">
      <c r="A3" s="5">
        <v>79567</v>
      </c>
      <c r="B3" s="6">
        <v>75192</v>
      </c>
      <c r="C3" s="6">
        <v>71611</v>
      </c>
      <c r="D3" s="774">
        <v>0.83</v>
      </c>
      <c r="E3" s="782">
        <v>0</v>
      </c>
      <c r="F3" s="940"/>
      <c r="G3"/>
      <c r="H3"/>
      <c r="I3"/>
      <c r="J3" s="755">
        <v>1.3786363088208473E-3</v>
      </c>
      <c r="K3" s="756">
        <v>1.289501053386445E-3</v>
      </c>
      <c r="L3" s="757">
        <v>1.194854148556021E-3</v>
      </c>
      <c r="M3" s="758">
        <v>-1.5214180890473087E-5</v>
      </c>
      <c r="N3" s="759">
        <v>-1.5214180890473087E-5</v>
      </c>
      <c r="O3" s="760">
        <v>-1.5214180890473087E-5</v>
      </c>
      <c r="Q3" s="123">
        <v>20</v>
      </c>
      <c r="R3" s="815">
        <f t="shared" si="0"/>
        <v>6.3434556173073198E-2</v>
      </c>
      <c r="Y3" s="123">
        <v>10</v>
      </c>
      <c r="Z3" s="815">
        <f t="shared" si="1"/>
        <v>1.0530573696868977</v>
      </c>
      <c r="AG3" s="851">
        <v>99</v>
      </c>
      <c r="AH3" s="844"/>
      <c r="AI3" s="845"/>
      <c r="AJ3" s="845"/>
      <c r="AK3" s="845"/>
      <c r="AL3" s="845">
        <v>96.644791666666649</v>
      </c>
      <c r="AM3" s="845">
        <v>96.644791666666649</v>
      </c>
      <c r="AN3" s="845">
        <v>96.643749999999983</v>
      </c>
      <c r="AO3" s="845">
        <v>97.066666666666663</v>
      </c>
      <c r="AP3" s="845">
        <v>97.5</v>
      </c>
      <c r="AQ3" s="845">
        <v>97.541666666666671</v>
      </c>
      <c r="AR3" s="845">
        <v>97.583333333333329</v>
      </c>
      <c r="AS3" s="845">
        <v>97.625</v>
      </c>
      <c r="AT3" s="845">
        <v>97.666666666666671</v>
      </c>
      <c r="AU3" s="845">
        <v>97.708333333333329</v>
      </c>
      <c r="AV3" s="845">
        <v>97.75</v>
      </c>
      <c r="AW3" s="845">
        <v>97.82</v>
      </c>
      <c r="AX3" s="845">
        <v>97.89</v>
      </c>
      <c r="AY3" s="845">
        <v>97.96</v>
      </c>
      <c r="AZ3" s="845">
        <v>98.03</v>
      </c>
      <c r="BA3" s="845">
        <v>98.1</v>
      </c>
      <c r="BB3" s="845">
        <v>98.266666666666666</v>
      </c>
      <c r="BC3" s="845">
        <v>98.433333333333323</v>
      </c>
      <c r="BD3" s="845">
        <v>98.6</v>
      </c>
      <c r="BE3" s="845">
        <v>98.766666666666666</v>
      </c>
      <c r="BF3" s="845">
        <v>98.933333333333323</v>
      </c>
      <c r="BG3" s="845">
        <v>99.046969696969683</v>
      </c>
      <c r="BH3" s="845">
        <v>99.025757575757581</v>
      </c>
      <c r="BI3" s="845">
        <v>99.00454545454545</v>
      </c>
      <c r="BJ3" s="845">
        <v>98.98333333333332</v>
      </c>
      <c r="BK3" s="845">
        <v>98.962121212121218</v>
      </c>
      <c r="BL3" s="845">
        <v>98.940909090909088</v>
      </c>
      <c r="BM3" s="845">
        <v>98.919696969696957</v>
      </c>
      <c r="BN3" s="845">
        <v>98.898484848484856</v>
      </c>
      <c r="BO3" s="845">
        <v>98.877272727272725</v>
      </c>
      <c r="BP3" s="845">
        <v>98.856060606060595</v>
      </c>
      <c r="BQ3" s="845">
        <v>98.834848484848493</v>
      </c>
      <c r="BR3" s="845">
        <v>98.813636363636363</v>
      </c>
      <c r="BS3" s="845">
        <v>98.792424242424232</v>
      </c>
      <c r="BT3" s="845">
        <v>98.77121212121213</v>
      </c>
      <c r="BU3" s="845">
        <v>98.75</v>
      </c>
      <c r="BV3" s="845">
        <v>98.72878787878787</v>
      </c>
      <c r="BW3" s="845">
        <v>98.707575757575768</v>
      </c>
      <c r="BX3" s="845">
        <v>98.686363636363637</v>
      </c>
      <c r="BY3" s="845">
        <v>98.665151515151507</v>
      </c>
      <c r="BZ3" s="845">
        <v>98.643939393939405</v>
      </c>
      <c r="CA3" s="845">
        <v>98.622727272727275</v>
      </c>
      <c r="CB3" s="845">
        <v>98.601515151515144</v>
      </c>
      <c r="CC3" s="845">
        <v>98.580303030303043</v>
      </c>
      <c r="CD3" s="845">
        <v>98.560132575757578</v>
      </c>
      <c r="CE3" s="845">
        <v>98.560132575757578</v>
      </c>
      <c r="CF3" s="845">
        <v>98.544696969696957</v>
      </c>
      <c r="CG3" s="845">
        <v>98.544696969696957</v>
      </c>
      <c r="CH3" s="845">
        <v>98.538825757575751</v>
      </c>
      <c r="CI3" s="845">
        <v>98.527490530303027</v>
      </c>
      <c r="CJ3" s="845">
        <v>98.491571969696963</v>
      </c>
      <c r="CK3" s="845">
        <v>98.491571969696963</v>
      </c>
      <c r="CL3" s="845">
        <v>98.460289351419206</v>
      </c>
      <c r="CM3" s="845">
        <v>98.460289351419206</v>
      </c>
      <c r="CN3" s="845">
        <v>98.44649305425763</v>
      </c>
      <c r="CO3" s="845">
        <v>98.44649305425763</v>
      </c>
      <c r="CP3" s="845">
        <v>98.457031250000014</v>
      </c>
      <c r="CQ3" s="845">
        <v>98.489062500000017</v>
      </c>
      <c r="CR3" s="845">
        <v>98.533749999999998</v>
      </c>
      <c r="CS3" s="845">
        <v>98.578437500000007</v>
      </c>
      <c r="CT3" s="845">
        <v>98.623125000000016</v>
      </c>
      <c r="CU3" s="845">
        <v>98.649033203124986</v>
      </c>
      <c r="CV3" s="845">
        <v>98.649033203124986</v>
      </c>
      <c r="CW3" s="845">
        <v>98.644726562499997</v>
      </c>
      <c r="CX3" s="845">
        <v>98.65</v>
      </c>
      <c r="CY3" s="845">
        <v>98.674999999999997</v>
      </c>
      <c r="CZ3" s="845">
        <v>98.7</v>
      </c>
      <c r="DA3" s="845">
        <v>98.716666666666669</v>
      </c>
      <c r="DB3" s="845">
        <v>98.733333333333334</v>
      </c>
      <c r="DC3" s="845">
        <v>98.75</v>
      </c>
      <c r="DD3" s="845">
        <v>98.766666666666666</v>
      </c>
      <c r="DE3" s="845">
        <v>98.783333333333331</v>
      </c>
      <c r="DF3" s="845">
        <v>98.8</v>
      </c>
      <c r="DG3" s="845">
        <v>98.815384615384616</v>
      </c>
      <c r="DH3" s="845">
        <v>98.830769230769235</v>
      </c>
      <c r="DI3" s="845">
        <v>98.84615384615384</v>
      </c>
      <c r="DJ3" s="845">
        <v>98.861538461538458</v>
      </c>
      <c r="DK3" s="845">
        <v>98.876923076923077</v>
      </c>
      <c r="DL3" s="845">
        <v>98.892307692307696</v>
      </c>
      <c r="DM3" s="845">
        <v>98.907692307692301</v>
      </c>
      <c r="DN3" s="845">
        <v>98.92307692307692</v>
      </c>
      <c r="DO3" s="845">
        <v>98.938461538461539</v>
      </c>
      <c r="DP3" s="845">
        <v>98.953846153846158</v>
      </c>
      <c r="DQ3" s="845">
        <v>98.969230769230762</v>
      </c>
      <c r="DR3" s="845">
        <v>98.984615384615381</v>
      </c>
      <c r="DS3" s="845">
        <v>99</v>
      </c>
      <c r="DT3" s="845">
        <v>99.01428571428572</v>
      </c>
      <c r="DU3" s="845">
        <v>99.028571428571425</v>
      </c>
      <c r="DV3" s="845">
        <v>99.042857142857144</v>
      </c>
      <c r="DW3" s="845">
        <v>99.05714285714285</v>
      </c>
      <c r="DX3" s="845">
        <v>99.071428571428569</v>
      </c>
      <c r="DY3" s="845">
        <v>99.085714285714275</v>
      </c>
      <c r="DZ3" s="845">
        <v>99.1</v>
      </c>
      <c r="EA3" s="845">
        <v>99.1</v>
      </c>
      <c r="EB3" s="845">
        <v>99.1</v>
      </c>
      <c r="EC3" s="845"/>
      <c r="ED3" s="846"/>
    </row>
    <row r="4" spans="1:134" ht="12.75" customHeight="1" thickBot="1" x14ac:dyDescent="0.3">
      <c r="A4" s="5">
        <v>79336</v>
      </c>
      <c r="B4" s="6">
        <v>75369</v>
      </c>
      <c r="C4" s="6">
        <v>71403</v>
      </c>
      <c r="D4" s="774">
        <v>0.82</v>
      </c>
      <c r="E4" s="782">
        <v>0</v>
      </c>
      <c r="F4" s="940"/>
      <c r="G4" s="723" t="s">
        <v>679</v>
      </c>
      <c r="H4" s="724"/>
      <c r="I4"/>
      <c r="J4" s="761">
        <v>1.0826212675822948E-3</v>
      </c>
      <c r="K4" s="762">
        <v>1.0101554625148459E-3</v>
      </c>
      <c r="L4" s="763">
        <v>7.9547014042775726E-4</v>
      </c>
      <c r="M4" s="764">
        <v>-1.5214180890473087E-5</v>
      </c>
      <c r="N4" s="765">
        <v>-1.5214180890473087E-5</v>
      </c>
      <c r="O4" s="766">
        <v>-1.5214180890473087E-5</v>
      </c>
      <c r="Q4" s="123">
        <v>40</v>
      </c>
      <c r="R4" s="815">
        <f t="shared" si="0"/>
        <v>0.1268691123461464</v>
      </c>
      <c r="Y4" s="123">
        <v>20</v>
      </c>
      <c r="Z4" s="815">
        <f t="shared" si="1"/>
        <v>1.0695738267349046</v>
      </c>
      <c r="AG4" s="851">
        <v>98</v>
      </c>
      <c r="AH4" s="844"/>
      <c r="AI4" s="845"/>
      <c r="AJ4" s="845"/>
      <c r="AK4" s="845"/>
      <c r="AL4" s="845">
        <v>95.556785714285709</v>
      </c>
      <c r="AM4" s="845">
        <v>95.556785714285709</v>
      </c>
      <c r="AN4" s="845">
        <v>96.2</v>
      </c>
      <c r="AO4" s="845">
        <v>96.262500000000003</v>
      </c>
      <c r="AP4" s="845">
        <v>96.325000000000003</v>
      </c>
      <c r="AQ4" s="845">
        <v>96.387500000000003</v>
      </c>
      <c r="AR4" s="845">
        <v>96.45</v>
      </c>
      <c r="AS4" s="845">
        <v>96.512500000000003</v>
      </c>
      <c r="AT4" s="845">
        <v>96.575000000000003</v>
      </c>
      <c r="AU4" s="845">
        <v>96.637500000000003</v>
      </c>
      <c r="AV4" s="845">
        <v>96.7</v>
      </c>
      <c r="AW4" s="845">
        <v>97</v>
      </c>
      <c r="AX4" s="845">
        <v>97.1</v>
      </c>
      <c r="AY4" s="845">
        <v>97.2</v>
      </c>
      <c r="AZ4" s="845">
        <v>97.3</v>
      </c>
      <c r="BA4" s="845">
        <v>97.4</v>
      </c>
      <c r="BB4" s="845">
        <v>97.5</v>
      </c>
      <c r="BC4" s="845">
        <v>97.6</v>
      </c>
      <c r="BD4" s="845">
        <v>97.7</v>
      </c>
      <c r="BE4" s="845">
        <v>97.8</v>
      </c>
      <c r="BF4" s="845">
        <v>97.9</v>
      </c>
      <c r="BG4" s="845">
        <v>98</v>
      </c>
      <c r="BH4" s="845">
        <v>98.1</v>
      </c>
      <c r="BI4" s="845">
        <v>98.1</v>
      </c>
      <c r="BJ4" s="845">
        <v>98.076562499999994</v>
      </c>
      <c r="BK4" s="845">
        <v>98.076562499999994</v>
      </c>
      <c r="BL4" s="845">
        <v>98.035937499999989</v>
      </c>
      <c r="BM4" s="845">
        <v>98.035937499999989</v>
      </c>
      <c r="BN4" s="845">
        <v>98.010937499999997</v>
      </c>
      <c r="BO4" s="845">
        <v>98.010937499999997</v>
      </c>
      <c r="BP4" s="845">
        <v>98.001562500000006</v>
      </c>
      <c r="BQ4" s="845">
        <v>98.001562500000006</v>
      </c>
      <c r="BR4" s="845">
        <v>98</v>
      </c>
      <c r="BS4" s="845">
        <v>98</v>
      </c>
      <c r="BT4" s="845">
        <v>98</v>
      </c>
      <c r="BU4" s="845">
        <v>98.066666666666663</v>
      </c>
      <c r="BV4" s="845">
        <v>98.13333333333334</v>
      </c>
      <c r="BW4" s="845">
        <v>98.2</v>
      </c>
      <c r="BX4" s="845">
        <v>98.266666666666666</v>
      </c>
      <c r="BY4" s="845">
        <v>98.270312500000017</v>
      </c>
      <c r="BZ4" s="845">
        <v>98.270312500000017</v>
      </c>
      <c r="CA4" s="845">
        <v>98.222395833333337</v>
      </c>
      <c r="CB4" s="845">
        <v>98.222395833333337</v>
      </c>
      <c r="CC4" s="845">
        <v>98.193749999999994</v>
      </c>
      <c r="CD4" s="845">
        <v>98.25</v>
      </c>
      <c r="CE4" s="845">
        <v>98.325000000000003</v>
      </c>
      <c r="CF4" s="845">
        <v>98.4</v>
      </c>
      <c r="CG4" s="845">
        <v>98.474999999999994</v>
      </c>
      <c r="CH4" s="845">
        <v>98.533333333333331</v>
      </c>
      <c r="CI4" s="845">
        <v>98.527490530303027</v>
      </c>
      <c r="CJ4" s="845">
        <v>98.491571969696963</v>
      </c>
      <c r="CK4" s="845">
        <v>98.491571969696963</v>
      </c>
      <c r="CL4" s="845">
        <v>98.460289351419206</v>
      </c>
      <c r="CM4" s="845">
        <v>98.460289351419206</v>
      </c>
      <c r="CN4" s="845">
        <v>98.450780780503834</v>
      </c>
      <c r="CO4" s="845">
        <v>98.450780780503834</v>
      </c>
      <c r="CP4" s="845">
        <v>98.457421875000023</v>
      </c>
      <c r="CQ4" s="845">
        <v>98.489843750000006</v>
      </c>
      <c r="CR4" s="845">
        <v>98.535624999999996</v>
      </c>
      <c r="CS4" s="845">
        <v>98.581406250000001</v>
      </c>
      <c r="CT4" s="845">
        <v>98.627187500000019</v>
      </c>
      <c r="CU4" s="845">
        <v>98.646341145833333</v>
      </c>
      <c r="CV4" s="845">
        <v>98.646341145833333</v>
      </c>
      <c r="CW4" s="845">
        <v>98.625139973958341</v>
      </c>
      <c r="CX4" s="845">
        <v>98.625139973958341</v>
      </c>
      <c r="CY4" s="845">
        <v>98.610937500000006</v>
      </c>
      <c r="CZ4" s="845">
        <v>98.616666666666674</v>
      </c>
      <c r="DA4" s="845">
        <v>98.633333333333326</v>
      </c>
      <c r="DB4" s="845">
        <v>98.65</v>
      </c>
      <c r="DC4" s="845">
        <v>98.666666666666657</v>
      </c>
      <c r="DD4" s="845">
        <v>98.683333333333337</v>
      </c>
      <c r="DE4" s="845">
        <v>98.699358974358972</v>
      </c>
      <c r="DF4" s="845">
        <v>98.715384615384608</v>
      </c>
      <c r="DG4" s="845">
        <v>98.730769230769226</v>
      </c>
      <c r="DH4" s="845">
        <v>98.746153846153845</v>
      </c>
      <c r="DI4" s="845">
        <v>98.761538461538464</v>
      </c>
      <c r="DJ4" s="845">
        <v>98.776923076923083</v>
      </c>
      <c r="DK4" s="845">
        <v>98.792307692307688</v>
      </c>
      <c r="DL4" s="845">
        <v>98.807692307692307</v>
      </c>
      <c r="DM4" s="845">
        <v>98.823076923076911</v>
      </c>
      <c r="DN4" s="845">
        <v>98.83846153846153</v>
      </c>
      <c r="DO4" s="845">
        <v>98.853846153846149</v>
      </c>
      <c r="DP4" s="845">
        <v>98.869230769230768</v>
      </c>
      <c r="DQ4" s="845">
        <v>98.884615384615387</v>
      </c>
      <c r="DR4" s="845">
        <v>98.892307692307696</v>
      </c>
      <c r="DS4" s="845">
        <v>98.9</v>
      </c>
      <c r="DT4" s="845">
        <v>98.907142857142858</v>
      </c>
      <c r="DU4" s="845">
        <v>98.914285714285711</v>
      </c>
      <c r="DV4" s="845">
        <v>98.921428571428578</v>
      </c>
      <c r="DW4" s="845">
        <v>98.928571428571416</v>
      </c>
      <c r="DX4" s="845">
        <v>98.935714285714283</v>
      </c>
      <c r="DY4" s="845">
        <v>98.992857142857133</v>
      </c>
      <c r="DZ4" s="845"/>
      <c r="EA4" s="845"/>
      <c r="EB4" s="845"/>
      <c r="EC4" s="845"/>
      <c r="ED4" s="846"/>
    </row>
    <row r="5" spans="1:134" ht="12.75" customHeight="1" thickBot="1" x14ac:dyDescent="0.3">
      <c r="A5" s="5">
        <v>79345</v>
      </c>
      <c r="B5" s="6">
        <v>75378</v>
      </c>
      <c r="C5" s="6">
        <v>71410</v>
      </c>
      <c r="D5" s="774">
        <v>0.83</v>
      </c>
      <c r="E5" s="782">
        <v>0</v>
      </c>
      <c r="F5" s="940"/>
      <c r="G5" s="797">
        <v>0.18601470010296053</v>
      </c>
      <c r="H5" s="798">
        <v>0.21680740292542272</v>
      </c>
      <c r="I5"/>
      <c r="J5"/>
      <c r="K5"/>
      <c r="L5"/>
      <c r="Q5" s="123">
        <v>60</v>
      </c>
      <c r="R5" s="815">
        <f t="shared" si="0"/>
        <v>0.19030366851921959</v>
      </c>
      <c r="Y5" s="123">
        <v>30</v>
      </c>
      <c r="Z5" s="815">
        <f t="shared" si="1"/>
        <v>1.0793551633830587</v>
      </c>
      <c r="AG5" s="851">
        <v>97</v>
      </c>
      <c r="AH5" s="844"/>
      <c r="AI5" s="845"/>
      <c r="AJ5" s="845"/>
      <c r="AK5" s="845"/>
      <c r="AL5" s="845">
        <v>94.463571428571427</v>
      </c>
      <c r="AM5" s="845">
        <v>94.463571428571427</v>
      </c>
      <c r="AN5" s="845">
        <v>94.875</v>
      </c>
      <c r="AO5" s="845">
        <v>95.135937499999997</v>
      </c>
      <c r="AP5" s="845">
        <v>95.135937499999997</v>
      </c>
      <c r="AQ5" s="845">
        <v>95.166666666666671</v>
      </c>
      <c r="AR5" s="845">
        <v>95.440624999999997</v>
      </c>
      <c r="AS5" s="845">
        <v>95.440624999999997</v>
      </c>
      <c r="AT5" s="845">
        <v>95.766666666666666</v>
      </c>
      <c r="AU5" s="845">
        <v>95.875</v>
      </c>
      <c r="AV5" s="845">
        <v>95.983333333333334</v>
      </c>
      <c r="AW5" s="845">
        <v>96.091666666666669</v>
      </c>
      <c r="AX5" s="845">
        <v>96.2</v>
      </c>
      <c r="AY5" s="845">
        <v>96.55</v>
      </c>
      <c r="AZ5" s="845">
        <v>96.55</v>
      </c>
      <c r="BA5" s="845">
        <v>96.7</v>
      </c>
      <c r="BB5" s="845">
        <v>96.899999999999991</v>
      </c>
      <c r="BC5" s="845">
        <v>96.987499999999997</v>
      </c>
      <c r="BD5" s="845">
        <v>96.987499999999997</v>
      </c>
      <c r="BE5" s="845">
        <v>96.962500000000006</v>
      </c>
      <c r="BF5" s="845">
        <v>96.962500000000006</v>
      </c>
      <c r="BG5" s="845">
        <v>97.15</v>
      </c>
      <c r="BH5" s="845">
        <v>97.4</v>
      </c>
      <c r="BI5" s="845">
        <v>97.42</v>
      </c>
      <c r="BJ5" s="845">
        <v>97.44</v>
      </c>
      <c r="BK5" s="845">
        <v>97.444940476190482</v>
      </c>
      <c r="BL5" s="845">
        <v>97.403958333333335</v>
      </c>
      <c r="BM5" s="845">
        <v>97.345238095238102</v>
      </c>
      <c r="BN5" s="845">
        <v>97.283333333333331</v>
      </c>
      <c r="BO5" s="845">
        <v>97.221428571428561</v>
      </c>
      <c r="BP5" s="845">
        <v>97.221428571428561</v>
      </c>
      <c r="BQ5" s="845">
        <v>97.163392857142853</v>
      </c>
      <c r="BR5" s="845">
        <v>97.163392857142853</v>
      </c>
      <c r="BS5" s="845">
        <v>97.124702380952385</v>
      </c>
      <c r="BT5" s="845">
        <v>97.124702380952385</v>
      </c>
      <c r="BU5" s="845">
        <v>97.8</v>
      </c>
      <c r="BV5" s="845">
        <v>97.816666666666663</v>
      </c>
      <c r="BW5" s="845">
        <v>97.833333333333329</v>
      </c>
      <c r="BX5" s="845">
        <v>97.85</v>
      </c>
      <c r="BY5" s="845">
        <v>97.866666666666674</v>
      </c>
      <c r="BZ5" s="845">
        <v>97.88333333333334</v>
      </c>
      <c r="CA5" s="845">
        <v>97.9</v>
      </c>
      <c r="CB5" s="845">
        <v>97.9375</v>
      </c>
      <c r="CC5" s="845">
        <v>97.975000000000009</v>
      </c>
      <c r="CD5" s="845">
        <v>98.012500000000003</v>
      </c>
      <c r="CE5" s="845">
        <v>98.050000000000011</v>
      </c>
      <c r="CF5" s="845">
        <v>98.087500000000006</v>
      </c>
      <c r="CG5" s="845">
        <v>98.125</v>
      </c>
      <c r="CH5" s="845">
        <v>98.162500000000009</v>
      </c>
      <c r="CI5" s="845">
        <v>98.214802631578948</v>
      </c>
      <c r="CJ5" s="845">
        <v>98.275616776315786</v>
      </c>
      <c r="CK5" s="845">
        <v>98.336430921052639</v>
      </c>
      <c r="CL5" s="845">
        <v>98.397245065789463</v>
      </c>
      <c r="CM5" s="845">
        <v>98.454134985614303</v>
      </c>
      <c r="CN5" s="845">
        <v>98.450780780503834</v>
      </c>
      <c r="CO5" s="845">
        <v>98.450780780503834</v>
      </c>
      <c r="CP5" s="845">
        <v>98.457421875000023</v>
      </c>
      <c r="CQ5" s="845">
        <v>98.489843750000006</v>
      </c>
      <c r="CR5" s="845">
        <v>98.535624999999996</v>
      </c>
      <c r="CS5" s="845">
        <v>98.581406250000001</v>
      </c>
      <c r="CT5" s="845">
        <v>98.627187500000019</v>
      </c>
      <c r="CU5" s="845">
        <v>98.641110026041673</v>
      </c>
      <c r="CV5" s="845">
        <v>98.641110026041673</v>
      </c>
      <c r="CW5" s="845">
        <v>98.594801432291661</v>
      </c>
      <c r="CX5" s="845">
        <v>98.594801432291661</v>
      </c>
      <c r="CY5" s="845">
        <v>98.552408854166657</v>
      </c>
      <c r="CZ5" s="845">
        <v>98.552408854166657</v>
      </c>
      <c r="DA5" s="845">
        <v>98.55</v>
      </c>
      <c r="DB5" s="845">
        <v>98.566666666666663</v>
      </c>
      <c r="DC5" s="845">
        <v>98.583333333333329</v>
      </c>
      <c r="DD5" s="845">
        <v>98.6</v>
      </c>
      <c r="DE5" s="845">
        <v>98.615384615384613</v>
      </c>
      <c r="DF5" s="845">
        <v>98.630769230769232</v>
      </c>
      <c r="DG5" s="845">
        <v>98.646153846153837</v>
      </c>
      <c r="DH5" s="845">
        <v>98.661538461538456</v>
      </c>
      <c r="DI5" s="845">
        <v>98.676923076923075</v>
      </c>
      <c r="DJ5" s="845">
        <v>98.692307692307693</v>
      </c>
      <c r="DK5" s="845">
        <v>98.707692307692298</v>
      </c>
      <c r="DL5" s="845">
        <v>98.723076923076917</v>
      </c>
      <c r="DM5" s="845">
        <v>98.738461538461536</v>
      </c>
      <c r="DN5" s="845">
        <v>98.753846153846155</v>
      </c>
      <c r="DO5" s="845">
        <v>98.769230769230759</v>
      </c>
      <c r="DP5" s="845">
        <v>98.784615384615378</v>
      </c>
      <c r="DQ5" s="845">
        <v>98.8</v>
      </c>
      <c r="DR5" s="845">
        <v>98.8</v>
      </c>
      <c r="DS5" s="845">
        <v>98.8</v>
      </c>
      <c r="DT5" s="845">
        <v>98.8</v>
      </c>
      <c r="DU5" s="845">
        <v>98.8</v>
      </c>
      <c r="DV5" s="845">
        <v>98.8</v>
      </c>
      <c r="DW5" s="845">
        <v>98.8</v>
      </c>
      <c r="DX5" s="845">
        <v>98.8</v>
      </c>
      <c r="DY5" s="845">
        <v>98.9</v>
      </c>
      <c r="DZ5" s="845"/>
      <c r="EA5" s="845"/>
      <c r="EB5" s="845"/>
      <c r="EC5" s="845"/>
      <c r="ED5" s="846"/>
    </row>
    <row r="6" spans="1:134" ht="12.75" customHeight="1" thickBot="1" x14ac:dyDescent="0.3">
      <c r="A6" s="5">
        <v>78498</v>
      </c>
      <c r="B6" s="6">
        <v>75378</v>
      </c>
      <c r="C6" s="6">
        <v>71410</v>
      </c>
      <c r="D6" s="774">
        <v>0.84</v>
      </c>
      <c r="E6" s="782">
        <v>0</v>
      </c>
      <c r="F6" s="940"/>
      <c r="G6" s="727">
        <v>0.18601470010296053</v>
      </c>
      <c r="H6" s="710">
        <v>0.21680740292542272</v>
      </c>
      <c r="I6"/>
      <c r="J6" s="705" t="s">
        <v>503</v>
      </c>
      <c r="K6" s="707"/>
      <c r="L6" s="706"/>
      <c r="M6" s="707" t="s">
        <v>504</v>
      </c>
      <c r="N6" s="707"/>
      <c r="O6" s="706"/>
      <c r="Q6" s="123">
        <v>80</v>
      </c>
      <c r="R6" s="815">
        <f t="shared" si="0"/>
        <v>0.25373822469229279</v>
      </c>
      <c r="Y6" s="123">
        <v>40</v>
      </c>
      <c r="Z6" s="815">
        <f t="shared" si="1"/>
        <v>1.0863493326830678</v>
      </c>
      <c r="AG6" s="851">
        <v>96</v>
      </c>
      <c r="AH6" s="844"/>
      <c r="AI6" s="845"/>
      <c r="AJ6" s="845"/>
      <c r="AK6" s="845"/>
      <c r="AL6" s="845">
        <v>93.370357142857145</v>
      </c>
      <c r="AM6" s="845">
        <v>93.370357142857145</v>
      </c>
      <c r="AN6" s="845">
        <v>93.550000000000011</v>
      </c>
      <c r="AO6" s="845">
        <v>93.968033854166677</v>
      </c>
      <c r="AP6" s="845">
        <v>93.968033854166677</v>
      </c>
      <c r="AQ6" s="845">
        <v>93.966015625000011</v>
      </c>
      <c r="AR6" s="845">
        <v>94.4</v>
      </c>
      <c r="AS6" s="845">
        <v>94.4</v>
      </c>
      <c r="AT6" s="845">
        <v>94.85</v>
      </c>
      <c r="AU6" s="845">
        <v>95.05</v>
      </c>
      <c r="AV6" s="845">
        <v>95.133333333333326</v>
      </c>
      <c r="AW6" s="845">
        <v>95.306666666666658</v>
      </c>
      <c r="AX6" s="845">
        <v>95.47999999999999</v>
      </c>
      <c r="AY6" s="845">
        <v>95.653333333333336</v>
      </c>
      <c r="AZ6" s="845">
        <v>95.826666666666668</v>
      </c>
      <c r="BA6" s="845">
        <v>96</v>
      </c>
      <c r="BB6" s="845">
        <v>96.16</v>
      </c>
      <c r="BC6" s="845">
        <v>96.32</v>
      </c>
      <c r="BD6" s="845">
        <v>96.48</v>
      </c>
      <c r="BE6" s="845">
        <v>96.64</v>
      </c>
      <c r="BF6" s="845">
        <v>96.8</v>
      </c>
      <c r="BG6" s="845">
        <v>96.837500000000006</v>
      </c>
      <c r="BH6" s="845">
        <v>96.85</v>
      </c>
      <c r="BI6" s="845">
        <v>96.875</v>
      </c>
      <c r="BJ6" s="845">
        <v>96.9</v>
      </c>
      <c r="BK6" s="845">
        <v>96.924999999999997</v>
      </c>
      <c r="BL6" s="845">
        <v>96.95</v>
      </c>
      <c r="BM6" s="845">
        <v>96.969791666666652</v>
      </c>
      <c r="BN6" s="845">
        <v>96.967559523809513</v>
      </c>
      <c r="BO6" s="845">
        <v>96.967559523809513</v>
      </c>
      <c r="BP6" s="845">
        <v>96.965327380952374</v>
      </c>
      <c r="BQ6" s="845">
        <v>96.976190476190482</v>
      </c>
      <c r="BR6" s="845">
        <v>96.995238095238108</v>
      </c>
      <c r="BS6" s="845">
        <v>97.036195958646616</v>
      </c>
      <c r="BT6" s="845">
        <v>97.09786184210526</v>
      </c>
      <c r="BU6" s="845">
        <v>97.45</v>
      </c>
      <c r="BV6" s="845">
        <v>97.508333333333326</v>
      </c>
      <c r="BW6" s="845">
        <v>97.5561403508772</v>
      </c>
      <c r="BX6" s="845">
        <v>97.603947368421046</v>
      </c>
      <c r="BY6" s="845">
        <v>97.651754385964921</v>
      </c>
      <c r="BZ6" s="845">
        <v>97.699561403508767</v>
      </c>
      <c r="CA6" s="845">
        <v>97.747368421052641</v>
      </c>
      <c r="CB6" s="845">
        <v>97.805592105263159</v>
      </c>
      <c r="CC6" s="845">
        <v>97.863815789473691</v>
      </c>
      <c r="CD6" s="845">
        <v>97.922039473684208</v>
      </c>
      <c r="CE6" s="845">
        <v>97.98026315789474</v>
      </c>
      <c r="CF6" s="845">
        <v>98.038486842105272</v>
      </c>
      <c r="CG6" s="845">
        <v>98.096710526315789</v>
      </c>
      <c r="CH6" s="845">
        <v>98.154934210526321</v>
      </c>
      <c r="CI6" s="845">
        <v>98.215625000000003</v>
      </c>
      <c r="CJ6" s="845">
        <v>98.277734374999994</v>
      </c>
      <c r="CK6" s="845">
        <v>98.33984375</v>
      </c>
      <c r="CL6" s="845">
        <v>98.401953124999991</v>
      </c>
      <c r="CM6" s="845">
        <v>98.454606584101569</v>
      </c>
      <c r="CN6" s="845">
        <v>98.436827150099717</v>
      </c>
      <c r="CO6" s="845">
        <v>98.436827150099717</v>
      </c>
      <c r="CP6" s="845">
        <v>98.386694791609074</v>
      </c>
      <c r="CQ6" s="845">
        <v>98.386694791609074</v>
      </c>
      <c r="CR6" s="845">
        <v>98.357186734068634</v>
      </c>
      <c r="CS6" s="845">
        <v>98.3957843137255</v>
      </c>
      <c r="CT6" s="845">
        <v>98.456806722689066</v>
      </c>
      <c r="CU6" s="845">
        <v>98.471945465686275</v>
      </c>
      <c r="CV6" s="845">
        <v>98.471945465686275</v>
      </c>
      <c r="CW6" s="845">
        <v>98.428471638655452</v>
      </c>
      <c r="CX6" s="845">
        <v>98.428471638655452</v>
      </c>
      <c r="CY6" s="845">
        <v>98.395279674369746</v>
      </c>
      <c r="CZ6" s="845">
        <v>98.395279674369746</v>
      </c>
      <c r="DA6" s="845">
        <v>98.412535014005599</v>
      </c>
      <c r="DB6" s="845">
        <v>98.436414565826325</v>
      </c>
      <c r="DC6" s="845">
        <v>98.460294117647052</v>
      </c>
      <c r="DD6" s="845">
        <v>98.484173669467779</v>
      </c>
      <c r="DE6" s="845">
        <v>98.506954320189607</v>
      </c>
      <c r="DF6" s="845">
        <v>98.529734970911448</v>
      </c>
      <c r="DG6" s="845">
        <v>98.552515621633262</v>
      </c>
      <c r="DH6" s="845">
        <v>98.575296272355089</v>
      </c>
      <c r="DI6" s="845">
        <v>98.598076923076917</v>
      </c>
      <c r="DJ6" s="845"/>
      <c r="DK6" s="845"/>
      <c r="DL6" s="845"/>
      <c r="DM6" s="845"/>
      <c r="DN6" s="845"/>
      <c r="DO6" s="845"/>
      <c r="DP6" s="845"/>
      <c r="DQ6" s="845"/>
      <c r="DR6" s="845"/>
      <c r="DS6" s="845"/>
      <c r="DT6" s="845"/>
      <c r="DU6" s="845"/>
      <c r="DV6" s="845"/>
      <c r="DW6" s="845"/>
      <c r="DX6" s="845"/>
      <c r="DY6" s="845"/>
      <c r="DZ6" s="845"/>
      <c r="EA6" s="845"/>
      <c r="EB6" s="845"/>
      <c r="EC6" s="845"/>
      <c r="ED6" s="846"/>
    </row>
    <row r="7" spans="1:134" ht="12.75" customHeight="1" thickBot="1" x14ac:dyDescent="0.3">
      <c r="A7" s="5">
        <v>78498</v>
      </c>
      <c r="B7" s="6">
        <v>75387</v>
      </c>
      <c r="C7" s="6">
        <v>71419</v>
      </c>
      <c r="D7" s="774">
        <v>0.83</v>
      </c>
      <c r="E7" s="782">
        <v>0</v>
      </c>
      <c r="F7" s="940"/>
      <c r="G7" s="704"/>
      <c r="H7" s="704"/>
      <c r="I7"/>
      <c r="J7" s="755">
        <v>7.2714547270456044E-3</v>
      </c>
      <c r="K7" s="756">
        <v>6.2724529221777911E-3</v>
      </c>
      <c r="L7" s="757">
        <v>4.9076024195021072E-3</v>
      </c>
      <c r="M7" s="758">
        <v>-1.1137683718836499E-4</v>
      </c>
      <c r="N7" s="759">
        <v>-1.1137683718836499E-4</v>
      </c>
      <c r="O7" s="967">
        <v>-1.1137683718836499E-4</v>
      </c>
      <c r="Q7" s="125">
        <v>100</v>
      </c>
      <c r="R7" s="816">
        <f t="shared" si="0"/>
        <v>0.31717278086536599</v>
      </c>
      <c r="Y7" s="125">
        <v>50</v>
      </c>
      <c r="Z7" s="816">
        <f t="shared" si="1"/>
        <v>1.0918056278898232</v>
      </c>
      <c r="AG7" s="851">
        <v>95</v>
      </c>
      <c r="AH7" s="844"/>
      <c r="AI7" s="845"/>
      <c r="AJ7" s="845"/>
      <c r="AK7" s="845"/>
      <c r="AL7" s="845">
        <v>92.260848214285716</v>
      </c>
      <c r="AM7" s="845">
        <v>92.260848214285716</v>
      </c>
      <c r="AN7" s="845">
        <v>92.257589285714289</v>
      </c>
      <c r="AO7" s="845">
        <v>92.79052734375</v>
      </c>
      <c r="AP7" s="845">
        <v>92.79052734375</v>
      </c>
      <c r="AQ7" s="845">
        <v>92.784570312499994</v>
      </c>
      <c r="AR7" s="845">
        <v>92.95</v>
      </c>
      <c r="AS7" s="845">
        <v>93.6</v>
      </c>
      <c r="AT7" s="845">
        <v>93.75</v>
      </c>
      <c r="AU7" s="845">
        <v>93.75</v>
      </c>
      <c r="AV7" s="845">
        <v>94.4</v>
      </c>
      <c r="AW7" s="845">
        <v>94.6</v>
      </c>
      <c r="AX7" s="845">
        <v>94.899999999999991</v>
      </c>
      <c r="AY7" s="845">
        <v>94.933333333333337</v>
      </c>
      <c r="AZ7" s="845">
        <v>95.38</v>
      </c>
      <c r="BA7" s="845">
        <v>95.38</v>
      </c>
      <c r="BB7" s="845">
        <v>95.606666666666655</v>
      </c>
      <c r="BC7" s="845">
        <v>95.853333333333325</v>
      </c>
      <c r="BD7" s="845">
        <v>95.987499999999997</v>
      </c>
      <c r="BE7" s="845">
        <v>95.981249999999989</v>
      </c>
      <c r="BF7" s="845">
        <v>95.981249999999989</v>
      </c>
      <c r="BG7" s="845">
        <v>96.683735380116957</v>
      </c>
      <c r="BH7" s="845">
        <v>96.683735380116957</v>
      </c>
      <c r="BI7" s="845">
        <v>96.57250365497076</v>
      </c>
      <c r="BJ7" s="845">
        <v>96.57250365497076</v>
      </c>
      <c r="BK7" s="845">
        <v>96.503768274853797</v>
      </c>
      <c r="BL7" s="845">
        <v>96.503768274853797</v>
      </c>
      <c r="BM7" s="845">
        <v>96.518421052631581</v>
      </c>
      <c r="BN7" s="845">
        <v>96.563157894736833</v>
      </c>
      <c r="BO7" s="845">
        <v>96.65789473684211</v>
      </c>
      <c r="BP7" s="845">
        <v>96.756537828947373</v>
      </c>
      <c r="BQ7" s="845">
        <v>96.864946546052636</v>
      </c>
      <c r="BR7" s="845">
        <v>96.974342105263162</v>
      </c>
      <c r="BS7" s="845">
        <v>97.046828007518798</v>
      </c>
      <c r="BT7" s="845">
        <v>97.113267543859649</v>
      </c>
      <c r="BU7" s="845">
        <v>97.226315789473688</v>
      </c>
      <c r="BV7" s="845">
        <v>97.321052631578937</v>
      </c>
      <c r="BW7" s="845">
        <v>97.405263157894737</v>
      </c>
      <c r="BX7" s="845">
        <v>97.489473684210537</v>
      </c>
      <c r="BY7" s="845">
        <v>97.573684210526324</v>
      </c>
      <c r="BZ7" s="845">
        <v>97.582894736842107</v>
      </c>
      <c r="CA7" s="845">
        <v>97.622368421052641</v>
      </c>
      <c r="CB7" s="845">
        <v>97.673684210526318</v>
      </c>
      <c r="CC7" s="845">
        <v>97.752631578947373</v>
      </c>
      <c r="CD7" s="845">
        <v>97.831578947368428</v>
      </c>
      <c r="CE7" s="845">
        <v>97.910526315789483</v>
      </c>
      <c r="CF7" s="845">
        <v>97.989473684210523</v>
      </c>
      <c r="CG7" s="845">
        <v>98.068421052631578</v>
      </c>
      <c r="CH7" s="845">
        <v>98.147368421052633</v>
      </c>
      <c r="CI7" s="845">
        <v>98.215625000000003</v>
      </c>
      <c r="CJ7" s="845">
        <v>98.277734374999994</v>
      </c>
      <c r="CK7" s="845">
        <v>98.33984375</v>
      </c>
      <c r="CL7" s="845">
        <v>98.401953124999991</v>
      </c>
      <c r="CM7" s="845">
        <v>98.454606584101569</v>
      </c>
      <c r="CN7" s="845">
        <v>98.400076233207102</v>
      </c>
      <c r="CO7" s="845">
        <v>98.400076233207102</v>
      </c>
      <c r="CP7" s="845">
        <v>98.273063719731311</v>
      </c>
      <c r="CQ7" s="845">
        <v>98.273063719731311</v>
      </c>
      <c r="CR7" s="845">
        <v>98.18631089154411</v>
      </c>
      <c r="CS7" s="845">
        <v>98.18631089154411</v>
      </c>
      <c r="CT7" s="845">
        <v>98.233613445378154</v>
      </c>
      <c r="CU7" s="845">
        <v>98.273161764705875</v>
      </c>
      <c r="CV7" s="845">
        <v>98.273161764705875</v>
      </c>
      <c r="CW7" s="845">
        <v>98.247776610644252</v>
      </c>
      <c r="CX7" s="845">
        <v>98.247776610644252</v>
      </c>
      <c r="CY7" s="845">
        <v>98.23193277310925</v>
      </c>
      <c r="CZ7" s="845">
        <v>98.243977591036412</v>
      </c>
      <c r="DA7" s="845">
        <v>98.2750700280112</v>
      </c>
      <c r="DB7" s="845">
        <v>98.306162464985988</v>
      </c>
      <c r="DC7" s="845">
        <v>98.337254901960776</v>
      </c>
      <c r="DD7" s="845">
        <v>98.368347338935578</v>
      </c>
      <c r="DE7" s="845">
        <v>98.398524024994614</v>
      </c>
      <c r="DF7" s="845">
        <v>98.428700711053651</v>
      </c>
      <c r="DG7" s="845">
        <v>98.458877397112687</v>
      </c>
      <c r="DH7" s="845">
        <v>98.489054083171723</v>
      </c>
      <c r="DI7" s="845">
        <v>98.519230769230774</v>
      </c>
      <c r="DJ7" s="845"/>
      <c r="DK7" s="845"/>
      <c r="DL7" s="845"/>
      <c r="DM7" s="845"/>
      <c r="DN7" s="845"/>
      <c r="DO7" s="845"/>
      <c r="DP7" s="845"/>
      <c r="DQ7" s="845"/>
      <c r="DR7" s="845"/>
      <c r="DS7" s="845"/>
      <c r="DT7" s="845"/>
      <c r="DU7" s="845"/>
      <c r="DV7" s="845"/>
      <c r="DW7" s="845"/>
      <c r="DX7" s="845"/>
      <c r="DY7" s="845"/>
      <c r="DZ7" s="845"/>
      <c r="EA7" s="845"/>
      <c r="EB7" s="845"/>
      <c r="EC7" s="845"/>
      <c r="ED7" s="846"/>
    </row>
    <row r="8" spans="1:134" ht="12.75" customHeight="1" x14ac:dyDescent="0.25">
      <c r="A8" s="5">
        <v>79567</v>
      </c>
      <c r="B8" s="6">
        <v>75192</v>
      </c>
      <c r="C8" s="6">
        <v>71611</v>
      </c>
      <c r="D8" s="774">
        <v>0.83</v>
      </c>
      <c r="E8" s="783">
        <v>0</v>
      </c>
      <c r="F8" s="940"/>
      <c r="G8" s="723" t="s">
        <v>680</v>
      </c>
      <c r="H8" s="724"/>
      <c r="I8"/>
      <c r="J8" s="755">
        <v>1.0092436314179606E-2</v>
      </c>
      <c r="K8" s="756">
        <v>9.4399133223912485E-3</v>
      </c>
      <c r="L8" s="757">
        <v>8.7470417846089062E-3</v>
      </c>
      <c r="M8" s="758">
        <v>-1.1137683718836499E-4</v>
      </c>
      <c r="N8" s="759">
        <v>-1.1137683718836499E-4</v>
      </c>
      <c r="O8" s="760">
        <v>-1.1137683718836499E-4</v>
      </c>
      <c r="Q8" s="127">
        <v>0</v>
      </c>
      <c r="R8" s="817">
        <f t="shared" ref="R8:R13" si="2">$G$17*Q8</f>
        <v>0</v>
      </c>
      <c r="Y8" s="127">
        <v>1</v>
      </c>
      <c r="Z8" s="817">
        <f t="shared" ref="Z8:Z13" si="3">Y8^J$18</f>
        <v>1</v>
      </c>
      <c r="AG8" s="851">
        <v>94</v>
      </c>
      <c r="AH8" s="844"/>
      <c r="AI8" s="845"/>
      <c r="AJ8" s="845">
        <v>91.278571428571439</v>
      </c>
      <c r="AK8" s="845">
        <v>91.195758928571436</v>
      </c>
      <c r="AL8" s="845">
        <v>91.195758928571436</v>
      </c>
      <c r="AM8" s="845">
        <v>91.077455357142867</v>
      </c>
      <c r="AN8" s="845">
        <v>91.077455357142867</v>
      </c>
      <c r="AO8" s="845">
        <v>91.639999999999986</v>
      </c>
      <c r="AP8" s="845">
        <v>91.639999999999986</v>
      </c>
      <c r="AQ8" s="845">
        <v>92.2</v>
      </c>
      <c r="AR8" s="845">
        <v>92.844444444444449</v>
      </c>
      <c r="AS8" s="845">
        <v>92.844444444444449</v>
      </c>
      <c r="AT8" s="845">
        <v>93.089583333333337</v>
      </c>
      <c r="AU8" s="845">
        <v>93.089583333333337</v>
      </c>
      <c r="AV8" s="845">
        <v>93.6</v>
      </c>
      <c r="AW8" s="845">
        <v>93.6</v>
      </c>
      <c r="AX8" s="845">
        <v>93.8</v>
      </c>
      <c r="AY8" s="845">
        <v>94.5</v>
      </c>
      <c r="AZ8" s="845">
        <v>94.75</v>
      </c>
      <c r="BA8" s="845">
        <v>94.809722222222234</v>
      </c>
      <c r="BB8" s="845">
        <v>94.809722222222234</v>
      </c>
      <c r="BC8" s="845">
        <v>95.055555555555557</v>
      </c>
      <c r="BD8" s="845">
        <v>95.316666666666663</v>
      </c>
      <c r="BE8" s="845">
        <v>95.577777777777783</v>
      </c>
      <c r="BF8" s="845">
        <v>95.838888888888889</v>
      </c>
      <c r="BG8" s="845">
        <v>96.1</v>
      </c>
      <c r="BH8" s="845">
        <v>96.189473684210526</v>
      </c>
      <c r="BI8" s="845">
        <v>96.30058479532164</v>
      </c>
      <c r="BJ8" s="845">
        <v>96.474198232323232</v>
      </c>
      <c r="BK8" s="845">
        <v>96.48369750132909</v>
      </c>
      <c r="BL8" s="845">
        <v>96.498750000000001</v>
      </c>
      <c r="BM8" s="845">
        <v>96.518421052631581</v>
      </c>
      <c r="BN8" s="845">
        <v>96.563157894736833</v>
      </c>
      <c r="BO8" s="845">
        <v>96.65789473684211</v>
      </c>
      <c r="BP8" s="845">
        <v>96.756537828947373</v>
      </c>
      <c r="BQ8" s="845">
        <v>96.864946546052636</v>
      </c>
      <c r="BR8" s="845">
        <v>96.974342105263162</v>
      </c>
      <c r="BS8" s="845">
        <v>97.046828007518798</v>
      </c>
      <c r="BT8" s="845">
        <v>97.113267543859649</v>
      </c>
      <c r="BU8" s="845">
        <v>97.226315789473688</v>
      </c>
      <c r="BV8" s="845">
        <v>97.321052631578937</v>
      </c>
      <c r="BW8" s="845">
        <v>97.405263157894737</v>
      </c>
      <c r="BX8" s="845">
        <v>97.489473684210537</v>
      </c>
      <c r="BY8" s="845">
        <v>97.573684210526324</v>
      </c>
      <c r="BZ8" s="845">
        <v>97.580908400809719</v>
      </c>
      <c r="CA8" s="845">
        <v>97.580908400809719</v>
      </c>
      <c r="CB8" s="845">
        <v>97.579415485829955</v>
      </c>
      <c r="CC8" s="845">
        <v>97.579415485829955</v>
      </c>
      <c r="CD8" s="845">
        <v>97.615384615384613</v>
      </c>
      <c r="CE8" s="845">
        <v>97.65384615384616</v>
      </c>
      <c r="CF8" s="845">
        <v>97.692307692307693</v>
      </c>
      <c r="CG8" s="845">
        <v>97.730769230769226</v>
      </c>
      <c r="CH8" s="845">
        <v>97.769230769230774</v>
      </c>
      <c r="CI8" s="845">
        <v>97.807692307692307</v>
      </c>
      <c r="CJ8" s="845">
        <v>97.84615384615384</v>
      </c>
      <c r="CK8" s="845">
        <v>97.884615384615387</v>
      </c>
      <c r="CL8" s="845">
        <v>97.92307692307692</v>
      </c>
      <c r="CM8" s="845">
        <v>97.961538461538467</v>
      </c>
      <c r="CN8" s="845">
        <v>98</v>
      </c>
      <c r="CO8" s="845">
        <v>98.164333639705887</v>
      </c>
      <c r="CP8" s="845">
        <v>98.096258206407569</v>
      </c>
      <c r="CQ8" s="845">
        <v>98.096258206407569</v>
      </c>
      <c r="CR8" s="845">
        <v>97.992869616596636</v>
      </c>
      <c r="CS8" s="845">
        <v>97.992869616596636</v>
      </c>
      <c r="CT8" s="845">
        <v>98.010420168067228</v>
      </c>
      <c r="CU8" s="845">
        <v>98.072996323529409</v>
      </c>
      <c r="CV8" s="845">
        <v>98.072996323529409</v>
      </c>
      <c r="CW8" s="845">
        <v>98.067848389355731</v>
      </c>
      <c r="CX8" s="845">
        <v>98.067848389355731</v>
      </c>
      <c r="CY8" s="845">
        <v>98.063191526610638</v>
      </c>
      <c r="CZ8" s="845">
        <v>98.099299719887952</v>
      </c>
      <c r="DA8" s="845">
        <v>98.137605042016801</v>
      </c>
      <c r="DB8" s="845">
        <v>98.175910364145651</v>
      </c>
      <c r="DC8" s="845">
        <v>98.2142156862745</v>
      </c>
      <c r="DD8" s="845">
        <v>98.252521008403363</v>
      </c>
      <c r="DE8" s="845">
        <v>98.290093729799608</v>
      </c>
      <c r="DF8" s="845">
        <v>98.327666451195867</v>
      </c>
      <c r="DG8" s="845">
        <v>98.365239172592112</v>
      </c>
      <c r="DH8" s="845">
        <v>98.402811893988357</v>
      </c>
      <c r="DI8" s="845">
        <v>98.440384615384616</v>
      </c>
      <c r="DJ8" s="845"/>
      <c r="DK8" s="845"/>
      <c r="DL8" s="845"/>
      <c r="DM8" s="845"/>
      <c r="DN8" s="845"/>
      <c r="DO8" s="845"/>
      <c r="DP8" s="845"/>
      <c r="DQ8" s="845"/>
      <c r="DR8" s="845"/>
      <c r="DS8" s="845"/>
      <c r="DT8" s="845"/>
      <c r="DU8" s="845"/>
      <c r="DV8" s="845"/>
      <c r="DW8" s="845"/>
      <c r="DX8" s="845"/>
      <c r="DY8" s="845"/>
      <c r="DZ8" s="845"/>
      <c r="EA8" s="845"/>
      <c r="EB8" s="845"/>
      <c r="EC8" s="845"/>
      <c r="ED8" s="846"/>
    </row>
    <row r="9" spans="1:134" ht="12.75" customHeight="1" thickBot="1" x14ac:dyDescent="0.3">
      <c r="A9" s="5">
        <v>79336</v>
      </c>
      <c r="B9" s="6">
        <v>75369</v>
      </c>
      <c r="C9" s="6">
        <v>71403</v>
      </c>
      <c r="D9" s="774">
        <v>0.82</v>
      </c>
      <c r="E9" s="783">
        <v>0</v>
      </c>
      <c r="F9" s="940"/>
      <c r="G9" s="720">
        <v>0.22307287198024722</v>
      </c>
      <c r="H9" s="798">
        <v>3.7206201577302178E-3</v>
      </c>
      <c r="I9"/>
      <c r="J9" s="761">
        <v>7.925430460188591E-3</v>
      </c>
      <c r="K9" s="762">
        <v>7.3949377421892257E-3</v>
      </c>
      <c r="L9" s="763">
        <v>5.8233137200377552E-3</v>
      </c>
      <c r="M9" s="764">
        <v>-1.1137683718836499E-4</v>
      </c>
      <c r="N9" s="765">
        <v>-1.1137683718836499E-4</v>
      </c>
      <c r="O9" s="766">
        <v>-1.1137683718836499E-4</v>
      </c>
      <c r="Q9" s="123">
        <v>20</v>
      </c>
      <c r="R9" s="815">
        <f t="shared" si="2"/>
        <v>1.3881691306910444E-3</v>
      </c>
      <c r="Y9" s="123">
        <v>10</v>
      </c>
      <c r="Z9" s="815">
        <f t="shared" si="3"/>
        <v>1.0989039810289554</v>
      </c>
      <c r="AG9" s="851">
        <v>93</v>
      </c>
      <c r="AH9" s="844"/>
      <c r="AI9" s="845"/>
      <c r="AJ9" s="845">
        <v>90.3</v>
      </c>
      <c r="AK9" s="845">
        <v>90.335714285714289</v>
      </c>
      <c r="AL9" s="845">
        <v>90.335714285714289</v>
      </c>
      <c r="AM9" s="845">
        <v>90.242857142857133</v>
      </c>
      <c r="AN9" s="845">
        <v>90.242857142857133</v>
      </c>
      <c r="AO9" s="845">
        <v>90.25</v>
      </c>
      <c r="AP9" s="845">
        <v>90.705128205128204</v>
      </c>
      <c r="AQ9" s="845">
        <v>90.89</v>
      </c>
      <c r="AR9" s="845">
        <v>91.35</v>
      </c>
      <c r="AS9" s="845">
        <v>91.75</v>
      </c>
      <c r="AT9" s="845">
        <v>91.992857142857147</v>
      </c>
      <c r="AU9" s="845">
        <v>92.55</v>
      </c>
      <c r="AV9" s="845">
        <v>92.575000000000003</v>
      </c>
      <c r="AW9" s="845">
        <v>93.1875</v>
      </c>
      <c r="AX9" s="845">
        <v>93.1875</v>
      </c>
      <c r="AY9" s="845">
        <v>93.616666666666674</v>
      </c>
      <c r="AZ9" s="845">
        <v>93.75</v>
      </c>
      <c r="BA9" s="845">
        <v>94.762500000000003</v>
      </c>
      <c r="BB9" s="845">
        <v>94.756249999999994</v>
      </c>
      <c r="BC9" s="845">
        <v>94.756249999999994</v>
      </c>
      <c r="BD9" s="845">
        <v>95.183333333333337</v>
      </c>
      <c r="BE9" s="845">
        <v>95.183333333333337</v>
      </c>
      <c r="BF9" s="845">
        <v>95.305555555555543</v>
      </c>
      <c r="BG9" s="845">
        <v>95.644444444444431</v>
      </c>
      <c r="BH9" s="845">
        <v>95.98333333333332</v>
      </c>
      <c r="BI9" s="845">
        <v>96.30058479532164</v>
      </c>
      <c r="BJ9" s="845">
        <v>96.461502857522589</v>
      </c>
      <c r="BK9" s="845">
        <v>96.461502857522589</v>
      </c>
      <c r="BL9" s="845">
        <v>96.431362473418403</v>
      </c>
      <c r="BM9" s="845">
        <v>96.431362473418403</v>
      </c>
      <c r="BN9" s="845">
        <v>96.488157894736844</v>
      </c>
      <c r="BO9" s="845">
        <v>96.62664473684211</v>
      </c>
      <c r="BP9" s="845">
        <v>96.757319078947376</v>
      </c>
      <c r="BQ9" s="845">
        <v>96.868462171052627</v>
      </c>
      <c r="BR9" s="845">
        <v>96.988815789473676</v>
      </c>
      <c r="BS9" s="845">
        <v>97.05746005639098</v>
      </c>
      <c r="BT9" s="845">
        <v>97.128673245614038</v>
      </c>
      <c r="BU9" s="845">
        <v>97.226315789473688</v>
      </c>
      <c r="BV9" s="845">
        <v>97.296052631578945</v>
      </c>
      <c r="BW9" s="845">
        <v>97.341578947368419</v>
      </c>
      <c r="BX9" s="845">
        <v>97.341578947368419</v>
      </c>
      <c r="BY9" s="845">
        <v>97.40567223346828</v>
      </c>
      <c r="BZ9" s="845">
        <v>97.403164642375174</v>
      </c>
      <c r="CA9" s="845">
        <v>97.403164642375174</v>
      </c>
      <c r="CB9" s="845">
        <v>97.400657051282053</v>
      </c>
      <c r="CC9" s="845">
        <v>97.437948717948714</v>
      </c>
      <c r="CD9" s="845">
        <v>97.493589743589737</v>
      </c>
      <c r="CE9" s="845">
        <v>97.549230769230775</v>
      </c>
      <c r="CF9" s="845">
        <v>97.604871794871798</v>
      </c>
      <c r="CG9" s="845">
        <v>97.660512820512821</v>
      </c>
      <c r="CH9" s="845">
        <v>97.716153846153844</v>
      </c>
      <c r="CI9" s="845">
        <v>97.771794871794867</v>
      </c>
      <c r="CJ9" s="845">
        <v>97.816483516483515</v>
      </c>
      <c r="CK9" s="845">
        <v>97.861172161172163</v>
      </c>
      <c r="CL9" s="845">
        <v>97.905860805860797</v>
      </c>
      <c r="CM9" s="845">
        <v>97.95054945054946</v>
      </c>
      <c r="CN9" s="845">
        <v>97.995238095238093</v>
      </c>
      <c r="CO9" s="845">
        <v>98.022377888655456</v>
      </c>
      <c r="CP9" s="845">
        <v>97.935200674019597</v>
      </c>
      <c r="CQ9" s="845">
        <v>97.935200674019597</v>
      </c>
      <c r="CR9" s="845">
        <v>97.800663953081227</v>
      </c>
      <c r="CS9" s="845">
        <v>97.800663953081227</v>
      </c>
      <c r="CT9" s="845">
        <v>97.787226890756301</v>
      </c>
      <c r="CU9" s="845">
        <v>97.851316526610645</v>
      </c>
      <c r="CV9" s="845">
        <v>97.886257002801131</v>
      </c>
      <c r="CW9" s="845">
        <v>97.88463760504203</v>
      </c>
      <c r="CX9" s="845">
        <v>97.88463760504203</v>
      </c>
      <c r="CY9" s="845">
        <v>97.909103641456582</v>
      </c>
      <c r="CZ9" s="845">
        <v>97.954621848739492</v>
      </c>
      <c r="DA9" s="845">
        <v>98.000140056022417</v>
      </c>
      <c r="DB9" s="845">
        <v>98.045658263305327</v>
      </c>
      <c r="DC9" s="845">
        <v>98.091176470588238</v>
      </c>
      <c r="DD9" s="845">
        <v>98.136694677871148</v>
      </c>
      <c r="DE9" s="845">
        <v>98.181663434604616</v>
      </c>
      <c r="DF9" s="845">
        <v>98.226632191338069</v>
      </c>
      <c r="DG9" s="845">
        <v>98.271600948071523</v>
      </c>
      <c r="DH9" s="845">
        <v>98.316569704805005</v>
      </c>
      <c r="DI9" s="845">
        <v>98.361538461538458</v>
      </c>
      <c r="DJ9" s="845"/>
      <c r="DK9" s="845"/>
      <c r="DL9" s="845"/>
      <c r="DM9" s="845"/>
      <c r="DN9" s="845"/>
      <c r="DO9" s="845"/>
      <c r="DP9" s="845"/>
      <c r="DQ9" s="845"/>
      <c r="DR9" s="845"/>
      <c r="DS9" s="845"/>
      <c r="DT9" s="845"/>
      <c r="DU9" s="845"/>
      <c r="DV9" s="845"/>
      <c r="DW9" s="845"/>
      <c r="DX9" s="845"/>
      <c r="DY9" s="845"/>
      <c r="DZ9" s="845"/>
      <c r="EA9" s="845"/>
      <c r="EB9" s="845"/>
      <c r="EC9" s="845"/>
      <c r="ED9" s="846"/>
    </row>
    <row r="10" spans="1:134" ht="12.75" customHeight="1" thickBot="1" x14ac:dyDescent="0.3">
      <c r="A10" s="5">
        <v>79345</v>
      </c>
      <c r="B10" s="6">
        <v>75378</v>
      </c>
      <c r="C10" s="6">
        <v>71410</v>
      </c>
      <c r="D10" s="774">
        <v>0.83</v>
      </c>
      <c r="E10" s="783">
        <v>0.02</v>
      </c>
      <c r="F10" s="940"/>
      <c r="G10" s="726">
        <v>0.22307287198024722</v>
      </c>
      <c r="H10" s="709">
        <v>3.7206201577302178E-3</v>
      </c>
      <c r="I10"/>
      <c r="J10"/>
      <c r="K10"/>
      <c r="L10"/>
      <c r="M10"/>
      <c r="N10"/>
      <c r="O10"/>
      <c r="Q10" s="123">
        <v>40</v>
      </c>
      <c r="R10" s="815">
        <f t="shared" si="2"/>
        <v>2.7763382613820889E-3</v>
      </c>
      <c r="Y10" s="123">
        <v>20</v>
      </c>
      <c r="Z10" s="815">
        <f t="shared" si="3"/>
        <v>1.1305502206633384</v>
      </c>
      <c r="AG10" s="851">
        <v>92</v>
      </c>
      <c r="AH10" s="844"/>
      <c r="AI10" s="845"/>
      <c r="AJ10" s="845"/>
      <c r="AK10" s="845"/>
      <c r="AL10" s="845"/>
      <c r="AM10" s="845"/>
      <c r="AN10" s="845">
        <v>88.571428571428569</v>
      </c>
      <c r="AO10" s="845">
        <v>88.571428571428569</v>
      </c>
      <c r="AP10" s="845">
        <v>89.188888888888897</v>
      </c>
      <c r="AQ10" s="845">
        <v>89.633333333333326</v>
      </c>
      <c r="AR10" s="845">
        <v>90.272727272727266</v>
      </c>
      <c r="AS10" s="845">
        <v>90.47999999999999</v>
      </c>
      <c r="AT10" s="845">
        <v>90.875</v>
      </c>
      <c r="AU10" s="845">
        <v>91.5</v>
      </c>
      <c r="AV10" s="845">
        <v>91.666666666666671</v>
      </c>
      <c r="AW10" s="845">
        <v>91.85</v>
      </c>
      <c r="AX10" s="845">
        <v>92.6</v>
      </c>
      <c r="AY10" s="845">
        <v>93.074999999999989</v>
      </c>
      <c r="AZ10" s="845">
        <v>93.55</v>
      </c>
      <c r="BA10" s="845">
        <v>93.674999999999997</v>
      </c>
      <c r="BB10" s="845">
        <v>93.8</v>
      </c>
      <c r="BC10" s="845">
        <v>94.3</v>
      </c>
      <c r="BD10" s="845">
        <v>94.699999999999989</v>
      </c>
      <c r="BE10" s="845">
        <v>95.1</v>
      </c>
      <c r="BF10" s="845">
        <v>95.199999999999989</v>
      </c>
      <c r="BG10" s="845">
        <v>95.3</v>
      </c>
      <c r="BH10" s="845">
        <v>95.399999999999991</v>
      </c>
      <c r="BI10" s="845">
        <v>95.5</v>
      </c>
      <c r="BJ10" s="845">
        <v>95.6</v>
      </c>
      <c r="BK10" s="845">
        <v>95.7</v>
      </c>
      <c r="BL10" s="845">
        <v>95.8</v>
      </c>
      <c r="BM10" s="845">
        <v>96.045454545454547</v>
      </c>
      <c r="BN10" s="845">
        <v>96.25</v>
      </c>
      <c r="BO10" s="845">
        <v>96.4375</v>
      </c>
      <c r="BP10" s="845">
        <v>96.625</v>
      </c>
      <c r="BQ10" s="845">
        <v>96.8125</v>
      </c>
      <c r="BR10" s="845">
        <v>96.988815789473676</v>
      </c>
      <c r="BS10" s="845">
        <v>97.025000000000006</v>
      </c>
      <c r="BT10" s="845">
        <v>97.05</v>
      </c>
      <c r="BU10" s="845">
        <v>97.1</v>
      </c>
      <c r="BV10" s="845">
        <v>97.122609649122808</v>
      </c>
      <c r="BW10" s="845">
        <v>97.116798245614035</v>
      </c>
      <c r="BX10" s="845">
        <v>97.116798245614035</v>
      </c>
      <c r="BY10" s="845">
        <v>97.110986842105262</v>
      </c>
      <c r="BZ10" s="845">
        <v>97.173333333333332</v>
      </c>
      <c r="CA10" s="845">
        <v>97.173333333333332</v>
      </c>
      <c r="CB10" s="845">
        <v>97.226153846153849</v>
      </c>
      <c r="CC10" s="845">
        <v>97.298974358974363</v>
      </c>
      <c r="CD10" s="845">
        <v>97.371794871794876</v>
      </c>
      <c r="CE10" s="845">
        <v>97.444615384615389</v>
      </c>
      <c r="CF10" s="845">
        <v>97.517435897435902</v>
      </c>
      <c r="CG10" s="845">
        <v>97.590256410256401</v>
      </c>
      <c r="CH10" s="845">
        <v>97.663076923076929</v>
      </c>
      <c r="CI10" s="845">
        <v>97.735897435897442</v>
      </c>
      <c r="CJ10" s="845">
        <v>97.786813186813177</v>
      </c>
      <c r="CK10" s="845">
        <v>97.83772893772894</v>
      </c>
      <c r="CL10" s="845">
        <v>97.888644688644689</v>
      </c>
      <c r="CM10" s="845">
        <v>97.939560439560438</v>
      </c>
      <c r="CN10" s="845">
        <v>97.933410692401964</v>
      </c>
      <c r="CO10" s="845">
        <v>97.933410692401964</v>
      </c>
      <c r="CP10" s="845">
        <v>97.776181613270296</v>
      </c>
      <c r="CQ10" s="845">
        <v>97.776181613270296</v>
      </c>
      <c r="CR10" s="845">
        <v>97.608458289565817</v>
      </c>
      <c r="CS10" s="845">
        <v>97.608458289565817</v>
      </c>
      <c r="CT10" s="845">
        <v>97.564033613445375</v>
      </c>
      <c r="CU10" s="845">
        <v>97.629145658263312</v>
      </c>
      <c r="CV10" s="845">
        <v>97.694257703081234</v>
      </c>
      <c r="CW10" s="845">
        <v>97.699369747899155</v>
      </c>
      <c r="CX10" s="845">
        <v>97.70448179271709</v>
      </c>
      <c r="CY10" s="845">
        <v>97.757212885154061</v>
      </c>
      <c r="CZ10" s="845">
        <v>97.809943977591033</v>
      </c>
      <c r="DA10" s="845">
        <v>97.862675070028018</v>
      </c>
      <c r="DB10" s="845">
        <v>97.91540616246499</v>
      </c>
      <c r="DC10" s="845">
        <v>97.968137254901961</v>
      </c>
      <c r="DD10" s="845">
        <v>98.020868347338933</v>
      </c>
      <c r="DE10" s="845">
        <v>98.073233139409609</v>
      </c>
      <c r="DF10" s="845">
        <v>98.125597931480286</v>
      </c>
      <c r="DG10" s="845">
        <v>98.177962723550948</v>
      </c>
      <c r="DH10" s="845">
        <v>98.230327515621639</v>
      </c>
      <c r="DI10" s="845">
        <v>98.282692307692301</v>
      </c>
      <c r="DJ10" s="845"/>
      <c r="DK10" s="845"/>
      <c r="DL10" s="845"/>
      <c r="DM10" s="845"/>
      <c r="DN10" s="845"/>
      <c r="DO10" s="845"/>
      <c r="DP10" s="845"/>
      <c r="DQ10" s="845"/>
      <c r="DR10" s="845"/>
      <c r="DS10" s="845"/>
      <c r="DT10" s="845"/>
      <c r="DU10" s="845"/>
      <c r="DV10" s="845"/>
      <c r="DW10" s="845"/>
      <c r="DX10" s="845"/>
      <c r="DY10" s="845"/>
      <c r="DZ10" s="845"/>
      <c r="EA10" s="845"/>
      <c r="EB10" s="845"/>
      <c r="EC10" s="845"/>
      <c r="ED10" s="846"/>
    </row>
    <row r="11" spans="1:134" ht="12.75" customHeight="1" thickBot="1" x14ac:dyDescent="0.3">
      <c r="A11" s="5">
        <v>78498</v>
      </c>
      <c r="B11" s="6">
        <v>75378</v>
      </c>
      <c r="C11" s="6">
        <v>71410</v>
      </c>
      <c r="D11" s="774">
        <v>0.84</v>
      </c>
      <c r="E11" s="783">
        <v>0.06</v>
      </c>
      <c r="F11" s="940"/>
      <c r="G11" s="725">
        <v>8.8781290581462807E-2</v>
      </c>
      <c r="H11" s="710">
        <v>3.7206201577302178E-3</v>
      </c>
      <c r="I11"/>
      <c r="J11" s="705" t="s">
        <v>505</v>
      </c>
      <c r="K11" s="707"/>
      <c r="L11" s="706"/>
      <c r="M11" s="705" t="s">
        <v>506</v>
      </c>
      <c r="N11" s="707"/>
      <c r="O11" s="706"/>
      <c r="Q11" s="123">
        <v>60</v>
      </c>
      <c r="R11" s="815">
        <f t="shared" si="2"/>
        <v>4.1645073920731331E-3</v>
      </c>
      <c r="Y11" s="123">
        <v>30</v>
      </c>
      <c r="Z11" s="815">
        <f t="shared" si="3"/>
        <v>1.1494828933458261</v>
      </c>
      <c r="AG11" s="851">
        <v>91</v>
      </c>
      <c r="AH11" s="844"/>
      <c r="AI11" s="845"/>
      <c r="AJ11" s="845"/>
      <c r="AK11" s="845"/>
      <c r="AL11" s="845"/>
      <c r="AM11" s="845"/>
      <c r="AN11" s="845">
        <v>87.872619047619054</v>
      </c>
      <c r="AO11" s="845">
        <v>87.872619047619054</v>
      </c>
      <c r="AP11" s="845">
        <v>88.58</v>
      </c>
      <c r="AQ11" s="845">
        <v>88.785714285714292</v>
      </c>
      <c r="AR11" s="845">
        <v>89.281818181818181</v>
      </c>
      <c r="AS11" s="845">
        <v>89.84</v>
      </c>
      <c r="AT11" s="845">
        <v>90.179999999999993</v>
      </c>
      <c r="AU11" s="845">
        <v>90.45</v>
      </c>
      <c r="AV11" s="845">
        <v>90.639285714285705</v>
      </c>
      <c r="AW11" s="845">
        <v>90.828571428571422</v>
      </c>
      <c r="AX11" s="845">
        <v>91.55</v>
      </c>
      <c r="AY11" s="845">
        <v>92.8</v>
      </c>
      <c r="AZ11" s="845">
        <v>93.233333333333334</v>
      </c>
      <c r="BA11" s="845">
        <v>93.65625</v>
      </c>
      <c r="BB11" s="845">
        <v>93.655208333333334</v>
      </c>
      <c r="BC11" s="845">
        <v>93.655208333333334</v>
      </c>
      <c r="BD11" s="845">
        <v>94.1</v>
      </c>
      <c r="BE11" s="845">
        <v>95</v>
      </c>
      <c r="BF11" s="845">
        <v>95.09</v>
      </c>
      <c r="BG11" s="845">
        <v>95.18</v>
      </c>
      <c r="BH11" s="845">
        <v>95.27</v>
      </c>
      <c r="BI11" s="845">
        <v>95.36</v>
      </c>
      <c r="BJ11" s="845">
        <v>95.45</v>
      </c>
      <c r="BK11" s="845">
        <v>95.54</v>
      </c>
      <c r="BL11" s="845">
        <v>95.63</v>
      </c>
      <c r="BM11" s="845">
        <v>95.72</v>
      </c>
      <c r="BN11" s="845">
        <v>95.81</v>
      </c>
      <c r="BO11" s="845">
        <v>95.9</v>
      </c>
      <c r="BP11" s="845">
        <v>95.99</v>
      </c>
      <c r="BQ11" s="845">
        <v>96.08</v>
      </c>
      <c r="BR11" s="845">
        <v>96.17</v>
      </c>
      <c r="BS11" s="845">
        <v>96.26</v>
      </c>
      <c r="BT11" s="845">
        <v>96.35</v>
      </c>
      <c r="BU11" s="845">
        <v>96.44</v>
      </c>
      <c r="BV11" s="845">
        <v>96.53</v>
      </c>
      <c r="BW11" s="845">
        <v>96.62</v>
      </c>
      <c r="BX11" s="845">
        <v>96.710000000000008</v>
      </c>
      <c r="BY11" s="845">
        <v>96.8</v>
      </c>
      <c r="BZ11" s="845">
        <v>96.89</v>
      </c>
      <c r="CA11" s="845">
        <v>96.98</v>
      </c>
      <c r="CB11" s="845">
        <v>97.070000000000007</v>
      </c>
      <c r="CC11" s="845">
        <v>97.16</v>
      </c>
      <c r="CD11" s="845">
        <v>97.25</v>
      </c>
      <c r="CE11" s="845">
        <v>97.34</v>
      </c>
      <c r="CF11" s="845">
        <v>97.43</v>
      </c>
      <c r="CG11" s="845">
        <v>97.52</v>
      </c>
      <c r="CH11" s="845">
        <v>97.61</v>
      </c>
      <c r="CI11" s="845">
        <v>97.7</v>
      </c>
      <c r="CJ11" s="845">
        <v>97.757142857142853</v>
      </c>
      <c r="CK11" s="845">
        <v>97.814285714285717</v>
      </c>
      <c r="CL11" s="845">
        <v>97.871428571428567</v>
      </c>
      <c r="CM11" s="845">
        <v>97.918723739495789</v>
      </c>
      <c r="CN11" s="845">
        <v>97.842447478991588</v>
      </c>
      <c r="CO11" s="845">
        <v>97.842447478991588</v>
      </c>
      <c r="CP11" s="845">
        <v>97.625152310924364</v>
      </c>
      <c r="CQ11" s="845">
        <v>97.625152310924364</v>
      </c>
      <c r="CR11" s="845">
        <v>97.4134768907563</v>
      </c>
      <c r="CS11" s="845">
        <v>97.4134768907563</v>
      </c>
      <c r="CT11" s="845">
        <v>97.342820378151259</v>
      </c>
      <c r="CU11" s="845">
        <v>97.406974789915964</v>
      </c>
      <c r="CV11" s="845">
        <v>97.473109243697479</v>
      </c>
      <c r="CW11" s="845">
        <v>97.509243697478993</v>
      </c>
      <c r="CX11" s="845">
        <v>97.545378151260508</v>
      </c>
      <c r="CY11" s="845">
        <v>97.60532212885154</v>
      </c>
      <c r="CZ11" s="845">
        <v>97.665266106442573</v>
      </c>
      <c r="DA11" s="845">
        <v>97.72521008403362</v>
      </c>
      <c r="DB11" s="845">
        <v>97.785154061624652</v>
      </c>
      <c r="DC11" s="845">
        <v>97.845098039215685</v>
      </c>
      <c r="DD11" s="845">
        <v>97.905042016806732</v>
      </c>
      <c r="DE11" s="845">
        <v>97.964802844214617</v>
      </c>
      <c r="DF11" s="845">
        <v>98.024563671622488</v>
      </c>
      <c r="DG11" s="845">
        <v>98.084324499030373</v>
      </c>
      <c r="DH11" s="845">
        <v>98.144085326438272</v>
      </c>
      <c r="DI11" s="845">
        <v>98.203846153846158</v>
      </c>
      <c r="DJ11" s="845"/>
      <c r="DK11" s="845"/>
      <c r="DL11" s="845"/>
      <c r="DM11" s="845"/>
      <c r="DN11" s="845"/>
      <c r="DO11" s="845"/>
      <c r="DP11" s="845"/>
      <c r="DQ11" s="845"/>
      <c r="DR11" s="845"/>
      <c r="DS11" s="845"/>
      <c r="DT11" s="845"/>
      <c r="DU11" s="845"/>
      <c r="DV11" s="845"/>
      <c r="DW11" s="845"/>
      <c r="DX11" s="845"/>
      <c r="DY11" s="845"/>
      <c r="DZ11" s="845"/>
      <c r="EA11" s="845"/>
      <c r="EB11" s="845"/>
      <c r="EC11" s="845"/>
      <c r="ED11" s="846"/>
    </row>
    <row r="12" spans="1:134" ht="12.75" customHeight="1" thickBot="1" x14ac:dyDescent="0.3">
      <c r="A12" s="9">
        <v>78498</v>
      </c>
      <c r="B12" s="10">
        <v>75387</v>
      </c>
      <c r="C12" s="10">
        <v>71419</v>
      </c>
      <c r="D12" s="780">
        <v>0.83</v>
      </c>
      <c r="E12" s="784">
        <v>0.1</v>
      </c>
      <c r="F12" s="940"/>
      <c r="G12" s="704"/>
      <c r="H12" s="704"/>
      <c r="I12"/>
      <c r="J12" s="748">
        <v>873.09544053351033</v>
      </c>
      <c r="K12" s="701">
        <v>988.93536655278353</v>
      </c>
      <c r="L12" s="749">
        <v>777.73741562118653</v>
      </c>
      <c r="M12" s="731">
        <v>-13.373198676259147</v>
      </c>
      <c r="N12" s="732">
        <v>-17.560035073507308</v>
      </c>
      <c r="O12" s="733">
        <v>-17.650560520289403</v>
      </c>
      <c r="Q12" s="123">
        <v>80</v>
      </c>
      <c r="R12" s="815">
        <f t="shared" si="2"/>
        <v>5.5526765227641777E-3</v>
      </c>
      <c r="Y12" s="123">
        <v>40</v>
      </c>
      <c r="Z12" s="815">
        <f t="shared" si="3"/>
        <v>1.1631078087870215</v>
      </c>
      <c r="AG12" s="851">
        <v>90</v>
      </c>
      <c r="AH12" s="844"/>
      <c r="AI12" s="845"/>
      <c r="AJ12" s="845"/>
      <c r="AK12" s="845"/>
      <c r="AL12" s="845"/>
      <c r="AM12" s="845"/>
      <c r="AN12" s="845">
        <v>86.766741071428569</v>
      </c>
      <c r="AO12" s="845">
        <v>86.755617559523813</v>
      </c>
      <c r="AP12" s="845">
        <v>86.755617559523813</v>
      </c>
      <c r="AQ12" s="845">
        <v>87.09375</v>
      </c>
      <c r="AR12" s="845">
        <v>88.8</v>
      </c>
      <c r="AS12" s="845">
        <v>89.8</v>
      </c>
      <c r="AT12" s="845">
        <v>90.05714285714285</v>
      </c>
      <c r="AU12" s="845">
        <v>90.314285714285717</v>
      </c>
      <c r="AV12" s="845">
        <v>90.571428571428569</v>
      </c>
      <c r="AW12" s="845">
        <v>90.828571428571422</v>
      </c>
      <c r="AX12" s="845">
        <v>91.085714285714275</v>
      </c>
      <c r="AY12" s="845">
        <v>91.342857142857142</v>
      </c>
      <c r="AZ12" s="845">
        <v>91.6</v>
      </c>
      <c r="BA12" s="845">
        <v>91.91</v>
      </c>
      <c r="BB12" s="845">
        <v>92.22</v>
      </c>
      <c r="BC12" s="845">
        <v>92.53</v>
      </c>
      <c r="BD12" s="845">
        <v>92.84</v>
      </c>
      <c r="BE12" s="845">
        <v>93.15</v>
      </c>
      <c r="BF12" s="845">
        <v>93.46</v>
      </c>
      <c r="BG12" s="845">
        <v>93.77</v>
      </c>
      <c r="BH12" s="845">
        <v>94.08</v>
      </c>
      <c r="BI12" s="845">
        <v>94.39</v>
      </c>
      <c r="BJ12" s="845">
        <v>94.7</v>
      </c>
      <c r="BK12" s="845">
        <v>95.090104166666663</v>
      </c>
      <c r="BL12" s="845">
        <v>95.090104166666663</v>
      </c>
      <c r="BM12" s="845">
        <v>95.08805147058824</v>
      </c>
      <c r="BN12" s="845">
        <v>95.109313725490196</v>
      </c>
      <c r="BO12" s="845">
        <v>95.237892156862742</v>
      </c>
      <c r="BP12" s="845">
        <v>95.391470588235308</v>
      </c>
      <c r="BQ12" s="845">
        <v>95.545049019607845</v>
      </c>
      <c r="BR12" s="845">
        <v>95.678229549632363</v>
      </c>
      <c r="BS12" s="845">
        <v>95.656986825980397</v>
      </c>
      <c r="BT12" s="845">
        <v>95.564625459558826</v>
      </c>
      <c r="BU12" s="845">
        <v>95.564625459558826</v>
      </c>
      <c r="BV12" s="845">
        <v>95.515594362745105</v>
      </c>
      <c r="BW12" s="845">
        <v>95.573039215686279</v>
      </c>
      <c r="BX12" s="845">
        <v>95.640196078431373</v>
      </c>
      <c r="BY12" s="845">
        <v>95.707352941176467</v>
      </c>
      <c r="BZ12" s="845">
        <v>95.774509803921575</v>
      </c>
      <c r="CA12" s="845">
        <v>95.841666666666669</v>
      </c>
      <c r="CB12" s="845">
        <v>95.908823529411762</v>
      </c>
      <c r="CC12" s="845">
        <v>95.97598039215687</v>
      </c>
      <c r="CD12" s="845">
        <v>96.043137254901964</v>
      </c>
      <c r="CE12" s="845">
        <v>96.110294117647058</v>
      </c>
      <c r="CF12" s="845">
        <v>96.177450980392152</v>
      </c>
      <c r="CG12" s="845">
        <v>96.24460784313726</v>
      </c>
      <c r="CH12" s="845">
        <v>96.311764705882354</v>
      </c>
      <c r="CI12" s="845">
        <v>96.378921568627447</v>
      </c>
      <c r="CJ12" s="845">
        <v>96.446078431372555</v>
      </c>
      <c r="CK12" s="845">
        <v>96.513235294117649</v>
      </c>
      <c r="CL12" s="845">
        <v>96.580392156862743</v>
      </c>
      <c r="CM12" s="845">
        <v>96.647549019607851</v>
      </c>
      <c r="CN12" s="845">
        <v>96.714705882352945</v>
      </c>
      <c r="CO12" s="845">
        <v>96.781862745098039</v>
      </c>
      <c r="CP12" s="845">
        <v>96.849019607843132</v>
      </c>
      <c r="CQ12" s="845">
        <v>96.91617647058824</v>
      </c>
      <c r="CR12" s="845">
        <v>96.983333333333334</v>
      </c>
      <c r="CS12" s="845">
        <v>97.050490196078428</v>
      </c>
      <c r="CT12" s="845">
        <v>97.117647058823536</v>
      </c>
      <c r="CU12" s="845">
        <v>97.18480392156863</v>
      </c>
      <c r="CV12" s="845">
        <v>97.251960784313724</v>
      </c>
      <c r="CW12" s="845">
        <v>97.319117647058818</v>
      </c>
      <c r="CX12" s="845">
        <v>97.386274509803926</v>
      </c>
      <c r="CY12" s="845">
        <v>97.453431372549019</v>
      </c>
      <c r="CZ12" s="845">
        <v>97.520588235294113</v>
      </c>
      <c r="DA12" s="845">
        <v>97.587745098039221</v>
      </c>
      <c r="DB12" s="845">
        <v>97.654901960784315</v>
      </c>
      <c r="DC12" s="845">
        <v>97.722058823529409</v>
      </c>
      <c r="DD12" s="845">
        <v>97.789215686274517</v>
      </c>
      <c r="DE12" s="845">
        <v>97.856372549019611</v>
      </c>
      <c r="DF12" s="845">
        <v>97.923529411764704</v>
      </c>
      <c r="DG12" s="845">
        <v>97.990686274509798</v>
      </c>
      <c r="DH12" s="845">
        <v>98.057843137254906</v>
      </c>
      <c r="DI12" s="845">
        <v>98.125</v>
      </c>
      <c r="DJ12" s="845"/>
      <c r="DK12" s="845"/>
      <c r="DL12" s="845"/>
      <c r="DM12" s="845"/>
      <c r="DN12" s="845"/>
      <c r="DO12" s="845"/>
      <c r="DP12" s="845"/>
      <c r="DQ12" s="845"/>
      <c r="DR12" s="845"/>
      <c r="DS12" s="845"/>
      <c r="DT12" s="845"/>
      <c r="DU12" s="845"/>
      <c r="DV12" s="845"/>
      <c r="DW12" s="845"/>
      <c r="DX12" s="845"/>
      <c r="DY12" s="845"/>
      <c r="DZ12" s="845"/>
      <c r="EA12" s="845"/>
      <c r="EB12" s="845"/>
      <c r="EC12" s="845"/>
      <c r="ED12" s="846"/>
    </row>
    <row r="13" spans="1:134" ht="12.75" customHeight="1" thickBot="1" x14ac:dyDescent="0.3">
      <c r="F13" s="940"/>
      <c r="G13" s="723" t="s">
        <v>507</v>
      </c>
      <c r="H13" s="724"/>
      <c r="I13"/>
      <c r="J13" s="748">
        <v>1388.4131082897084</v>
      </c>
      <c r="K13" s="701">
        <v>1566.4064554903823</v>
      </c>
      <c r="L13" s="749">
        <v>926.87032218430011</v>
      </c>
      <c r="M13" s="731">
        <v>-15.322074462329146</v>
      </c>
      <c r="N13" s="732">
        <v>-18.481249859586946</v>
      </c>
      <c r="O13" s="733">
        <v>-11.801919724482472</v>
      </c>
      <c r="Q13" s="124">
        <v>100</v>
      </c>
      <c r="R13" s="818">
        <f t="shared" si="2"/>
        <v>6.9408456534552224E-3</v>
      </c>
      <c r="Y13" s="124">
        <v>50</v>
      </c>
      <c r="Z13" s="818">
        <f t="shared" si="3"/>
        <v>1.1737872318400142</v>
      </c>
      <c r="AG13" s="851">
        <v>89</v>
      </c>
      <c r="AH13" s="844"/>
      <c r="AI13" s="845"/>
      <c r="AJ13" s="845"/>
      <c r="AK13" s="845"/>
      <c r="AL13" s="845"/>
      <c r="AM13" s="845"/>
      <c r="AN13" s="845">
        <v>86.08312500000001</v>
      </c>
      <c r="AO13" s="845">
        <v>86.082187500000003</v>
      </c>
      <c r="AP13" s="845">
        <v>86.082187500000003</v>
      </c>
      <c r="AQ13" s="845">
        <v>86.75</v>
      </c>
      <c r="AR13" s="845">
        <v>87.679999999999993</v>
      </c>
      <c r="AS13" s="845">
        <v>88.8</v>
      </c>
      <c r="AT13" s="845">
        <v>89.166666666666657</v>
      </c>
      <c r="AU13" s="845">
        <v>89.533333333333331</v>
      </c>
      <c r="AV13" s="845">
        <v>89.9</v>
      </c>
      <c r="AW13" s="845">
        <v>90.266666666666666</v>
      </c>
      <c r="AX13" s="845">
        <v>90.633333333333326</v>
      </c>
      <c r="AY13" s="845">
        <v>91</v>
      </c>
      <c r="AZ13" s="845">
        <v>91.28</v>
      </c>
      <c r="BA13" s="845">
        <v>91.56</v>
      </c>
      <c r="BB13" s="845">
        <v>91.84</v>
      </c>
      <c r="BC13" s="845">
        <v>92.12</v>
      </c>
      <c r="BD13" s="845">
        <v>92.4</v>
      </c>
      <c r="BE13" s="845">
        <v>92.679999999999993</v>
      </c>
      <c r="BF13" s="845">
        <v>92.96</v>
      </c>
      <c r="BG13" s="845">
        <v>93.24</v>
      </c>
      <c r="BH13" s="845">
        <v>93.52</v>
      </c>
      <c r="BI13" s="845">
        <v>93.8</v>
      </c>
      <c r="BJ13" s="845">
        <v>94.65</v>
      </c>
      <c r="BK13" s="845">
        <v>95.090104166666663</v>
      </c>
      <c r="BL13" s="845">
        <v>95.090104166666663</v>
      </c>
      <c r="BM13" s="845">
        <v>95.08805147058824</v>
      </c>
      <c r="BN13" s="845">
        <v>95.109313725490196</v>
      </c>
      <c r="BO13" s="845">
        <v>95.237892156862742</v>
      </c>
      <c r="BP13" s="845">
        <v>95.391470588235308</v>
      </c>
      <c r="BQ13" s="845">
        <v>95.545049019607845</v>
      </c>
      <c r="BR13" s="845">
        <v>95.678229549632363</v>
      </c>
      <c r="BS13" s="845">
        <v>95.656986825980397</v>
      </c>
      <c r="BT13" s="845"/>
      <c r="BU13" s="845"/>
      <c r="BV13" s="845"/>
      <c r="BW13" s="845"/>
      <c r="BX13" s="845"/>
      <c r="BY13" s="845"/>
      <c r="BZ13" s="845"/>
      <c r="CA13" s="845"/>
      <c r="CB13" s="845"/>
      <c r="CC13" s="845"/>
      <c r="CD13" s="845"/>
      <c r="CE13" s="845"/>
      <c r="CF13" s="845"/>
      <c r="CG13" s="845"/>
      <c r="CH13" s="845"/>
      <c r="CI13" s="845"/>
      <c r="CJ13" s="845"/>
      <c r="CK13" s="845"/>
      <c r="CL13" s="845"/>
      <c r="CM13" s="845"/>
      <c r="CN13" s="845"/>
      <c r="CO13" s="845"/>
      <c r="CP13" s="845"/>
      <c r="CQ13" s="845"/>
      <c r="CR13" s="845"/>
      <c r="CS13" s="845"/>
      <c r="CT13" s="845"/>
      <c r="CU13" s="845"/>
      <c r="CV13" s="845"/>
      <c r="CW13" s="845"/>
      <c r="CX13" s="845"/>
      <c r="CY13" s="845"/>
      <c r="CZ13" s="845"/>
      <c r="DA13" s="845"/>
      <c r="DB13" s="845"/>
      <c r="DC13" s="845"/>
      <c r="DD13" s="845"/>
      <c r="DE13" s="845"/>
      <c r="DF13" s="845"/>
      <c r="DG13" s="845"/>
      <c r="DH13" s="845"/>
      <c r="DI13" s="845"/>
      <c r="DJ13" s="845"/>
      <c r="DK13" s="845"/>
      <c r="DL13" s="845"/>
      <c r="DM13" s="845"/>
      <c r="DN13" s="845"/>
      <c r="DO13" s="845"/>
      <c r="DP13" s="845"/>
      <c r="DQ13" s="845"/>
      <c r="DR13" s="845"/>
      <c r="DS13" s="845"/>
      <c r="DT13" s="845"/>
      <c r="DU13" s="845"/>
      <c r="DV13" s="845"/>
      <c r="DW13" s="845"/>
      <c r="DX13" s="845"/>
      <c r="DY13" s="845"/>
      <c r="DZ13" s="845"/>
      <c r="EA13" s="845"/>
      <c r="EB13" s="845"/>
      <c r="EC13" s="845"/>
      <c r="ED13" s="846"/>
    </row>
    <row r="14" spans="1:134" ht="12.75" customHeight="1" thickBot="1" x14ac:dyDescent="0.3">
      <c r="A14" s="1100" t="s">
        <v>364</v>
      </c>
      <c r="B14" s="1101"/>
      <c r="C14" s="1101"/>
      <c r="D14" s="1152" t="s">
        <v>418</v>
      </c>
      <c r="E14" s="1150" t="s">
        <v>393</v>
      </c>
      <c r="F14" s="940"/>
      <c r="G14" s="725">
        <v>5.3166438592741297E-2</v>
      </c>
      <c r="H14" s="966">
        <v>1.3188815613506946E-2</v>
      </c>
      <c r="I14"/>
      <c r="J14" s="750">
        <v>1165.3898277835456</v>
      </c>
      <c r="K14" s="751">
        <v>1818.7922601307068</v>
      </c>
      <c r="L14" s="752">
        <v>1297.812535325204</v>
      </c>
      <c r="M14" s="734">
        <v>-16.377335434589892</v>
      </c>
      <c r="N14" s="735">
        <v>-27.393243391399551</v>
      </c>
      <c r="O14" s="736">
        <v>-24.821993524160892</v>
      </c>
      <c r="Y14" s="126">
        <v>1</v>
      </c>
      <c r="Z14" s="814">
        <f t="shared" ref="Z14:Z19" si="4">Y14^J$19</f>
        <v>1</v>
      </c>
      <c r="AG14" s="851">
        <v>88</v>
      </c>
      <c r="AH14" s="844"/>
      <c r="AI14" s="845"/>
      <c r="AJ14" s="845"/>
      <c r="AK14" s="845"/>
      <c r="AL14" s="845"/>
      <c r="AM14" s="845"/>
      <c r="AN14" s="845">
        <v>85.233333333333334</v>
      </c>
      <c r="AO14" s="845">
        <v>85.4</v>
      </c>
      <c r="AP14" s="845">
        <v>85.4</v>
      </c>
      <c r="AQ14" s="845">
        <v>85.7</v>
      </c>
      <c r="AR14" s="845">
        <v>86.533333333333331</v>
      </c>
      <c r="AS14" s="845">
        <v>87.366666666666674</v>
      </c>
      <c r="AT14" s="845">
        <v>88.2</v>
      </c>
      <c r="AU14" s="845"/>
      <c r="AV14" s="845"/>
      <c r="AW14" s="845"/>
      <c r="AX14" s="845"/>
      <c r="AY14" s="845"/>
      <c r="AZ14" s="845"/>
      <c r="BA14" s="845"/>
      <c r="BB14" s="845"/>
      <c r="BC14" s="845"/>
      <c r="BD14" s="845"/>
      <c r="BE14" s="845"/>
      <c r="BF14" s="845"/>
      <c r="BG14" s="845"/>
      <c r="BH14" s="845"/>
      <c r="BI14" s="845"/>
      <c r="BJ14" s="845"/>
      <c r="BK14" s="845"/>
      <c r="BL14" s="845"/>
      <c r="BM14" s="845"/>
      <c r="BN14" s="845"/>
      <c r="BO14" s="845"/>
      <c r="BP14" s="845"/>
      <c r="BQ14" s="845"/>
      <c r="BR14" s="845"/>
      <c r="BS14" s="845"/>
      <c r="BT14" s="845"/>
      <c r="BU14" s="845"/>
      <c r="BV14" s="845"/>
      <c r="BW14" s="845"/>
      <c r="BX14" s="845"/>
      <c r="BY14" s="845"/>
      <c r="BZ14" s="845"/>
      <c r="CA14" s="845"/>
      <c r="CB14" s="845"/>
      <c r="CC14" s="845"/>
      <c r="CD14" s="845"/>
      <c r="CE14" s="845"/>
      <c r="CF14" s="845"/>
      <c r="CG14" s="845"/>
      <c r="CH14" s="845"/>
      <c r="CI14" s="845"/>
      <c r="CJ14" s="845"/>
      <c r="CK14" s="845"/>
      <c r="CL14" s="845"/>
      <c r="CM14" s="845"/>
      <c r="CN14" s="845"/>
      <c r="CO14" s="845"/>
      <c r="CP14" s="845"/>
      <c r="CQ14" s="845"/>
      <c r="CR14" s="845"/>
      <c r="CS14" s="845"/>
      <c r="CT14" s="845"/>
      <c r="CU14" s="845"/>
      <c r="CV14" s="845"/>
      <c r="CW14" s="845"/>
      <c r="CX14" s="845"/>
      <c r="CY14" s="845"/>
      <c r="CZ14" s="845"/>
      <c r="DA14" s="845"/>
      <c r="DB14" s="845"/>
      <c r="DC14" s="845"/>
      <c r="DD14" s="845"/>
      <c r="DE14" s="845"/>
      <c r="DF14" s="845"/>
      <c r="DG14" s="845"/>
      <c r="DH14" s="845"/>
      <c r="DI14" s="845"/>
      <c r="DJ14" s="845"/>
      <c r="DK14" s="845"/>
      <c r="DL14" s="845"/>
      <c r="DM14" s="845"/>
      <c r="DN14" s="845"/>
      <c r="DO14" s="845"/>
      <c r="DP14" s="845"/>
      <c r="DQ14" s="845"/>
      <c r="DR14" s="845"/>
      <c r="DS14" s="845"/>
      <c r="DT14" s="845"/>
      <c r="DU14" s="845"/>
      <c r="DV14" s="845"/>
      <c r="DW14" s="845"/>
      <c r="DX14" s="845"/>
      <c r="DY14" s="845"/>
      <c r="DZ14" s="845"/>
      <c r="EA14" s="845"/>
      <c r="EB14" s="845"/>
      <c r="EC14" s="845"/>
      <c r="ED14" s="846"/>
    </row>
    <row r="15" spans="1:134" ht="12.75" customHeight="1" thickBot="1" x14ac:dyDescent="0.3">
      <c r="A15" s="1066">
        <v>1</v>
      </c>
      <c r="B15" s="1067">
        <v>2</v>
      </c>
      <c r="C15" s="1067">
        <v>3</v>
      </c>
      <c r="D15" s="1153"/>
      <c r="E15" s="1151"/>
      <c r="F15" s="940"/>
      <c r="G15"/>
      <c r="H15"/>
      <c r="I15" s="602"/>
      <c r="J15" s="602"/>
      <c r="K15" s="602"/>
      <c r="L15" s="602"/>
      <c r="M15" s="602"/>
      <c r="N15" s="602"/>
      <c r="O15" s="602"/>
      <c r="P15" s="602"/>
      <c r="Q15" s="1080" t="str">
        <f>Lang!$A$32</f>
        <v>A&amp;D - recruit</v>
      </c>
      <c r="R15" s="1103"/>
      <c r="X15" s="602"/>
      <c r="Y15" s="123">
        <v>10</v>
      </c>
      <c r="Z15" s="815">
        <f t="shared" si="4"/>
        <v>1.0498710774618634</v>
      </c>
      <c r="AG15" s="851">
        <v>87</v>
      </c>
      <c r="AH15" s="844"/>
      <c r="AI15" s="845"/>
      <c r="AJ15" s="845"/>
      <c r="AK15" s="845"/>
      <c r="AL15" s="845"/>
      <c r="AM15" s="845"/>
      <c r="AN15" s="845">
        <v>84.36666666666666</v>
      </c>
      <c r="AO15" s="845">
        <v>84.422222222222217</v>
      </c>
      <c r="AP15" s="845">
        <v>84.422222222222217</v>
      </c>
      <c r="AQ15" s="845">
        <v>85.1</v>
      </c>
      <c r="AR15" s="845"/>
      <c r="AS15" s="845"/>
      <c r="AT15" s="845"/>
      <c r="AU15" s="845"/>
      <c r="AV15" s="845"/>
      <c r="AW15" s="845"/>
      <c r="AX15" s="845"/>
      <c r="AY15" s="845"/>
      <c r="AZ15" s="845"/>
      <c r="BA15" s="845"/>
      <c r="BB15" s="845"/>
      <c r="BC15" s="845"/>
      <c r="BD15" s="845"/>
      <c r="BE15" s="845"/>
      <c r="BF15" s="845"/>
      <c r="BG15" s="845"/>
      <c r="BH15" s="845"/>
      <c r="BI15" s="845"/>
      <c r="BJ15" s="845"/>
      <c r="BK15" s="845"/>
      <c r="BL15" s="845"/>
      <c r="BM15" s="845"/>
      <c r="BN15" s="845"/>
      <c r="BO15" s="845"/>
      <c r="BP15" s="845"/>
      <c r="BQ15" s="845"/>
      <c r="BR15" s="845"/>
      <c r="BS15" s="845"/>
      <c r="BT15" s="845"/>
      <c r="BU15" s="845"/>
      <c r="BV15" s="845"/>
      <c r="BW15" s="845"/>
      <c r="BX15" s="845"/>
      <c r="BY15" s="845"/>
      <c r="BZ15" s="845"/>
      <c r="CA15" s="845"/>
      <c r="CB15" s="845"/>
      <c r="CC15" s="845"/>
      <c r="CD15" s="845"/>
      <c r="CE15" s="845"/>
      <c r="CF15" s="845"/>
      <c r="CG15" s="845"/>
      <c r="CH15" s="845"/>
      <c r="CI15" s="845"/>
      <c r="CJ15" s="845"/>
      <c r="CK15" s="845"/>
      <c r="CL15" s="845"/>
      <c r="CM15" s="845"/>
      <c r="CN15" s="845"/>
      <c r="CO15" s="845"/>
      <c r="CP15" s="845"/>
      <c r="CQ15" s="845"/>
      <c r="CR15" s="845"/>
      <c r="CS15" s="845"/>
      <c r="CT15" s="845"/>
      <c r="CU15" s="845"/>
      <c r="CV15" s="845"/>
      <c r="CW15" s="845"/>
      <c r="CX15" s="845"/>
      <c r="CY15" s="845"/>
      <c r="CZ15" s="845"/>
      <c r="DA15" s="845"/>
      <c r="DB15" s="845"/>
      <c r="DC15" s="845"/>
      <c r="DD15" s="845"/>
      <c r="DE15" s="845"/>
      <c r="DF15" s="845"/>
      <c r="DG15" s="845"/>
      <c r="DH15" s="845"/>
      <c r="DI15" s="845"/>
      <c r="DJ15" s="845"/>
      <c r="DK15" s="845"/>
      <c r="DL15" s="845"/>
      <c r="DM15" s="845"/>
      <c r="DN15" s="845"/>
      <c r="DO15" s="845"/>
      <c r="DP15" s="845"/>
      <c r="DQ15" s="845"/>
      <c r="DR15" s="845"/>
      <c r="DS15" s="845"/>
      <c r="DT15" s="845"/>
      <c r="DU15" s="845"/>
      <c r="DV15" s="845"/>
      <c r="DW15" s="845"/>
      <c r="DX15" s="845"/>
      <c r="DY15" s="845"/>
      <c r="DZ15" s="845"/>
      <c r="EA15" s="845"/>
      <c r="EB15" s="845"/>
      <c r="EC15" s="845"/>
      <c r="ED15" s="846"/>
    </row>
    <row r="16" spans="1:134" ht="12.75" customHeight="1" x14ac:dyDescent="0.25">
      <c r="A16" s="5">
        <v>126</v>
      </c>
      <c r="B16" s="6">
        <v>207</v>
      </c>
      <c r="C16" s="6">
        <v>318</v>
      </c>
      <c r="D16" s="6"/>
      <c r="E16" s="782">
        <v>0</v>
      </c>
      <c r="F16" s="940"/>
      <c r="G16" s="723" t="s">
        <v>508</v>
      </c>
      <c r="H16" s="724"/>
      <c r="I16"/>
      <c r="J16" s="705" t="s">
        <v>509</v>
      </c>
      <c r="K16" s="707"/>
      <c r="L16" s="706"/>
      <c r="M16" s="705" t="s">
        <v>510</v>
      </c>
      <c r="N16" s="707"/>
      <c r="O16" s="706"/>
      <c r="P16" s="602"/>
      <c r="Q16" s="126">
        <v>1</v>
      </c>
      <c r="R16" s="814">
        <f>Q16^G$5</f>
        <v>1</v>
      </c>
      <c r="X16" s="602"/>
      <c r="Y16" s="123">
        <v>20</v>
      </c>
      <c r="Z16" s="815">
        <f t="shared" si="4"/>
        <v>1.0653652652472969</v>
      </c>
      <c r="AG16" s="851">
        <v>86</v>
      </c>
      <c r="AH16" s="844"/>
      <c r="AI16" s="845"/>
      <c r="AJ16" s="845"/>
      <c r="AK16" s="845"/>
      <c r="AL16" s="845"/>
      <c r="AM16" s="845"/>
      <c r="AN16" s="845">
        <v>83.5</v>
      </c>
      <c r="AO16" s="845">
        <v>83.5</v>
      </c>
      <c r="AP16" s="845">
        <v>83.9</v>
      </c>
      <c r="AQ16" s="845"/>
      <c r="AR16" s="845"/>
      <c r="AS16" s="845"/>
      <c r="AT16" s="845"/>
      <c r="AU16" s="845"/>
      <c r="AV16" s="845"/>
      <c r="AW16" s="845"/>
      <c r="AX16" s="845"/>
      <c r="AY16" s="845"/>
      <c r="AZ16" s="845"/>
      <c r="BA16" s="845"/>
      <c r="BB16" s="845"/>
      <c r="BC16" s="845"/>
      <c r="BD16" s="845"/>
      <c r="BE16" s="845"/>
      <c r="BF16" s="845"/>
      <c r="BG16" s="845"/>
      <c r="BH16" s="845"/>
      <c r="BI16" s="845"/>
      <c r="BJ16" s="845"/>
      <c r="BK16" s="845"/>
      <c r="BL16" s="845"/>
      <c r="BM16" s="845"/>
      <c r="BN16" s="845"/>
      <c r="BO16" s="845"/>
      <c r="BP16" s="845"/>
      <c r="BQ16" s="845"/>
      <c r="BR16" s="845"/>
      <c r="BS16" s="845"/>
      <c r="BT16" s="845"/>
      <c r="BU16" s="845"/>
      <c r="BV16" s="845"/>
      <c r="BW16" s="845"/>
      <c r="BX16" s="845"/>
      <c r="BY16" s="845"/>
      <c r="BZ16" s="845"/>
      <c r="CA16" s="845"/>
      <c r="CB16" s="845"/>
      <c r="CC16" s="845"/>
      <c r="CD16" s="845"/>
      <c r="CE16" s="845"/>
      <c r="CF16" s="845"/>
      <c r="CG16" s="845"/>
      <c r="CH16" s="845"/>
      <c r="CI16" s="845"/>
      <c r="CJ16" s="845"/>
      <c r="CK16" s="845"/>
      <c r="CL16" s="845"/>
      <c r="CM16" s="845"/>
      <c r="CN16" s="845"/>
      <c r="CO16" s="845"/>
      <c r="CP16" s="845"/>
      <c r="CQ16" s="845"/>
      <c r="CR16" s="845"/>
      <c r="CS16" s="845"/>
      <c r="CT16" s="845"/>
      <c r="CU16" s="845"/>
      <c r="CV16" s="845"/>
      <c r="CW16" s="845"/>
      <c r="CX16" s="845"/>
      <c r="CY16" s="845"/>
      <c r="CZ16" s="845"/>
      <c r="DA16" s="845"/>
      <c r="DB16" s="845"/>
      <c r="DC16" s="845"/>
      <c r="DD16" s="845"/>
      <c r="DE16" s="845"/>
      <c r="DF16" s="845"/>
      <c r="DG16" s="845"/>
      <c r="DH16" s="845"/>
      <c r="DI16" s="845"/>
      <c r="DJ16" s="845"/>
      <c r="DK16" s="845"/>
      <c r="DL16" s="845"/>
      <c r="DM16" s="845"/>
      <c r="DN16" s="845"/>
      <c r="DO16" s="845"/>
      <c r="DP16" s="845"/>
      <c r="DQ16" s="845"/>
      <c r="DR16" s="845"/>
      <c r="DS16" s="845"/>
      <c r="DT16" s="845"/>
      <c r="DU16" s="845"/>
      <c r="DV16" s="845"/>
      <c r="DW16" s="845"/>
      <c r="DX16" s="845"/>
      <c r="DY16" s="845"/>
      <c r="DZ16" s="845"/>
      <c r="EA16" s="845"/>
      <c r="EB16" s="845"/>
      <c r="EC16" s="845"/>
      <c r="ED16" s="846"/>
    </row>
    <row r="17" spans="1:134" ht="12.75" customHeight="1" x14ac:dyDescent="0.25">
      <c r="A17" s="5">
        <v>125</v>
      </c>
      <c r="B17" s="6">
        <v>205</v>
      </c>
      <c r="C17" s="6">
        <v>315</v>
      </c>
      <c r="D17" s="6"/>
      <c r="E17" s="782">
        <v>0</v>
      </c>
      <c r="F17" s="940"/>
      <c r="G17" s="799">
        <v>6.9408456534552225E-5</v>
      </c>
      <c r="H17" s="798">
        <v>0.49347629923990044</v>
      </c>
      <c r="I17"/>
      <c r="J17" s="797">
        <v>2.2452031831025385E-2</v>
      </c>
      <c r="K17" s="924">
        <v>2.2452031831025385E-2</v>
      </c>
      <c r="L17" s="925">
        <v>2.2452031831025385E-2</v>
      </c>
      <c r="M17" s="711">
        <v>-3.4389766390089489E-4</v>
      </c>
      <c r="N17" s="712">
        <v>-3.9866959940830987E-4</v>
      </c>
      <c r="O17" s="713">
        <v>-5.0954337373682371E-4</v>
      </c>
      <c r="P17" s="602"/>
      <c r="Q17" s="123">
        <v>2</v>
      </c>
      <c r="R17" s="814">
        <f t="shared" ref="R17:R27" si="5">Q17^G$5</f>
        <v>1.1376168193722342</v>
      </c>
      <c r="X17" s="602"/>
      <c r="Y17" s="123">
        <v>30</v>
      </c>
      <c r="Z17" s="815">
        <f t="shared" si="4"/>
        <v>1.0745345719008113</v>
      </c>
      <c r="AG17" s="851">
        <v>85</v>
      </c>
      <c r="AH17" s="844"/>
      <c r="AI17" s="845"/>
      <c r="AJ17" s="845"/>
      <c r="AK17" s="845"/>
      <c r="AL17" s="845"/>
      <c r="AM17" s="845"/>
      <c r="AN17" s="845"/>
      <c r="AO17" s="845">
        <v>83.2</v>
      </c>
      <c r="AP17" s="845"/>
      <c r="AQ17" s="845"/>
      <c r="AR17" s="845"/>
      <c r="AS17" s="845"/>
      <c r="AT17" s="845"/>
      <c r="AU17" s="845"/>
      <c r="AV17" s="845"/>
      <c r="AW17" s="845"/>
      <c r="AX17" s="845"/>
      <c r="AY17" s="845"/>
      <c r="AZ17" s="845"/>
      <c r="BA17" s="845"/>
      <c r="BB17" s="845"/>
      <c r="BC17" s="845"/>
      <c r="BD17" s="845"/>
      <c r="BE17" s="845"/>
      <c r="BF17" s="845"/>
      <c r="BG17" s="845"/>
      <c r="BH17" s="845"/>
      <c r="BI17" s="845"/>
      <c r="BJ17" s="845"/>
      <c r="BK17" s="845"/>
      <c r="BL17" s="845"/>
      <c r="BM17" s="845"/>
      <c r="BN17" s="845"/>
      <c r="BO17" s="845"/>
      <c r="BP17" s="845"/>
      <c r="BQ17" s="845"/>
      <c r="BR17" s="845"/>
      <c r="BS17" s="845"/>
      <c r="BT17" s="845"/>
      <c r="BU17" s="845"/>
      <c r="BV17" s="845"/>
      <c r="BW17" s="845"/>
      <c r="BX17" s="845"/>
      <c r="BY17" s="845"/>
      <c r="BZ17" s="845"/>
      <c r="CA17" s="845"/>
      <c r="CB17" s="845"/>
      <c r="CC17" s="845"/>
      <c r="CD17" s="845"/>
      <c r="CE17" s="845"/>
      <c r="CF17" s="845"/>
      <c r="CG17" s="845"/>
      <c r="CH17" s="845"/>
      <c r="CI17" s="845"/>
      <c r="CJ17" s="845"/>
      <c r="CK17" s="845"/>
      <c r="CL17" s="845"/>
      <c r="CM17" s="845"/>
      <c r="CN17" s="845"/>
      <c r="CO17" s="845"/>
      <c r="CP17" s="845"/>
      <c r="CQ17" s="845"/>
      <c r="CR17" s="845"/>
      <c r="CS17" s="845"/>
      <c r="CT17" s="845"/>
      <c r="CU17" s="845"/>
      <c r="CV17" s="845"/>
      <c r="CW17" s="845"/>
      <c r="CX17" s="845"/>
      <c r="CY17" s="845"/>
      <c r="CZ17" s="845"/>
      <c r="DA17" s="845"/>
      <c r="DB17" s="845"/>
      <c r="DC17" s="845"/>
      <c r="DD17" s="845"/>
      <c r="DE17" s="845"/>
      <c r="DF17" s="845"/>
      <c r="DG17" s="845"/>
      <c r="DH17" s="845"/>
      <c r="DI17" s="845"/>
      <c r="DJ17" s="845"/>
      <c r="DK17" s="845"/>
      <c r="DL17" s="845"/>
      <c r="DM17" s="845"/>
      <c r="DN17" s="845"/>
      <c r="DO17" s="845"/>
      <c r="DP17" s="845"/>
      <c r="DQ17" s="845"/>
      <c r="DR17" s="845"/>
      <c r="DS17" s="845"/>
      <c r="DT17" s="845"/>
      <c r="DU17" s="845"/>
      <c r="DV17" s="845"/>
      <c r="DW17" s="845"/>
      <c r="DX17" s="845"/>
      <c r="DY17" s="845"/>
      <c r="DZ17" s="845"/>
      <c r="EA17" s="845"/>
      <c r="EB17" s="845"/>
      <c r="EC17" s="845"/>
      <c r="ED17" s="846"/>
    </row>
    <row r="18" spans="1:134" ht="12.75" customHeight="1" x14ac:dyDescent="0.25">
      <c r="A18" s="5">
        <v>125</v>
      </c>
      <c r="B18" s="6">
        <v>206</v>
      </c>
      <c r="C18" s="6">
        <v>317</v>
      </c>
      <c r="D18" s="6"/>
      <c r="E18" s="782">
        <v>0</v>
      </c>
      <c r="F18" s="940"/>
      <c r="G18" s="726">
        <v>6.9408456534552225E-5</v>
      </c>
      <c r="H18" s="709">
        <v>0.49347629923990044</v>
      </c>
      <c r="I18"/>
      <c r="J18" s="797">
        <v>4.0959746717336751E-2</v>
      </c>
      <c r="K18" s="924">
        <v>4.0959746717336751E-2</v>
      </c>
      <c r="L18" s="925">
        <v>4.0959746717336751E-2</v>
      </c>
      <c r="M18" s="711">
        <v>-4.5201841254168137E-4</v>
      </c>
      <c r="N18" s="712">
        <v>-4.8326365779149754E-4</v>
      </c>
      <c r="O18" s="713">
        <v>-5.2154398638412994E-4</v>
      </c>
      <c r="P18" s="602"/>
      <c r="Q18" s="126">
        <v>3</v>
      </c>
      <c r="R18" s="814">
        <f t="shared" si="5"/>
        <v>1.2267372902220557</v>
      </c>
      <c r="X18" s="602"/>
      <c r="Y18" s="123">
        <v>40</v>
      </c>
      <c r="Z18" s="815">
        <f t="shared" si="4"/>
        <v>1.0810881190663835</v>
      </c>
      <c r="AG18" s="851">
        <v>84</v>
      </c>
      <c r="AH18" s="844"/>
      <c r="AI18" s="845"/>
      <c r="AJ18" s="845"/>
      <c r="AK18" s="845"/>
      <c r="AL18" s="845"/>
      <c r="AM18" s="845"/>
      <c r="AN18" s="845"/>
      <c r="AO18" s="845"/>
      <c r="AP18" s="845"/>
      <c r="AQ18" s="845"/>
      <c r="AR18" s="845"/>
      <c r="AS18" s="845"/>
      <c r="AT18" s="845"/>
      <c r="AU18" s="845"/>
      <c r="AV18" s="845"/>
      <c r="AW18" s="845"/>
      <c r="AX18" s="845"/>
      <c r="AY18" s="845"/>
      <c r="AZ18" s="845"/>
      <c r="BA18" s="845"/>
      <c r="BB18" s="845"/>
      <c r="BC18" s="845"/>
      <c r="BD18" s="845"/>
      <c r="BE18" s="845"/>
      <c r="BF18" s="845"/>
      <c r="BG18" s="845"/>
      <c r="BH18" s="845"/>
      <c r="BI18" s="845"/>
      <c r="BJ18" s="845"/>
      <c r="BK18" s="845"/>
      <c r="BL18" s="845"/>
      <c r="BM18" s="845"/>
      <c r="BN18" s="845"/>
      <c r="BO18" s="845"/>
      <c r="BP18" s="845"/>
      <c r="BQ18" s="845"/>
      <c r="BR18" s="845"/>
      <c r="BS18" s="845"/>
      <c r="BT18" s="845"/>
      <c r="BU18" s="845"/>
      <c r="BV18" s="845"/>
      <c r="BW18" s="845"/>
      <c r="BX18" s="845"/>
      <c r="BY18" s="845"/>
      <c r="BZ18" s="845"/>
      <c r="CA18" s="845"/>
      <c r="CB18" s="845"/>
      <c r="CC18" s="845"/>
      <c r="CD18" s="845"/>
      <c r="CE18" s="845"/>
      <c r="CF18" s="845"/>
      <c r="CG18" s="845"/>
      <c r="CH18" s="845"/>
      <c r="CI18" s="845"/>
      <c r="CJ18" s="845"/>
      <c r="CK18" s="845"/>
      <c r="CL18" s="845"/>
      <c r="CM18" s="845"/>
      <c r="CN18" s="845"/>
      <c r="CO18" s="845"/>
      <c r="CP18" s="845"/>
      <c r="CQ18" s="845"/>
      <c r="CR18" s="845"/>
      <c r="CS18" s="845"/>
      <c r="CT18" s="845"/>
      <c r="CU18" s="845"/>
      <c r="CV18" s="845"/>
      <c r="CW18" s="845"/>
      <c r="CX18" s="845"/>
      <c r="CY18" s="845"/>
      <c r="CZ18" s="845"/>
      <c r="DA18" s="845"/>
      <c r="DB18" s="845"/>
      <c r="DC18" s="845"/>
      <c r="DD18" s="845"/>
      <c r="DE18" s="845"/>
      <c r="DF18" s="845"/>
      <c r="DG18" s="845"/>
      <c r="DH18" s="845"/>
      <c r="DI18" s="845"/>
      <c r="DJ18" s="845"/>
      <c r="DK18" s="845"/>
      <c r="DL18" s="845"/>
      <c r="DM18" s="845"/>
      <c r="DN18" s="845"/>
      <c r="DO18" s="845"/>
      <c r="DP18" s="845"/>
      <c r="DQ18" s="845"/>
      <c r="DR18" s="845"/>
      <c r="DS18" s="845"/>
      <c r="DT18" s="845"/>
      <c r="DU18" s="845"/>
      <c r="DV18" s="845"/>
      <c r="DW18" s="845"/>
      <c r="DX18" s="845"/>
      <c r="DY18" s="845"/>
      <c r="DZ18" s="845"/>
      <c r="EA18" s="845"/>
      <c r="EB18" s="845"/>
      <c r="EC18" s="845"/>
      <c r="ED18" s="846"/>
    </row>
    <row r="19" spans="1:134" ht="12.75" customHeight="1" thickBot="1" x14ac:dyDescent="0.3">
      <c r="A19" s="5">
        <v>125</v>
      </c>
      <c r="B19" s="6">
        <v>206</v>
      </c>
      <c r="C19" s="6">
        <v>317</v>
      </c>
      <c r="D19" s="6"/>
      <c r="E19" s="782">
        <v>0</v>
      </c>
      <c r="F19" s="940"/>
      <c r="G19" s="727">
        <v>6.9408456534552225E-5</v>
      </c>
      <c r="H19" s="710">
        <v>0.49347629923990044</v>
      </c>
      <c r="I19"/>
      <c r="J19" s="926">
        <v>2.1135971656101076E-2</v>
      </c>
      <c r="K19" s="927">
        <v>2.1135971656101076E-2</v>
      </c>
      <c r="L19" s="928">
        <v>2.1135971656101076E-2</v>
      </c>
      <c r="M19" s="714">
        <v>-2.9702584431022191E-4</v>
      </c>
      <c r="N19" s="715">
        <v>-3.1833367041472381E-4</v>
      </c>
      <c r="O19" s="716">
        <v>-4.0424709832466389E-4</v>
      </c>
      <c r="P19" s="602"/>
      <c r="Q19" s="123">
        <v>4</v>
      </c>
      <c r="R19" s="814">
        <f t="shared" si="5"/>
        <v>1.2941720277185984</v>
      </c>
      <c r="X19" s="602"/>
      <c r="Y19" s="124">
        <v>50</v>
      </c>
      <c r="Z19" s="818">
        <f t="shared" si="4"/>
        <v>1.0861989580546088</v>
      </c>
      <c r="AG19" s="851">
        <v>83</v>
      </c>
      <c r="AH19" s="844"/>
      <c r="AI19" s="845"/>
      <c r="AJ19" s="845"/>
      <c r="AK19" s="845"/>
      <c r="AL19" s="845"/>
      <c r="AM19" s="845"/>
      <c r="AN19" s="845"/>
      <c r="AO19" s="845"/>
      <c r="AP19" s="845"/>
      <c r="AQ19" s="845"/>
      <c r="AR19" s="845"/>
      <c r="AS19" s="845"/>
      <c r="AT19" s="845"/>
      <c r="AU19" s="845"/>
      <c r="AV19" s="845"/>
      <c r="AW19" s="845"/>
      <c r="AX19" s="845"/>
      <c r="AY19" s="845"/>
      <c r="AZ19" s="845"/>
      <c r="BA19" s="845"/>
      <c r="BB19" s="845"/>
      <c r="BC19" s="845"/>
      <c r="BD19" s="845"/>
      <c r="BE19" s="845"/>
      <c r="BF19" s="845"/>
      <c r="BG19" s="845"/>
      <c r="BH19" s="845"/>
      <c r="BI19" s="845"/>
      <c r="BJ19" s="845"/>
      <c r="BK19" s="845"/>
      <c r="BL19" s="845"/>
      <c r="BM19" s="845"/>
      <c r="BN19" s="845"/>
      <c r="BO19" s="845"/>
      <c r="BP19" s="845"/>
      <c r="BQ19" s="845"/>
      <c r="BR19" s="845"/>
      <c r="BS19" s="845"/>
      <c r="BT19" s="845"/>
      <c r="BU19" s="845"/>
      <c r="BV19" s="845"/>
      <c r="BW19" s="845"/>
      <c r="BX19" s="845"/>
      <c r="BY19" s="845"/>
      <c r="BZ19" s="845"/>
      <c r="CA19" s="845"/>
      <c r="CB19" s="845"/>
      <c r="CC19" s="845"/>
      <c r="CD19" s="845"/>
      <c r="CE19" s="845"/>
      <c r="CF19" s="845"/>
      <c r="CG19" s="845"/>
      <c r="CH19" s="845"/>
      <c r="CI19" s="845"/>
      <c r="CJ19" s="845"/>
      <c r="CK19" s="845"/>
      <c r="CL19" s="845"/>
      <c r="CM19" s="845"/>
      <c r="CN19" s="845"/>
      <c r="CO19" s="845"/>
      <c r="CP19" s="845"/>
      <c r="CQ19" s="845"/>
      <c r="CR19" s="845"/>
      <c r="CS19" s="845"/>
      <c r="CT19" s="845"/>
      <c r="CU19" s="845"/>
      <c r="CV19" s="845"/>
      <c r="CW19" s="845"/>
      <c r="CX19" s="845"/>
      <c r="CY19" s="845"/>
      <c r="CZ19" s="845"/>
      <c r="DA19" s="845"/>
      <c r="DB19" s="845"/>
      <c r="DC19" s="845"/>
      <c r="DD19" s="845"/>
      <c r="DE19" s="845"/>
      <c r="DF19" s="845"/>
      <c r="DG19" s="845"/>
      <c r="DH19" s="845"/>
      <c r="DI19" s="845"/>
      <c r="DJ19" s="845"/>
      <c r="DK19" s="845"/>
      <c r="DL19" s="845"/>
      <c r="DM19" s="845"/>
      <c r="DN19" s="845"/>
      <c r="DO19" s="845"/>
      <c r="DP19" s="845"/>
      <c r="DQ19" s="845"/>
      <c r="DR19" s="845"/>
      <c r="DS19" s="845"/>
      <c r="DT19" s="845"/>
      <c r="DU19" s="845"/>
      <c r="DV19" s="845"/>
      <c r="DW19" s="845"/>
      <c r="DX19" s="845"/>
      <c r="DY19" s="845"/>
      <c r="DZ19" s="845"/>
      <c r="EA19" s="845"/>
      <c r="EB19" s="845"/>
      <c r="EC19" s="845"/>
      <c r="ED19" s="846"/>
    </row>
    <row r="20" spans="1:134" ht="12.75" customHeight="1" thickBot="1" x14ac:dyDescent="0.3">
      <c r="A20" s="5">
        <v>125</v>
      </c>
      <c r="B20" s="6">
        <v>205</v>
      </c>
      <c r="C20" s="6">
        <v>315</v>
      </c>
      <c r="D20" s="6"/>
      <c r="E20" s="782">
        <v>0</v>
      </c>
      <c r="F20" s="940"/>
      <c r="G20"/>
      <c r="H20"/>
      <c r="I20"/>
      <c r="K20" s="602"/>
      <c r="L20" s="602"/>
      <c r="M20"/>
      <c r="N20"/>
      <c r="O20"/>
      <c r="P20" s="602"/>
      <c r="Q20" s="126">
        <v>5</v>
      </c>
      <c r="R20" s="814">
        <f t="shared" si="5"/>
        <v>1.3490209547060543</v>
      </c>
      <c r="X20" s="602"/>
      <c r="AG20" s="851">
        <v>82</v>
      </c>
      <c r="AH20" s="844"/>
      <c r="AI20" s="845"/>
      <c r="AJ20" s="845"/>
      <c r="AK20" s="845"/>
      <c r="AL20" s="845"/>
      <c r="AM20" s="845"/>
      <c r="AN20" s="845"/>
      <c r="AO20" s="845"/>
      <c r="AP20" s="845"/>
      <c r="AQ20" s="845"/>
      <c r="AR20" s="845"/>
      <c r="AS20" s="845"/>
      <c r="AT20" s="845"/>
      <c r="AU20" s="845"/>
      <c r="AV20" s="845"/>
      <c r="AW20" s="845"/>
      <c r="AX20" s="845"/>
      <c r="AY20" s="845"/>
      <c r="AZ20" s="845"/>
      <c r="BA20" s="845"/>
      <c r="BB20" s="845"/>
      <c r="BC20" s="845"/>
      <c r="BD20" s="845"/>
      <c r="BE20" s="845"/>
      <c r="BF20" s="845"/>
      <c r="BG20" s="845"/>
      <c r="BH20" s="845"/>
      <c r="BI20" s="845"/>
      <c r="BJ20" s="845"/>
      <c r="BK20" s="845"/>
      <c r="BL20" s="845"/>
      <c r="BM20" s="845"/>
      <c r="BN20" s="845"/>
      <c r="BO20" s="845"/>
      <c r="BP20" s="845"/>
      <c r="BQ20" s="845"/>
      <c r="BR20" s="845"/>
      <c r="BS20" s="845"/>
      <c r="BT20" s="845"/>
      <c r="BU20" s="845"/>
      <c r="BV20" s="845"/>
      <c r="BW20" s="845"/>
      <c r="BX20" s="845"/>
      <c r="BY20" s="845"/>
      <c r="BZ20" s="845"/>
      <c r="CA20" s="845"/>
      <c r="CB20" s="845"/>
      <c r="CC20" s="845"/>
      <c r="CD20" s="845"/>
      <c r="CE20" s="845"/>
      <c r="CF20" s="845"/>
      <c r="CG20" s="845"/>
      <c r="CH20" s="845"/>
      <c r="CI20" s="845"/>
      <c r="CJ20" s="845"/>
      <c r="CK20" s="845"/>
      <c r="CL20" s="845"/>
      <c r="CM20" s="845"/>
      <c r="CN20" s="845"/>
      <c r="CO20" s="845"/>
      <c r="CP20" s="845"/>
      <c r="CQ20" s="845"/>
      <c r="CR20" s="845"/>
      <c r="CS20" s="845"/>
      <c r="CT20" s="845"/>
      <c r="CU20" s="845"/>
      <c r="CV20" s="845"/>
      <c r="CW20" s="845"/>
      <c r="CX20" s="845"/>
      <c r="CY20" s="845"/>
      <c r="CZ20" s="845"/>
      <c r="DA20" s="845"/>
      <c r="DB20" s="845"/>
      <c r="DC20" s="845"/>
      <c r="DD20" s="845"/>
      <c r="DE20" s="845"/>
      <c r="DF20" s="845"/>
      <c r="DG20" s="845"/>
      <c r="DH20" s="845"/>
      <c r="DI20" s="845"/>
      <c r="DJ20" s="845"/>
      <c r="DK20" s="845"/>
      <c r="DL20" s="845"/>
      <c r="DM20" s="845"/>
      <c r="DN20" s="845"/>
      <c r="DO20" s="845"/>
      <c r="DP20" s="845"/>
      <c r="DQ20" s="845"/>
      <c r="DR20" s="845"/>
      <c r="DS20" s="845"/>
      <c r="DT20" s="845"/>
      <c r="DU20" s="845"/>
      <c r="DV20" s="845"/>
      <c r="DW20" s="845"/>
      <c r="DX20" s="845"/>
      <c r="DY20" s="845"/>
      <c r="DZ20" s="845"/>
      <c r="EA20" s="845"/>
      <c r="EB20" s="845"/>
      <c r="EC20" s="845"/>
      <c r="ED20" s="846"/>
    </row>
    <row r="21" spans="1:134" ht="12.75" customHeight="1" x14ac:dyDescent="0.25">
      <c r="A21" s="5">
        <v>126</v>
      </c>
      <c r="B21" s="6">
        <v>207</v>
      </c>
      <c r="C21" s="6">
        <v>318</v>
      </c>
      <c r="D21" s="775">
        <v>0</v>
      </c>
      <c r="E21" s="783">
        <v>0.1</v>
      </c>
      <c r="F21" s="940"/>
      <c r="G21" s="723" t="s">
        <v>514</v>
      </c>
      <c r="H21" s="724"/>
      <c r="I21" s="704"/>
      <c r="J21" s="704"/>
      <c r="K21"/>
      <c r="L21" s="717" t="s">
        <v>511</v>
      </c>
      <c r="M21" s="718"/>
      <c r="N21" s="718"/>
      <c r="O21" s="719"/>
      <c r="P21" s="602"/>
      <c r="Q21" s="123">
        <v>6</v>
      </c>
      <c r="R21" s="814">
        <f t="shared" si="5"/>
        <v>1.3955569743077283</v>
      </c>
      <c r="X21" s="602"/>
      <c r="Y21" s="1080" t="str">
        <f>Lang!$A$74</f>
        <v>Prices</v>
      </c>
      <c r="Z21" s="1103"/>
      <c r="AG21" s="851">
        <v>81</v>
      </c>
      <c r="AH21" s="844"/>
      <c r="AI21" s="845"/>
      <c r="AJ21" s="845"/>
      <c r="AK21" s="845"/>
      <c r="AL21" s="845"/>
      <c r="AM21" s="845"/>
      <c r="AN21" s="845"/>
      <c r="AO21" s="845"/>
      <c r="AP21" s="845"/>
      <c r="AQ21" s="845"/>
      <c r="AR21" s="845"/>
      <c r="AS21" s="845"/>
      <c r="AT21" s="845"/>
      <c r="AU21" s="845"/>
      <c r="AV21" s="845"/>
      <c r="AW21" s="845"/>
      <c r="AX21" s="845"/>
      <c r="AY21" s="845"/>
      <c r="AZ21" s="845"/>
      <c r="BA21" s="845"/>
      <c r="BB21" s="845"/>
      <c r="BC21" s="845"/>
      <c r="BD21" s="845"/>
      <c r="BE21" s="845"/>
      <c r="BF21" s="845"/>
      <c r="BG21" s="845"/>
      <c r="BH21" s="845"/>
      <c r="BI21" s="845"/>
      <c r="BJ21" s="845"/>
      <c r="BK21" s="845"/>
      <c r="BL21" s="845"/>
      <c r="BM21" s="845"/>
      <c r="BN21" s="845"/>
      <c r="BO21" s="845"/>
      <c r="BP21" s="845"/>
      <c r="BQ21" s="845"/>
      <c r="BR21" s="845"/>
      <c r="BS21" s="845"/>
      <c r="BT21" s="845"/>
      <c r="BU21" s="845"/>
      <c r="BV21" s="845"/>
      <c r="BW21" s="845"/>
      <c r="BX21" s="845"/>
      <c r="BY21" s="845"/>
      <c r="BZ21" s="845"/>
      <c r="CA21" s="845"/>
      <c r="CB21" s="845"/>
      <c r="CC21" s="845"/>
      <c r="CD21" s="845"/>
      <c r="CE21" s="845"/>
      <c r="CF21" s="845"/>
      <c r="CG21" s="845"/>
      <c r="CH21" s="845"/>
      <c r="CI21" s="845"/>
      <c r="CJ21" s="845"/>
      <c r="CK21" s="845"/>
      <c r="CL21" s="845"/>
      <c r="CM21" s="845"/>
      <c r="CN21" s="845"/>
      <c r="CO21" s="845"/>
      <c r="CP21" s="845"/>
      <c r="CQ21" s="845"/>
      <c r="CR21" s="845"/>
      <c r="CS21" s="845"/>
      <c r="CT21" s="845"/>
      <c r="CU21" s="845"/>
      <c r="CV21" s="845"/>
      <c r="CW21" s="845"/>
      <c r="CX21" s="845"/>
      <c r="CY21" s="845"/>
      <c r="CZ21" s="845"/>
      <c r="DA21" s="845"/>
      <c r="DB21" s="845"/>
      <c r="DC21" s="845"/>
      <c r="DD21" s="845"/>
      <c r="DE21" s="845"/>
      <c r="DF21" s="845"/>
      <c r="DG21" s="845"/>
      <c r="DH21" s="845"/>
      <c r="DI21" s="845"/>
      <c r="DJ21" s="845"/>
      <c r="DK21" s="845"/>
      <c r="DL21" s="845"/>
      <c r="DM21" s="845"/>
      <c r="DN21" s="845"/>
      <c r="DO21" s="845"/>
      <c r="DP21" s="845"/>
      <c r="DQ21" s="845"/>
      <c r="DR21" s="845"/>
      <c r="DS21" s="845"/>
      <c r="DT21" s="845"/>
      <c r="DU21" s="845"/>
      <c r="DV21" s="845"/>
      <c r="DW21" s="845"/>
      <c r="DX21" s="845"/>
      <c r="DY21" s="845"/>
      <c r="DZ21" s="845"/>
      <c r="EA21" s="845"/>
      <c r="EB21" s="845"/>
      <c r="EC21" s="845"/>
      <c r="ED21" s="846"/>
    </row>
    <row r="22" spans="1:134" ht="12.75" customHeight="1" thickBot="1" x14ac:dyDescent="0.3">
      <c r="A22" s="5">
        <v>125</v>
      </c>
      <c r="B22" s="6">
        <v>205</v>
      </c>
      <c r="C22" s="6">
        <v>315</v>
      </c>
      <c r="D22" s="775">
        <v>39909</v>
      </c>
      <c r="E22" s="783">
        <v>0</v>
      </c>
      <c r="F22" s="940"/>
      <c r="G22" s="926">
        <v>9.7026436440377367E-3</v>
      </c>
      <c r="H22" s="929">
        <v>0.46149364622978811</v>
      </c>
      <c r="I22" s="704"/>
      <c r="J22" s="704"/>
      <c r="K22"/>
      <c r="L22" s="746">
        <v>3.1717278086536597E-3</v>
      </c>
      <c r="M22" s="721">
        <v>3.1717278086536597E-3</v>
      </c>
      <c r="N22" s="800">
        <v>3.1717278086536597E-3</v>
      </c>
      <c r="O22" s="798">
        <v>0.25940724688864897</v>
      </c>
      <c r="P22" s="602"/>
      <c r="Q22" s="126">
        <v>7</v>
      </c>
      <c r="R22" s="814">
        <f t="shared" si="5"/>
        <v>1.436152830379446</v>
      </c>
      <c r="X22" s="602"/>
      <c r="Y22" s="126">
        <v>240</v>
      </c>
      <c r="Z22" s="814">
        <f t="shared" ref="Z22:Z27" si="6">J$12/Y22-J$12/Y$27</f>
        <v>1.0699699026145963</v>
      </c>
      <c r="AG22" s="851">
        <v>80</v>
      </c>
      <c r="AH22" s="844"/>
      <c r="AI22" s="845"/>
      <c r="AJ22" s="845"/>
      <c r="AK22" s="845"/>
      <c r="AL22" s="845"/>
      <c r="AM22" s="845"/>
      <c r="AN22" s="845"/>
      <c r="AO22" s="845"/>
      <c r="AP22" s="845"/>
      <c r="AQ22" s="845"/>
      <c r="AR22" s="845"/>
      <c r="AS22" s="845"/>
      <c r="AT22" s="845"/>
      <c r="AU22" s="845"/>
      <c r="AV22" s="845"/>
      <c r="AW22" s="845"/>
      <c r="AX22" s="845"/>
      <c r="AY22" s="845"/>
      <c r="AZ22" s="845"/>
      <c r="BA22" s="845"/>
      <c r="BB22" s="845"/>
      <c r="BC22" s="845"/>
      <c r="BD22" s="845"/>
      <c r="BE22" s="845"/>
      <c r="BF22" s="845"/>
      <c r="BG22" s="845"/>
      <c r="BH22" s="845"/>
      <c r="BI22" s="845"/>
      <c r="BJ22" s="845"/>
      <c r="BK22" s="845"/>
      <c r="BL22" s="845"/>
      <c r="BM22" s="845"/>
      <c r="BN22" s="845"/>
      <c r="BO22" s="845"/>
      <c r="BP22" s="845"/>
      <c r="BQ22" s="845"/>
      <c r="BR22" s="845"/>
      <c r="BS22" s="845"/>
      <c r="BT22" s="845"/>
      <c r="BU22" s="845"/>
      <c r="BV22" s="845"/>
      <c r="BW22" s="845"/>
      <c r="BX22" s="845"/>
      <c r="BY22" s="845"/>
      <c r="BZ22" s="845"/>
      <c r="CA22" s="845"/>
      <c r="CB22" s="845"/>
      <c r="CC22" s="845"/>
      <c r="CD22" s="845"/>
      <c r="CE22" s="845"/>
      <c r="CF22" s="845"/>
      <c r="CG22" s="845"/>
      <c r="CH22" s="845"/>
      <c r="CI22" s="845"/>
      <c r="CJ22" s="845"/>
      <c r="CK22" s="845"/>
      <c r="CL22" s="845"/>
      <c r="CM22" s="845"/>
      <c r="CN22" s="845"/>
      <c r="CO22" s="845"/>
      <c r="CP22" s="845"/>
      <c r="CQ22" s="845"/>
      <c r="CR22" s="845"/>
      <c r="CS22" s="845"/>
      <c r="CT22" s="845"/>
      <c r="CU22" s="845"/>
      <c r="CV22" s="845"/>
      <c r="CW22" s="845"/>
      <c r="CX22" s="845"/>
      <c r="CY22" s="845"/>
      <c r="CZ22" s="845"/>
      <c r="DA22" s="845"/>
      <c r="DB22" s="845"/>
      <c r="DC22" s="845"/>
      <c r="DD22" s="845"/>
      <c r="DE22" s="845"/>
      <c r="DF22" s="845"/>
      <c r="DG22" s="845"/>
      <c r="DH22" s="845"/>
      <c r="DI22" s="845"/>
      <c r="DJ22" s="845"/>
      <c r="DK22" s="845"/>
      <c r="DL22" s="845"/>
      <c r="DM22" s="845"/>
      <c r="DN22" s="845"/>
      <c r="DO22" s="845"/>
      <c r="DP22" s="845"/>
      <c r="DQ22" s="845"/>
      <c r="DR22" s="845"/>
      <c r="DS22" s="845"/>
      <c r="DT22" s="845"/>
      <c r="DU22" s="845"/>
      <c r="DV22" s="845"/>
      <c r="DW22" s="845"/>
      <c r="DX22" s="845"/>
      <c r="DY22" s="845"/>
      <c r="DZ22" s="845"/>
      <c r="EA22" s="845"/>
      <c r="EB22" s="845"/>
      <c r="EC22" s="845"/>
      <c r="ED22" s="846"/>
    </row>
    <row r="23" spans="1:134" ht="12.75" customHeight="1" thickBot="1" x14ac:dyDescent="0.3">
      <c r="A23" s="5">
        <v>125</v>
      </c>
      <c r="B23" s="6">
        <v>206</v>
      </c>
      <c r="C23" s="6">
        <v>317</v>
      </c>
      <c r="D23" s="775">
        <v>41728</v>
      </c>
      <c r="E23" s="783">
        <v>0</v>
      </c>
      <c r="F23" s="940"/>
      <c r="G23"/>
      <c r="H23"/>
      <c r="I23"/>
      <c r="J23"/>
      <c r="K23"/>
      <c r="L23" s="746">
        <v>3.1717278086536597E-3</v>
      </c>
      <c r="M23" s="721">
        <v>3.1717278086536597E-3</v>
      </c>
      <c r="N23" s="721">
        <v>3.1717278086536597E-3</v>
      </c>
      <c r="O23" s="709">
        <v>0.25940724688864897</v>
      </c>
      <c r="P23" s="602"/>
      <c r="Q23" s="123">
        <v>8</v>
      </c>
      <c r="R23" s="814">
        <f t="shared" si="5"/>
        <v>1.472271865893747</v>
      </c>
      <c r="X23" s="602"/>
      <c r="Y23" s="123">
        <v>260</v>
      </c>
      <c r="Z23" s="815">
        <f t="shared" si="6"/>
        <v>0.79013162039231721</v>
      </c>
      <c r="AG23" s="851">
        <v>79</v>
      </c>
      <c r="AH23" s="844"/>
      <c r="AI23" s="845"/>
      <c r="AJ23" s="845"/>
      <c r="AK23" s="845"/>
      <c r="AL23" s="845"/>
      <c r="AM23" s="845"/>
      <c r="AN23" s="845"/>
      <c r="AO23" s="845"/>
      <c r="AP23" s="845"/>
      <c r="AQ23" s="845"/>
      <c r="AR23" s="845"/>
      <c r="AS23" s="845"/>
      <c r="AT23" s="845"/>
      <c r="AU23" s="845"/>
      <c r="AV23" s="845"/>
      <c r="AW23" s="845"/>
      <c r="AX23" s="845"/>
      <c r="AY23" s="845"/>
      <c r="AZ23" s="845"/>
      <c r="BA23" s="845"/>
      <c r="BB23" s="845"/>
      <c r="BC23" s="845"/>
      <c r="BD23" s="845"/>
      <c r="BE23" s="845"/>
      <c r="BF23" s="845"/>
      <c r="BG23" s="845"/>
      <c r="BH23" s="845"/>
      <c r="BI23" s="845"/>
      <c r="BJ23" s="845"/>
      <c r="BK23" s="845"/>
      <c r="BL23" s="845"/>
      <c r="BM23" s="845"/>
      <c r="BN23" s="845"/>
      <c r="BO23" s="845"/>
      <c r="BP23" s="845"/>
      <c r="BQ23" s="845"/>
      <c r="BR23" s="845"/>
      <c r="BS23" s="845"/>
      <c r="BT23" s="845"/>
      <c r="BU23" s="845"/>
      <c r="BV23" s="845"/>
      <c r="BW23" s="845"/>
      <c r="BX23" s="845"/>
      <c r="BY23" s="845"/>
      <c r="BZ23" s="845"/>
      <c r="CA23" s="845"/>
      <c r="CB23" s="845"/>
      <c r="CC23" s="845"/>
      <c r="CD23" s="845"/>
      <c r="CE23" s="845"/>
      <c r="CF23" s="845"/>
      <c r="CG23" s="845"/>
      <c r="CH23" s="845"/>
      <c r="CI23" s="845"/>
      <c r="CJ23" s="845"/>
      <c r="CK23" s="845"/>
      <c r="CL23" s="845"/>
      <c r="CM23" s="845"/>
      <c r="CN23" s="845"/>
      <c r="CO23" s="845"/>
      <c r="CP23" s="845"/>
      <c r="CQ23" s="845"/>
      <c r="CR23" s="845"/>
      <c r="CS23" s="845"/>
      <c r="CT23" s="845"/>
      <c r="CU23" s="845"/>
      <c r="CV23" s="845"/>
      <c r="CW23" s="845"/>
      <c r="CX23" s="845"/>
      <c r="CY23" s="845"/>
      <c r="CZ23" s="845"/>
      <c r="DA23" s="845"/>
      <c r="DB23" s="845"/>
      <c r="DC23" s="845"/>
      <c r="DD23" s="845"/>
      <c r="DE23" s="845"/>
      <c r="DF23" s="845"/>
      <c r="DG23" s="845"/>
      <c r="DH23" s="845"/>
      <c r="DI23" s="845"/>
      <c r="DJ23" s="845"/>
      <c r="DK23" s="845"/>
      <c r="DL23" s="845"/>
      <c r="DM23" s="845"/>
      <c r="DN23" s="845"/>
      <c r="DO23" s="845"/>
      <c r="DP23" s="845"/>
      <c r="DQ23" s="845"/>
      <c r="DR23" s="845"/>
      <c r="DS23" s="845"/>
      <c r="DT23" s="845"/>
      <c r="DU23" s="845"/>
      <c r="DV23" s="845"/>
      <c r="DW23" s="845"/>
      <c r="DX23" s="845"/>
      <c r="DY23" s="845"/>
      <c r="DZ23" s="845"/>
      <c r="EA23" s="845"/>
      <c r="EB23" s="845"/>
      <c r="EC23" s="845"/>
      <c r="ED23" s="846"/>
    </row>
    <row r="24" spans="1:134" ht="12.75" customHeight="1" thickBot="1" x14ac:dyDescent="0.3">
      <c r="A24" s="5">
        <v>125</v>
      </c>
      <c r="B24" s="6">
        <v>206</v>
      </c>
      <c r="C24" s="6">
        <v>317</v>
      </c>
      <c r="D24" s="775">
        <v>0</v>
      </c>
      <c r="E24" s="783">
        <v>0</v>
      </c>
      <c r="F24" s="940"/>
      <c r="G24" s="723" t="s">
        <v>495</v>
      </c>
      <c r="H24" s="724"/>
      <c r="I24"/>
      <c r="J24"/>
      <c r="K24"/>
      <c r="L24" s="747">
        <v>3.1717278086536597E-3</v>
      </c>
      <c r="M24" s="722">
        <v>3.1717278086536597E-3</v>
      </c>
      <c r="N24" s="722">
        <v>3.1717278086536597E-3</v>
      </c>
      <c r="O24" s="710">
        <v>0.25940724688864897</v>
      </c>
      <c r="P24" s="602"/>
      <c r="Q24" s="126">
        <v>9</v>
      </c>
      <c r="R24" s="814">
        <f t="shared" si="5"/>
        <v>1.5048843792213522</v>
      </c>
      <c r="X24" s="602"/>
      <c r="Y24" s="123">
        <v>280</v>
      </c>
      <c r="Z24" s="815">
        <f t="shared" si="6"/>
        <v>0.55027023563036392</v>
      </c>
      <c r="AG24" s="851">
        <v>78</v>
      </c>
      <c r="AH24" s="844"/>
      <c r="AI24" s="845"/>
      <c r="AJ24" s="845"/>
      <c r="AK24" s="845"/>
      <c r="AL24" s="845"/>
      <c r="AM24" s="845"/>
      <c r="AN24" s="845"/>
      <c r="AO24" s="845"/>
      <c r="AP24" s="845"/>
      <c r="AQ24" s="845"/>
      <c r="AR24" s="845"/>
      <c r="AS24" s="845"/>
      <c r="AT24" s="845"/>
      <c r="AU24" s="845"/>
      <c r="AV24" s="845"/>
      <c r="AW24" s="845"/>
      <c r="AX24" s="845"/>
      <c r="AY24" s="845"/>
      <c r="AZ24" s="845"/>
      <c r="BA24" s="845"/>
      <c r="BB24" s="845"/>
      <c r="BC24" s="845"/>
      <c r="BD24" s="845"/>
      <c r="BE24" s="845"/>
      <c r="BF24" s="845"/>
      <c r="BG24" s="845"/>
      <c r="BH24" s="845"/>
      <c r="BI24" s="845"/>
      <c r="BJ24" s="845"/>
      <c r="BK24" s="845"/>
      <c r="BL24" s="845"/>
      <c r="BM24" s="845"/>
      <c r="BN24" s="845"/>
      <c r="BO24" s="845"/>
      <c r="BP24" s="845"/>
      <c r="BQ24" s="845"/>
      <c r="BR24" s="845"/>
      <c r="BS24" s="845"/>
      <c r="BT24" s="845"/>
      <c r="BU24" s="845"/>
      <c r="BV24" s="845"/>
      <c r="BW24" s="845"/>
      <c r="BX24" s="845"/>
      <c r="BY24" s="845"/>
      <c r="BZ24" s="845"/>
      <c r="CA24" s="845"/>
      <c r="CB24" s="845"/>
      <c r="CC24" s="845"/>
      <c r="CD24" s="845"/>
      <c r="CE24" s="845"/>
      <c r="CF24" s="845"/>
      <c r="CG24" s="845"/>
      <c r="CH24" s="845"/>
      <c r="CI24" s="845"/>
      <c r="CJ24" s="845"/>
      <c r="CK24" s="845"/>
      <c r="CL24" s="845"/>
      <c r="CM24" s="845"/>
      <c r="CN24" s="845"/>
      <c r="CO24" s="845"/>
      <c r="CP24" s="845"/>
      <c r="CQ24" s="845"/>
      <c r="CR24" s="845"/>
      <c r="CS24" s="845"/>
      <c r="CT24" s="845"/>
      <c r="CU24" s="845"/>
      <c r="CV24" s="845"/>
      <c r="CW24" s="845"/>
      <c r="CX24" s="845"/>
      <c r="CY24" s="845"/>
      <c r="CZ24" s="845"/>
      <c r="DA24" s="845"/>
      <c r="DB24" s="845"/>
      <c r="DC24" s="845"/>
      <c r="DD24" s="845"/>
      <c r="DE24" s="845"/>
      <c r="DF24" s="845"/>
      <c r="DG24" s="845"/>
      <c r="DH24" s="845"/>
      <c r="DI24" s="845"/>
      <c r="DJ24" s="845"/>
      <c r="DK24" s="845"/>
      <c r="DL24" s="845"/>
      <c r="DM24" s="845"/>
      <c r="DN24" s="845"/>
      <c r="DO24" s="845"/>
      <c r="DP24" s="845"/>
      <c r="DQ24" s="845"/>
      <c r="DR24" s="845"/>
      <c r="DS24" s="845"/>
      <c r="DT24" s="845"/>
      <c r="DU24" s="845"/>
      <c r="DV24" s="845"/>
      <c r="DW24" s="845"/>
      <c r="DX24" s="845"/>
      <c r="DY24" s="845"/>
      <c r="DZ24" s="845"/>
      <c r="EA24" s="845"/>
      <c r="EB24" s="845"/>
      <c r="EC24" s="845"/>
      <c r="ED24" s="846"/>
    </row>
    <row r="25" spans="1:134" ht="12.75" customHeight="1" thickBot="1" x14ac:dyDescent="0.3">
      <c r="A25" s="9">
        <v>125</v>
      </c>
      <c r="B25" s="10">
        <v>205</v>
      </c>
      <c r="C25" s="10">
        <v>315</v>
      </c>
      <c r="D25" s="776">
        <v>0</v>
      </c>
      <c r="E25" s="784">
        <v>0.1</v>
      </c>
      <c r="F25" s="940"/>
      <c r="G25" s="769">
        <v>9.7026436440377367E-2</v>
      </c>
      <c r="H25" s="770">
        <v>0.46149364622978811</v>
      </c>
      <c r="I25"/>
      <c r="J25"/>
      <c r="K25"/>
      <c r="L25"/>
      <c r="M25"/>
      <c r="N25"/>
      <c r="O25"/>
      <c r="P25" s="602"/>
      <c r="Q25" s="123">
        <v>10</v>
      </c>
      <c r="R25" s="814">
        <f t="shared" si="5"/>
        <v>1.5346689277591963</v>
      </c>
      <c r="X25" s="602"/>
      <c r="Y25" s="123">
        <v>300</v>
      </c>
      <c r="Z25" s="815">
        <f t="shared" si="6"/>
        <v>0.34239036883667096</v>
      </c>
      <c r="AG25" s="851">
        <v>77</v>
      </c>
      <c r="AH25" s="844"/>
      <c r="AI25" s="845"/>
      <c r="AJ25" s="845"/>
      <c r="AK25" s="845"/>
      <c r="AL25" s="845"/>
      <c r="AM25" s="845"/>
      <c r="AN25" s="845"/>
      <c r="AO25" s="845"/>
      <c r="AP25" s="845"/>
      <c r="AQ25" s="845"/>
      <c r="AR25" s="845"/>
      <c r="AS25" s="845"/>
      <c r="AT25" s="845"/>
      <c r="AU25" s="845"/>
      <c r="AV25" s="845"/>
      <c r="AW25" s="845"/>
      <c r="AX25" s="845"/>
      <c r="AY25" s="845"/>
      <c r="AZ25" s="845"/>
      <c r="BA25" s="845"/>
      <c r="BB25" s="845"/>
      <c r="BC25" s="845"/>
      <c r="BD25" s="845"/>
      <c r="BE25" s="845"/>
      <c r="BF25" s="845"/>
      <c r="BG25" s="845"/>
      <c r="BH25" s="845"/>
      <c r="BI25" s="845"/>
      <c r="BJ25" s="845"/>
      <c r="BK25" s="845"/>
      <c r="BL25" s="845"/>
      <c r="BM25" s="845"/>
      <c r="BN25" s="845"/>
      <c r="BO25" s="845"/>
      <c r="BP25" s="845"/>
      <c r="BQ25" s="845"/>
      <c r="BR25" s="845"/>
      <c r="BS25" s="845"/>
      <c r="BT25" s="845"/>
      <c r="BU25" s="845"/>
      <c r="BV25" s="845"/>
      <c r="BW25" s="845"/>
      <c r="BX25" s="845"/>
      <c r="BY25" s="845"/>
      <c r="BZ25" s="845"/>
      <c r="CA25" s="845"/>
      <c r="CB25" s="845"/>
      <c r="CC25" s="845"/>
      <c r="CD25" s="845"/>
      <c r="CE25" s="845"/>
      <c r="CF25" s="845"/>
      <c r="CG25" s="845"/>
      <c r="CH25" s="845"/>
      <c r="CI25" s="845"/>
      <c r="CJ25" s="845"/>
      <c r="CK25" s="845"/>
      <c r="CL25" s="845"/>
      <c r="CM25" s="845"/>
      <c r="CN25" s="845"/>
      <c r="CO25" s="845"/>
      <c r="CP25" s="845"/>
      <c r="CQ25" s="845"/>
      <c r="CR25" s="845"/>
      <c r="CS25" s="845"/>
      <c r="CT25" s="845"/>
      <c r="CU25" s="845"/>
      <c r="CV25" s="845"/>
      <c r="CW25" s="845"/>
      <c r="CX25" s="845"/>
      <c r="CY25" s="845"/>
      <c r="CZ25" s="845"/>
      <c r="DA25" s="845"/>
      <c r="DB25" s="845"/>
      <c r="DC25" s="845"/>
      <c r="DD25" s="845"/>
      <c r="DE25" s="845"/>
      <c r="DF25" s="845"/>
      <c r="DG25" s="845"/>
      <c r="DH25" s="845"/>
      <c r="DI25" s="845"/>
      <c r="DJ25" s="845"/>
      <c r="DK25" s="845"/>
      <c r="DL25" s="845"/>
      <c r="DM25" s="845"/>
      <c r="DN25" s="845"/>
      <c r="DO25" s="845"/>
      <c r="DP25" s="845"/>
      <c r="DQ25" s="845"/>
      <c r="DR25" s="845"/>
      <c r="DS25" s="845"/>
      <c r="DT25" s="845"/>
      <c r="DU25" s="845"/>
      <c r="DV25" s="845"/>
      <c r="DW25" s="845"/>
      <c r="DX25" s="845"/>
      <c r="DY25" s="845"/>
      <c r="DZ25" s="845"/>
      <c r="EA25" s="845"/>
      <c r="EB25" s="845"/>
      <c r="EC25" s="845"/>
      <c r="ED25" s="846"/>
    </row>
    <row r="26" spans="1:134" ht="12.75" customHeight="1" thickBot="1" x14ac:dyDescent="0.3">
      <c r="E26" s="940"/>
      <c r="F26" s="940"/>
      <c r="G26"/>
      <c r="H26"/>
      <c r="I26"/>
      <c r="J26"/>
      <c r="K26"/>
      <c r="L26"/>
      <c r="M26" s="705" t="s">
        <v>64</v>
      </c>
      <c r="N26" s="707"/>
      <c r="O26" s="706"/>
      <c r="P26" s="602"/>
      <c r="Q26" s="126">
        <v>11</v>
      </c>
      <c r="R26" s="814">
        <f t="shared" si="5"/>
        <v>1.5621198390975739</v>
      </c>
      <c r="X26" s="602"/>
      <c r="Y26" s="123">
        <v>320</v>
      </c>
      <c r="Z26" s="815">
        <f t="shared" si="6"/>
        <v>0.16049548539218961</v>
      </c>
      <c r="AG26" s="851">
        <v>76</v>
      </c>
      <c r="AH26" s="844"/>
      <c r="AI26" s="845"/>
      <c r="AJ26" s="845"/>
      <c r="AK26" s="845"/>
      <c r="AL26" s="845"/>
      <c r="AM26" s="845"/>
      <c r="AN26" s="845"/>
      <c r="AO26" s="845"/>
      <c r="AP26" s="845"/>
      <c r="AQ26" s="845"/>
      <c r="AR26" s="845"/>
      <c r="AS26" s="845"/>
      <c r="AT26" s="845"/>
      <c r="AU26" s="845"/>
      <c r="AV26" s="845"/>
      <c r="AW26" s="845"/>
      <c r="AX26" s="845"/>
      <c r="AY26" s="845"/>
      <c r="AZ26" s="845"/>
      <c r="BA26" s="845"/>
      <c r="BB26" s="845"/>
      <c r="BC26" s="845"/>
      <c r="BD26" s="845"/>
      <c r="BE26" s="845"/>
      <c r="BF26" s="845"/>
      <c r="BG26" s="845"/>
      <c r="BH26" s="845"/>
      <c r="BI26" s="845"/>
      <c r="BJ26" s="845"/>
      <c r="BK26" s="845"/>
      <c r="BL26" s="845"/>
      <c r="BM26" s="845"/>
      <c r="BN26" s="845"/>
      <c r="BO26" s="845"/>
      <c r="BP26" s="845"/>
      <c r="BQ26" s="845"/>
      <c r="BR26" s="845"/>
      <c r="BS26" s="845"/>
      <c r="BT26" s="845"/>
      <c r="BU26" s="845"/>
      <c r="BV26" s="845"/>
      <c r="BW26" s="845"/>
      <c r="BX26" s="845"/>
      <c r="BY26" s="845"/>
      <c r="BZ26" s="845"/>
      <c r="CA26" s="845"/>
      <c r="CB26" s="845"/>
      <c r="CC26" s="845"/>
      <c r="CD26" s="845"/>
      <c r="CE26" s="845"/>
      <c r="CF26" s="845"/>
      <c r="CG26" s="845"/>
      <c r="CH26" s="845"/>
      <c r="CI26" s="845"/>
      <c r="CJ26" s="845"/>
      <c r="CK26" s="845"/>
      <c r="CL26" s="845"/>
      <c r="CM26" s="845"/>
      <c r="CN26" s="845"/>
      <c r="CO26" s="845"/>
      <c r="CP26" s="845"/>
      <c r="CQ26" s="845"/>
      <c r="CR26" s="845"/>
      <c r="CS26" s="845"/>
      <c r="CT26" s="845"/>
      <c r="CU26" s="845"/>
      <c r="CV26" s="845"/>
      <c r="CW26" s="845"/>
      <c r="CX26" s="845"/>
      <c r="CY26" s="845"/>
      <c r="CZ26" s="845"/>
      <c r="DA26" s="845"/>
      <c r="DB26" s="845"/>
      <c r="DC26" s="845"/>
      <c r="DD26" s="845"/>
      <c r="DE26" s="845"/>
      <c r="DF26" s="845"/>
      <c r="DG26" s="845"/>
      <c r="DH26" s="845"/>
      <c r="DI26" s="845"/>
      <c r="DJ26" s="845"/>
      <c r="DK26" s="845"/>
      <c r="DL26" s="845"/>
      <c r="DM26" s="845"/>
      <c r="DN26" s="845"/>
      <c r="DO26" s="845"/>
      <c r="DP26" s="845"/>
      <c r="DQ26" s="845"/>
      <c r="DR26" s="845"/>
      <c r="DS26" s="845"/>
      <c r="DT26" s="845"/>
      <c r="DU26" s="845"/>
      <c r="DV26" s="845"/>
      <c r="DW26" s="845"/>
      <c r="DX26" s="845"/>
      <c r="DY26" s="845"/>
      <c r="DZ26" s="845"/>
      <c r="EA26" s="845"/>
      <c r="EB26" s="845"/>
      <c r="EC26" s="845"/>
      <c r="ED26" s="846"/>
    </row>
    <row r="27" spans="1:134" ht="12.75" customHeight="1" thickBot="1" x14ac:dyDescent="0.3">
      <c r="A27" s="1069" t="s">
        <v>28</v>
      </c>
      <c r="B27" s="1165" t="s">
        <v>29</v>
      </c>
      <c r="C27" s="1193"/>
      <c r="E27" s="940"/>
      <c r="F27" s="940"/>
      <c r="G27" s="708" t="s">
        <v>681</v>
      </c>
      <c r="H27" s="1071">
        <v>-0.33935773973866407</v>
      </c>
      <c r="I27"/>
      <c r="J27"/>
      <c r="K27"/>
      <c r="L27"/>
      <c r="M27" s="728">
        <v>34.71304347826085</v>
      </c>
      <c r="N27" s="729">
        <v>43.682608695652164</v>
      </c>
      <c r="O27" s="730">
        <v>55.936956521739141</v>
      </c>
      <c r="P27" s="602"/>
      <c r="Q27" s="124">
        <v>12</v>
      </c>
      <c r="R27" s="819">
        <f t="shared" si="5"/>
        <v>1.5876090863646968</v>
      </c>
      <c r="X27" s="602"/>
      <c r="Y27" s="124">
        <v>340</v>
      </c>
      <c r="Z27" s="816">
        <f t="shared" si="6"/>
        <v>0</v>
      </c>
      <c r="AG27" s="851">
        <v>75</v>
      </c>
      <c r="AH27" s="844"/>
      <c r="AI27" s="845"/>
      <c r="AJ27" s="845"/>
      <c r="AK27" s="845"/>
      <c r="AL27" s="845"/>
      <c r="AM27" s="845"/>
      <c r="AN27" s="845"/>
      <c r="AO27" s="845"/>
      <c r="AP27" s="845"/>
      <c r="AQ27" s="845"/>
      <c r="AR27" s="845"/>
      <c r="AS27" s="845"/>
      <c r="AT27" s="845"/>
      <c r="AU27" s="845"/>
      <c r="AV27" s="845"/>
      <c r="AW27" s="845"/>
      <c r="AX27" s="845"/>
      <c r="AY27" s="845"/>
      <c r="AZ27" s="845"/>
      <c r="BA27" s="845"/>
      <c r="BB27" s="845"/>
      <c r="BC27" s="845"/>
      <c r="BD27" s="845"/>
      <c r="BE27" s="845"/>
      <c r="BF27" s="845"/>
      <c r="BG27" s="845"/>
      <c r="BH27" s="845"/>
      <c r="BI27" s="845"/>
      <c r="BJ27" s="845"/>
      <c r="BK27" s="845"/>
      <c r="BL27" s="845"/>
      <c r="BM27" s="845"/>
      <c r="BN27" s="845"/>
      <c r="BO27" s="845"/>
      <c r="BP27" s="845"/>
      <c r="BQ27" s="845"/>
      <c r="BR27" s="845"/>
      <c r="BS27" s="845"/>
      <c r="BT27" s="845"/>
      <c r="BU27" s="845"/>
      <c r="BV27" s="845"/>
      <c r="BW27" s="845"/>
      <c r="BX27" s="845"/>
      <c r="BY27" s="845"/>
      <c r="BZ27" s="845"/>
      <c r="CA27" s="845"/>
      <c r="CB27" s="845"/>
      <c r="CC27" s="845"/>
      <c r="CD27" s="845"/>
      <c r="CE27" s="845"/>
      <c r="CF27" s="845"/>
      <c r="CG27" s="845"/>
      <c r="CH27" s="845"/>
      <c r="CI27" s="845"/>
      <c r="CJ27" s="845"/>
      <c r="CK27" s="845"/>
      <c r="CL27" s="845"/>
      <c r="CM27" s="845"/>
      <c r="CN27" s="845"/>
      <c r="CO27" s="845"/>
      <c r="CP27" s="845"/>
      <c r="CQ27" s="845"/>
      <c r="CR27" s="845"/>
      <c r="CS27" s="845"/>
      <c r="CT27" s="845"/>
      <c r="CU27" s="845"/>
      <c r="CV27" s="845"/>
      <c r="CW27" s="845"/>
      <c r="CX27" s="845"/>
      <c r="CY27" s="845"/>
      <c r="CZ27" s="845"/>
      <c r="DA27" s="845"/>
      <c r="DB27" s="845"/>
      <c r="DC27" s="845"/>
      <c r="DD27" s="845"/>
      <c r="DE27" s="845"/>
      <c r="DF27" s="845"/>
      <c r="DG27" s="845"/>
      <c r="DH27" s="845"/>
      <c r="DI27" s="845"/>
      <c r="DJ27" s="845"/>
      <c r="DK27" s="845"/>
      <c r="DL27" s="845"/>
      <c r="DM27" s="845"/>
      <c r="DN27" s="845"/>
      <c r="DO27" s="845"/>
      <c r="DP27" s="845"/>
      <c r="DQ27" s="845"/>
      <c r="DR27" s="845"/>
      <c r="DS27" s="845"/>
      <c r="DT27" s="845"/>
      <c r="DU27" s="845"/>
      <c r="DV27" s="845"/>
      <c r="DW27" s="845"/>
      <c r="DX27" s="845"/>
      <c r="DY27" s="845"/>
      <c r="DZ27" s="845"/>
      <c r="EA27" s="845"/>
      <c r="EB27" s="845"/>
      <c r="EC27" s="845"/>
      <c r="ED27" s="846"/>
    </row>
    <row r="28" spans="1:134" ht="12.75" customHeight="1" thickBot="1" x14ac:dyDescent="0.3">
      <c r="A28" s="1060">
        <v>1</v>
      </c>
      <c r="B28" s="791">
        <v>28</v>
      </c>
      <c r="C28" s="792" t="s">
        <v>10</v>
      </c>
      <c r="D28" s="3">
        <v>150</v>
      </c>
      <c r="E28" s="940"/>
      <c r="F28" s="940"/>
      <c r="G28"/>
      <c r="H28"/>
      <c r="I28"/>
      <c r="J28"/>
      <c r="K28"/>
      <c r="L28"/>
      <c r="M28" s="731">
        <v>9.3847826086956516</v>
      </c>
      <c r="N28" s="732">
        <v>15.243478260869562</v>
      </c>
      <c r="O28" s="733">
        <v>21.464444444444446</v>
      </c>
      <c r="P28" s="602"/>
      <c r="X28" s="602"/>
      <c r="Y28" s="126">
        <v>240</v>
      </c>
      <c r="Z28" s="817">
        <f t="shared" ref="Z28:Z33" si="7">J$13/Y28-J$13/Y$33</f>
        <v>1.7014866523158192</v>
      </c>
      <c r="AG28" s="851">
        <v>74</v>
      </c>
      <c r="AH28" s="844"/>
      <c r="AI28" s="845"/>
      <c r="AJ28" s="845"/>
      <c r="AK28" s="845"/>
      <c r="AL28" s="845"/>
      <c r="AM28" s="845"/>
      <c r="AN28" s="845"/>
      <c r="AO28" s="845"/>
      <c r="AP28" s="845"/>
      <c r="AQ28" s="845"/>
      <c r="AR28" s="845"/>
      <c r="AS28" s="845"/>
      <c r="AT28" s="845"/>
      <c r="AU28" s="845"/>
      <c r="AV28" s="845"/>
      <c r="AW28" s="845"/>
      <c r="AX28" s="845"/>
      <c r="AY28" s="845"/>
      <c r="AZ28" s="845"/>
      <c r="BA28" s="845"/>
      <c r="BB28" s="845"/>
      <c r="BC28" s="845"/>
      <c r="BD28" s="845"/>
      <c r="BE28" s="845"/>
      <c r="BF28" s="845"/>
      <c r="BG28" s="845"/>
      <c r="BH28" s="845"/>
      <c r="BI28" s="845"/>
      <c r="BJ28" s="845"/>
      <c r="BK28" s="845"/>
      <c r="BL28" s="845"/>
      <c r="BM28" s="845"/>
      <c r="BN28" s="845"/>
      <c r="BO28" s="845"/>
      <c r="BP28" s="845"/>
      <c r="BQ28" s="845"/>
      <c r="BR28" s="845"/>
      <c r="BS28" s="845"/>
      <c r="BT28" s="845"/>
      <c r="BU28" s="845"/>
      <c r="BV28" s="845"/>
      <c r="BW28" s="845"/>
      <c r="BX28" s="845"/>
      <c r="BY28" s="845"/>
      <c r="BZ28" s="845"/>
      <c r="CA28" s="845"/>
      <c r="CB28" s="845"/>
      <c r="CC28" s="845"/>
      <c r="CD28" s="845"/>
      <c r="CE28" s="845"/>
      <c r="CF28" s="845"/>
      <c r="CG28" s="845"/>
      <c r="CH28" s="845"/>
      <c r="CI28" s="845"/>
      <c r="CJ28" s="845"/>
      <c r="CK28" s="845"/>
      <c r="CL28" s="845"/>
      <c r="CM28" s="845"/>
      <c r="CN28" s="845"/>
      <c r="CO28" s="845"/>
      <c r="CP28" s="845"/>
      <c r="CQ28" s="845"/>
      <c r="CR28" s="845"/>
      <c r="CS28" s="845"/>
      <c r="CT28" s="845"/>
      <c r="CU28" s="845"/>
      <c r="CV28" s="845"/>
      <c r="CW28" s="845"/>
      <c r="CX28" s="845"/>
      <c r="CY28" s="845"/>
      <c r="CZ28" s="845"/>
      <c r="DA28" s="845"/>
      <c r="DB28" s="845"/>
      <c r="DC28" s="845"/>
      <c r="DD28" s="845"/>
      <c r="DE28" s="845"/>
      <c r="DF28" s="845"/>
      <c r="DG28" s="845"/>
      <c r="DH28" s="845"/>
      <c r="DI28" s="845"/>
      <c r="DJ28" s="845"/>
      <c r="DK28" s="845"/>
      <c r="DL28" s="845"/>
      <c r="DM28" s="845"/>
      <c r="DN28" s="845"/>
      <c r="DO28" s="845"/>
      <c r="DP28" s="845"/>
      <c r="DQ28" s="845"/>
      <c r="DR28" s="845"/>
      <c r="DS28" s="845"/>
      <c r="DT28" s="845"/>
      <c r="DU28" s="845"/>
      <c r="DV28" s="845"/>
      <c r="DW28" s="845"/>
      <c r="DX28" s="845"/>
      <c r="DY28" s="845"/>
      <c r="DZ28" s="845"/>
      <c r="EA28" s="845"/>
      <c r="EB28" s="845"/>
      <c r="EC28" s="845"/>
      <c r="ED28" s="846"/>
    </row>
    <row r="29" spans="1:134" ht="12.75" customHeight="1" thickBot="1" x14ac:dyDescent="0.3">
      <c r="A29" s="1060">
        <v>1</v>
      </c>
      <c r="B29" s="793">
        <v>40</v>
      </c>
      <c r="C29" s="794" t="s">
        <v>11</v>
      </c>
      <c r="D29" s="3">
        <v>25</v>
      </c>
      <c r="E29" s="940"/>
      <c r="F29" s="940"/>
      <c r="G29" s="705" t="s">
        <v>400</v>
      </c>
      <c r="H29" s="707"/>
      <c r="I29" s="706"/>
      <c r="J29"/>
      <c r="K29"/>
      <c r="L29"/>
      <c r="M29" s="734">
        <v>28.841304347826082</v>
      </c>
      <c r="N29" s="735">
        <v>33.604347826086958</v>
      </c>
      <c r="O29" s="736">
        <v>47.715217391304328</v>
      </c>
      <c r="P29" s="602"/>
      <c r="Q29" s="1080" t="str">
        <f>Lang!$A$5</f>
        <v>A&amp;D - commission</v>
      </c>
      <c r="R29" s="1103"/>
      <c r="X29" s="602"/>
      <c r="Y29" s="123">
        <v>260</v>
      </c>
      <c r="Z29" s="815">
        <f t="shared" si="7"/>
        <v>1.2564824509409132</v>
      </c>
      <c r="AG29" s="851">
        <v>73</v>
      </c>
      <c r="AH29" s="844"/>
      <c r="AI29" s="845"/>
      <c r="AJ29" s="845"/>
      <c r="AK29" s="845"/>
      <c r="AL29" s="845"/>
      <c r="AM29" s="845"/>
      <c r="AN29" s="845"/>
      <c r="AO29" s="845"/>
      <c r="AP29" s="845"/>
      <c r="AQ29" s="845"/>
      <c r="AR29" s="845"/>
      <c r="AS29" s="845"/>
      <c r="AT29" s="845"/>
      <c r="AU29" s="845"/>
      <c r="AV29" s="845"/>
      <c r="AW29" s="845"/>
      <c r="AX29" s="845"/>
      <c r="AY29" s="845"/>
      <c r="AZ29" s="845"/>
      <c r="BA29" s="845"/>
      <c r="BB29" s="845"/>
      <c r="BC29" s="845"/>
      <c r="BD29" s="845"/>
      <c r="BE29" s="845"/>
      <c r="BF29" s="845"/>
      <c r="BG29" s="845"/>
      <c r="BH29" s="845"/>
      <c r="BI29" s="845"/>
      <c r="BJ29" s="845"/>
      <c r="BK29" s="845"/>
      <c r="BL29" s="845"/>
      <c r="BM29" s="845"/>
      <c r="BN29" s="845"/>
      <c r="BO29" s="845"/>
      <c r="BP29" s="845"/>
      <c r="BQ29" s="845"/>
      <c r="BR29" s="845"/>
      <c r="BS29" s="845"/>
      <c r="BT29" s="845"/>
      <c r="BU29" s="845"/>
      <c r="BV29" s="845"/>
      <c r="BW29" s="845"/>
      <c r="BX29" s="845"/>
      <c r="BY29" s="845"/>
      <c r="BZ29" s="845"/>
      <c r="CA29" s="845"/>
      <c r="CB29" s="845"/>
      <c r="CC29" s="845"/>
      <c r="CD29" s="845"/>
      <c r="CE29" s="845"/>
      <c r="CF29" s="845"/>
      <c r="CG29" s="845"/>
      <c r="CH29" s="845"/>
      <c r="CI29" s="845"/>
      <c r="CJ29" s="845"/>
      <c r="CK29" s="845"/>
      <c r="CL29" s="845"/>
      <c r="CM29" s="845"/>
      <c r="CN29" s="845"/>
      <c r="CO29" s="845"/>
      <c r="CP29" s="845"/>
      <c r="CQ29" s="845"/>
      <c r="CR29" s="845"/>
      <c r="CS29" s="845"/>
      <c r="CT29" s="845"/>
      <c r="CU29" s="845"/>
      <c r="CV29" s="845"/>
      <c r="CW29" s="845"/>
      <c r="CX29" s="845"/>
      <c r="CY29" s="845"/>
      <c r="CZ29" s="845"/>
      <c r="DA29" s="845"/>
      <c r="DB29" s="845"/>
      <c r="DC29" s="845"/>
      <c r="DD29" s="845"/>
      <c r="DE29" s="845"/>
      <c r="DF29" s="845"/>
      <c r="DG29" s="845"/>
      <c r="DH29" s="845"/>
      <c r="DI29" s="845"/>
      <c r="DJ29" s="845"/>
      <c r="DK29" s="845"/>
      <c r="DL29" s="845"/>
      <c r="DM29" s="845"/>
      <c r="DN29" s="845"/>
      <c r="DO29" s="845"/>
      <c r="DP29" s="845"/>
      <c r="DQ29" s="845"/>
      <c r="DR29" s="845"/>
      <c r="DS29" s="845"/>
      <c r="DT29" s="845"/>
      <c r="DU29" s="845"/>
      <c r="DV29" s="845"/>
      <c r="DW29" s="845"/>
      <c r="DX29" s="845"/>
      <c r="DY29" s="845"/>
      <c r="DZ29" s="845"/>
      <c r="EA29" s="845"/>
      <c r="EB29" s="845"/>
      <c r="EC29" s="845"/>
      <c r="ED29" s="846"/>
    </row>
    <row r="30" spans="1:134" ht="12.75" customHeight="1" x14ac:dyDescent="0.25">
      <c r="A30" s="1070">
        <v>1</v>
      </c>
      <c r="B30" s="793">
        <v>45</v>
      </c>
      <c r="C30" s="794" t="s">
        <v>11</v>
      </c>
      <c r="D30" s="866">
        <f>IF(C28="Major",26,IF(C28="Minor",6,0))+IF(C29="Major",26,IF(C29="Minor",6,0))+IF(C30="Major",26,IF(C30="Minor",6,0))+IF(C31="Major",26,IF(C31="Minor",6,0))+IF(C32="Major",26,IF(C32="Minor",6,0))</f>
        <v>90</v>
      </c>
      <c r="E30" s="940"/>
      <c r="F30" s="940"/>
      <c r="G30" s="930">
        <v>4.4025086303533502E-2</v>
      </c>
      <c r="H30" s="931">
        <v>4.4025086303533502E-2</v>
      </c>
      <c r="I30" s="1072">
        <v>4.4025086303533502E-2</v>
      </c>
      <c r="J30"/>
      <c r="K30"/>
      <c r="L30"/>
      <c r="M30" s="728">
        <v>34.71304347826085</v>
      </c>
      <c r="N30" s="729">
        <v>43.682608695652164</v>
      </c>
      <c r="O30" s="730">
        <v>55.936956521739141</v>
      </c>
      <c r="P30" s="602"/>
      <c r="Q30" s="126">
        <v>1</v>
      </c>
      <c r="R30" s="814">
        <f t="shared" ref="R30:R35" si="8">Q30^G$9</f>
        <v>1</v>
      </c>
      <c r="X30" s="602"/>
      <c r="Y30" s="123">
        <v>280</v>
      </c>
      <c r="Z30" s="815">
        <f t="shared" si="7"/>
        <v>0.87505027833385007</v>
      </c>
      <c r="AG30" s="851">
        <v>72</v>
      </c>
      <c r="AH30" s="844"/>
      <c r="AI30" s="845"/>
      <c r="AJ30" s="845"/>
      <c r="AK30" s="845"/>
      <c r="AL30" s="845"/>
      <c r="AM30" s="845"/>
      <c r="AN30" s="845"/>
      <c r="AO30" s="845"/>
      <c r="AP30" s="845"/>
      <c r="AQ30" s="845"/>
      <c r="AR30" s="845"/>
      <c r="AS30" s="845"/>
      <c r="AT30" s="845"/>
      <c r="AU30" s="845"/>
      <c r="AV30" s="845"/>
      <c r="AW30" s="845"/>
      <c r="AX30" s="845"/>
      <c r="AY30" s="845"/>
      <c r="AZ30" s="845"/>
      <c r="BA30" s="845"/>
      <c r="BB30" s="845"/>
      <c r="BC30" s="845"/>
      <c r="BD30" s="845"/>
      <c r="BE30" s="845"/>
      <c r="BF30" s="845"/>
      <c r="BG30" s="845"/>
      <c r="BH30" s="845"/>
      <c r="BI30" s="845"/>
      <c r="BJ30" s="845"/>
      <c r="BK30" s="845"/>
      <c r="BL30" s="845"/>
      <c r="BM30" s="845"/>
      <c r="BN30" s="845"/>
      <c r="BO30" s="845"/>
      <c r="BP30" s="845"/>
      <c r="BQ30" s="845"/>
      <c r="BR30" s="845"/>
      <c r="BS30" s="845"/>
      <c r="BT30" s="845"/>
      <c r="BU30" s="845"/>
      <c r="BV30" s="845"/>
      <c r="BW30" s="845"/>
      <c r="BX30" s="845"/>
      <c r="BY30" s="845"/>
      <c r="BZ30" s="845"/>
      <c r="CA30" s="845"/>
      <c r="CB30" s="845"/>
      <c r="CC30" s="845"/>
      <c r="CD30" s="845"/>
      <c r="CE30" s="845"/>
      <c r="CF30" s="845"/>
      <c r="CG30" s="845"/>
      <c r="CH30" s="845"/>
      <c r="CI30" s="845"/>
      <c r="CJ30" s="845"/>
      <c r="CK30" s="845"/>
      <c r="CL30" s="845"/>
      <c r="CM30" s="845"/>
      <c r="CN30" s="845"/>
      <c r="CO30" s="845"/>
      <c r="CP30" s="845"/>
      <c r="CQ30" s="845"/>
      <c r="CR30" s="845"/>
      <c r="CS30" s="845"/>
      <c r="CT30" s="845"/>
      <c r="CU30" s="845"/>
      <c r="CV30" s="845"/>
      <c r="CW30" s="845"/>
      <c r="CX30" s="845"/>
      <c r="CY30" s="845"/>
      <c r="CZ30" s="845"/>
      <c r="DA30" s="845"/>
      <c r="DB30" s="845"/>
      <c r="DC30" s="845"/>
      <c r="DD30" s="845"/>
      <c r="DE30" s="845"/>
      <c r="DF30" s="845"/>
      <c r="DG30" s="845"/>
      <c r="DH30" s="845"/>
      <c r="DI30" s="845"/>
      <c r="DJ30" s="845"/>
      <c r="DK30" s="845"/>
      <c r="DL30" s="845"/>
      <c r="DM30" s="845"/>
      <c r="DN30" s="845"/>
      <c r="DO30" s="845"/>
      <c r="DP30" s="845"/>
      <c r="DQ30" s="845"/>
      <c r="DR30" s="845"/>
      <c r="DS30" s="845"/>
      <c r="DT30" s="845"/>
      <c r="DU30" s="845"/>
      <c r="DV30" s="845"/>
      <c r="DW30" s="845"/>
      <c r="DX30" s="845"/>
      <c r="DY30" s="845"/>
      <c r="DZ30" s="845"/>
      <c r="EA30" s="845"/>
      <c r="EB30" s="845"/>
      <c r="EC30" s="845"/>
      <c r="ED30" s="846"/>
    </row>
    <row r="31" spans="1:134" ht="12.75" customHeight="1" x14ac:dyDescent="0.25">
      <c r="A31" s="1070">
        <v>1</v>
      </c>
      <c r="B31" s="793">
        <v>10</v>
      </c>
      <c r="C31" s="794" t="s">
        <v>10</v>
      </c>
      <c r="D31" s="866">
        <f>SUM(B28:B32)</f>
        <v>134</v>
      </c>
      <c r="E31" s="940"/>
      <c r="F31" s="940"/>
      <c r="G31" s="930">
        <v>3.9759465023868311E-2</v>
      </c>
      <c r="H31" s="931">
        <v>3.9759465023868311E-2</v>
      </c>
      <c r="I31" s="1072">
        <v>3.9759465023868311E-2</v>
      </c>
      <c r="J31"/>
      <c r="K31"/>
      <c r="L31"/>
      <c r="M31" s="731">
        <v>9.3847826086956516</v>
      </c>
      <c r="N31" s="732">
        <v>15.243478260869562</v>
      </c>
      <c r="O31" s="733">
        <v>21.464444444444446</v>
      </c>
      <c r="P31" s="602"/>
      <c r="Q31" s="123">
        <v>3</v>
      </c>
      <c r="R31" s="814">
        <f t="shared" si="8"/>
        <v>1.2777115144426023</v>
      </c>
      <c r="X31" s="602"/>
      <c r="Y31" s="123">
        <v>300</v>
      </c>
      <c r="Z31" s="815">
        <f t="shared" si="7"/>
        <v>0.54447572874106243</v>
      </c>
      <c r="AG31" s="851">
        <v>71</v>
      </c>
      <c r="AH31" s="844"/>
      <c r="AI31" s="845"/>
      <c r="AJ31" s="845"/>
      <c r="AK31" s="845"/>
      <c r="AL31" s="845"/>
      <c r="AM31" s="845"/>
      <c r="AN31" s="845"/>
      <c r="AO31" s="845"/>
      <c r="AP31" s="845"/>
      <c r="AQ31" s="845"/>
      <c r="AR31" s="845"/>
      <c r="AS31" s="845"/>
      <c r="AT31" s="845"/>
      <c r="AU31" s="845"/>
      <c r="AV31" s="845"/>
      <c r="AW31" s="845"/>
      <c r="AX31" s="845"/>
      <c r="AY31" s="845"/>
      <c r="AZ31" s="845"/>
      <c r="BA31" s="845"/>
      <c r="BB31" s="845"/>
      <c r="BC31" s="845"/>
      <c r="BD31" s="845"/>
      <c r="BE31" s="845"/>
      <c r="BF31" s="845"/>
      <c r="BG31" s="845"/>
      <c r="BH31" s="845"/>
      <c r="BI31" s="845"/>
      <c r="BJ31" s="845"/>
      <c r="BK31" s="845"/>
      <c r="BL31" s="845"/>
      <c r="BM31" s="845"/>
      <c r="BN31" s="845"/>
      <c r="BO31" s="845"/>
      <c r="BP31" s="845"/>
      <c r="BQ31" s="845"/>
      <c r="BR31" s="845"/>
      <c r="BS31" s="845"/>
      <c r="BT31" s="845"/>
      <c r="BU31" s="845"/>
      <c r="BV31" s="845"/>
      <c r="BW31" s="845"/>
      <c r="BX31" s="845"/>
      <c r="BY31" s="845"/>
      <c r="BZ31" s="845"/>
      <c r="CA31" s="845"/>
      <c r="CB31" s="845"/>
      <c r="CC31" s="845"/>
      <c r="CD31" s="845"/>
      <c r="CE31" s="845"/>
      <c r="CF31" s="845"/>
      <c r="CG31" s="845"/>
      <c r="CH31" s="845"/>
      <c r="CI31" s="845"/>
      <c r="CJ31" s="845"/>
      <c r="CK31" s="845"/>
      <c r="CL31" s="845"/>
      <c r="CM31" s="845"/>
      <c r="CN31" s="845"/>
      <c r="CO31" s="845"/>
      <c r="CP31" s="845"/>
      <c r="CQ31" s="845"/>
      <c r="CR31" s="845"/>
      <c r="CS31" s="845"/>
      <c r="CT31" s="845"/>
      <c r="CU31" s="845"/>
      <c r="CV31" s="845"/>
      <c r="CW31" s="845"/>
      <c r="CX31" s="845"/>
      <c r="CY31" s="845"/>
      <c r="CZ31" s="845"/>
      <c r="DA31" s="845"/>
      <c r="DB31" s="845"/>
      <c r="DC31" s="845"/>
      <c r="DD31" s="845"/>
      <c r="DE31" s="845"/>
      <c r="DF31" s="845"/>
      <c r="DG31" s="845"/>
      <c r="DH31" s="845"/>
      <c r="DI31" s="845"/>
      <c r="DJ31" s="845"/>
      <c r="DK31" s="845"/>
      <c r="DL31" s="845"/>
      <c r="DM31" s="845"/>
      <c r="DN31" s="845"/>
      <c r="DO31" s="845"/>
      <c r="DP31" s="845"/>
      <c r="DQ31" s="845"/>
      <c r="DR31" s="845"/>
      <c r="DS31" s="845"/>
      <c r="DT31" s="845"/>
      <c r="DU31" s="845"/>
      <c r="DV31" s="845"/>
      <c r="DW31" s="845"/>
      <c r="DX31" s="845"/>
      <c r="DY31" s="845"/>
      <c r="DZ31" s="845"/>
      <c r="EA31" s="845"/>
      <c r="EB31" s="845"/>
      <c r="EC31" s="845"/>
      <c r="ED31" s="846"/>
    </row>
    <row r="32" spans="1:134" ht="12.75" customHeight="1" thickBot="1" x14ac:dyDescent="0.3">
      <c r="A32" s="1060">
        <v>1</v>
      </c>
      <c r="B32" s="793">
        <v>11</v>
      </c>
      <c r="C32" s="794" t="s">
        <v>11</v>
      </c>
      <c r="D32" s="867">
        <f>D31/D30</f>
        <v>1.4888888888888889</v>
      </c>
      <c r="E32" s="940"/>
      <c r="F32" s="940"/>
      <c r="G32" s="932">
        <v>-3.2176473226170246E-2</v>
      </c>
      <c r="H32" s="933">
        <v>-3.2176473226170246E-2</v>
      </c>
      <c r="I32" s="1073">
        <v>-3.2176473226170246E-2</v>
      </c>
      <c r="J32"/>
      <c r="K32"/>
      <c r="L32"/>
      <c r="M32" s="734">
        <v>28.841304347826082</v>
      </c>
      <c r="N32" s="735">
        <v>33.604347826086958</v>
      </c>
      <c r="O32" s="736">
        <v>47.715217391304328</v>
      </c>
      <c r="P32" s="602"/>
      <c r="Q32" s="126">
        <v>5</v>
      </c>
      <c r="R32" s="814">
        <f t="shared" si="8"/>
        <v>1.4319282140099197</v>
      </c>
      <c r="X32" s="602"/>
      <c r="Y32" s="123">
        <v>320</v>
      </c>
      <c r="Z32" s="815">
        <f t="shared" si="7"/>
        <v>0.25522299784737346</v>
      </c>
      <c r="AG32" s="851">
        <v>70</v>
      </c>
      <c r="AH32" s="844"/>
      <c r="AI32" s="845"/>
      <c r="AJ32" s="845"/>
      <c r="AK32" s="845"/>
      <c r="AL32" s="845"/>
      <c r="AM32" s="845"/>
      <c r="AN32" s="845"/>
      <c r="AO32" s="845"/>
      <c r="AP32" s="845"/>
      <c r="AQ32" s="845"/>
      <c r="AR32" s="845"/>
      <c r="AS32" s="845"/>
      <c r="AT32" s="845"/>
      <c r="AU32" s="845"/>
      <c r="AV32" s="845"/>
      <c r="AW32" s="845"/>
      <c r="AX32" s="845"/>
      <c r="AY32" s="845"/>
      <c r="AZ32" s="845"/>
      <c r="BA32" s="845"/>
      <c r="BB32" s="845"/>
      <c r="BC32" s="845"/>
      <c r="BD32" s="845"/>
      <c r="BE32" s="845"/>
      <c r="BF32" s="845"/>
      <c r="BG32" s="845"/>
      <c r="BH32" s="845"/>
      <c r="BI32" s="845"/>
      <c r="BJ32" s="845"/>
      <c r="BK32" s="845"/>
      <c r="BL32" s="845"/>
      <c r="BM32" s="845"/>
      <c r="BN32" s="845"/>
      <c r="BO32" s="845"/>
      <c r="BP32" s="845"/>
      <c r="BQ32" s="845"/>
      <c r="BR32" s="845"/>
      <c r="BS32" s="845"/>
      <c r="BT32" s="845"/>
      <c r="BU32" s="845"/>
      <c r="BV32" s="845"/>
      <c r="BW32" s="845"/>
      <c r="BX32" s="845"/>
      <c r="BY32" s="845"/>
      <c r="BZ32" s="845"/>
      <c r="CA32" s="845"/>
      <c r="CB32" s="845"/>
      <c r="CC32" s="845"/>
      <c r="CD32" s="845"/>
      <c r="CE32" s="845"/>
      <c r="CF32" s="845"/>
      <c r="CG32" s="845"/>
      <c r="CH32" s="845"/>
      <c r="CI32" s="845"/>
      <c r="CJ32" s="845"/>
      <c r="CK32" s="845"/>
      <c r="CL32" s="845"/>
      <c r="CM32" s="845"/>
      <c r="CN32" s="845"/>
      <c r="CO32" s="845"/>
      <c r="CP32" s="845"/>
      <c r="CQ32" s="845"/>
      <c r="CR32" s="845"/>
      <c r="CS32" s="845"/>
      <c r="CT32" s="845"/>
      <c r="CU32" s="845"/>
      <c r="CV32" s="845"/>
      <c r="CW32" s="845"/>
      <c r="CX32" s="845"/>
      <c r="CY32" s="845"/>
      <c r="CZ32" s="845"/>
      <c r="DA32" s="845"/>
      <c r="DB32" s="845"/>
      <c r="DC32" s="845"/>
      <c r="DD32" s="845"/>
      <c r="DE32" s="845"/>
      <c r="DF32" s="845"/>
      <c r="DG32" s="845"/>
      <c r="DH32" s="845"/>
      <c r="DI32" s="845"/>
      <c r="DJ32" s="845"/>
      <c r="DK32" s="845"/>
      <c r="DL32" s="845"/>
      <c r="DM32" s="845"/>
      <c r="DN32" s="845"/>
      <c r="DO32" s="845"/>
      <c r="DP32" s="845"/>
      <c r="DQ32" s="845"/>
      <c r="DR32" s="845"/>
      <c r="DS32" s="845"/>
      <c r="DT32" s="845"/>
      <c r="DU32" s="845"/>
      <c r="DV32" s="845"/>
      <c r="DW32" s="845"/>
      <c r="DX32" s="845"/>
      <c r="DY32" s="845"/>
      <c r="DZ32" s="845"/>
      <c r="EA32" s="845"/>
      <c r="EB32" s="845"/>
      <c r="EC32" s="845"/>
      <c r="ED32" s="846"/>
    </row>
    <row r="33" spans="1:134" ht="12.75" customHeight="1" thickBot="1" x14ac:dyDescent="0.3">
      <c r="A33" s="1061">
        <v>2</v>
      </c>
      <c r="B33" s="791">
        <v>18</v>
      </c>
      <c r="C33" s="792" t="s">
        <v>10</v>
      </c>
      <c r="D33" s="3">
        <v>150</v>
      </c>
      <c r="E33" s="940"/>
      <c r="F33" s="940"/>
      <c r="G33" s="934">
        <v>5.974980327995541E-2</v>
      </c>
      <c r="H33" s="935">
        <v>5.974980327995541E-2</v>
      </c>
      <c r="I33" s="1074">
        <v>5.974980327995541E-2</v>
      </c>
      <c r="J33"/>
      <c r="K33"/>
      <c r="L33"/>
      <c r="M33" s="737">
        <v>36.341304347826096</v>
      </c>
      <c r="N33" s="738">
        <v>42.839130434782604</v>
      </c>
      <c r="O33" s="739">
        <v>55.27391304347826</v>
      </c>
      <c r="P33" s="602"/>
      <c r="Q33" s="123">
        <v>7</v>
      </c>
      <c r="R33" s="814">
        <f t="shared" si="8"/>
        <v>1.5435419847051326</v>
      </c>
      <c r="X33" s="602"/>
      <c r="Y33" s="125">
        <v>340</v>
      </c>
      <c r="Z33" s="818">
        <f t="shared" si="7"/>
        <v>0</v>
      </c>
      <c r="AG33" s="851">
        <v>69</v>
      </c>
      <c r="AH33" s="844"/>
      <c r="AI33" s="845"/>
      <c r="AJ33" s="845"/>
      <c r="AK33" s="845"/>
      <c r="AL33" s="845"/>
      <c r="AM33" s="845"/>
      <c r="AN33" s="845"/>
      <c r="AO33" s="845"/>
      <c r="AP33" s="845"/>
      <c r="AQ33" s="845"/>
      <c r="AR33" s="845"/>
      <c r="AS33" s="845"/>
      <c r="AT33" s="845"/>
      <c r="AU33" s="845"/>
      <c r="AV33" s="845"/>
      <c r="AW33" s="845"/>
      <c r="AX33" s="845"/>
      <c r="AY33" s="845"/>
      <c r="AZ33" s="845"/>
      <c r="BA33" s="845"/>
      <c r="BB33" s="845"/>
      <c r="BC33" s="845"/>
      <c r="BD33" s="845"/>
      <c r="BE33" s="845"/>
      <c r="BF33" s="845"/>
      <c r="BG33" s="845"/>
      <c r="BH33" s="845"/>
      <c r="BI33" s="845"/>
      <c r="BJ33" s="845"/>
      <c r="BK33" s="845"/>
      <c r="BL33" s="845"/>
      <c r="BM33" s="845"/>
      <c r="BN33" s="845"/>
      <c r="BO33" s="845"/>
      <c r="BP33" s="845"/>
      <c r="BQ33" s="845"/>
      <c r="BR33" s="845"/>
      <c r="BS33" s="845"/>
      <c r="BT33" s="845"/>
      <c r="BU33" s="845"/>
      <c r="BV33" s="845"/>
      <c r="BW33" s="845"/>
      <c r="BX33" s="845"/>
      <c r="BY33" s="845"/>
      <c r="BZ33" s="845"/>
      <c r="CA33" s="845"/>
      <c r="CB33" s="845"/>
      <c r="CC33" s="845"/>
      <c r="CD33" s="845"/>
      <c r="CE33" s="845"/>
      <c r="CF33" s="845"/>
      <c r="CG33" s="845"/>
      <c r="CH33" s="845"/>
      <c r="CI33" s="845"/>
      <c r="CJ33" s="845"/>
      <c r="CK33" s="845"/>
      <c r="CL33" s="845"/>
      <c r="CM33" s="845"/>
      <c r="CN33" s="845"/>
      <c r="CO33" s="845"/>
      <c r="CP33" s="845"/>
      <c r="CQ33" s="845"/>
      <c r="CR33" s="845"/>
      <c r="CS33" s="845"/>
      <c r="CT33" s="845"/>
      <c r="CU33" s="845"/>
      <c r="CV33" s="845"/>
      <c r="CW33" s="845"/>
      <c r="CX33" s="845"/>
      <c r="CY33" s="845"/>
      <c r="CZ33" s="845"/>
      <c r="DA33" s="845"/>
      <c r="DB33" s="845"/>
      <c r="DC33" s="845"/>
      <c r="DD33" s="845"/>
      <c r="DE33" s="845"/>
      <c r="DF33" s="845"/>
      <c r="DG33" s="845"/>
      <c r="DH33" s="845"/>
      <c r="DI33" s="845"/>
      <c r="DJ33" s="845"/>
      <c r="DK33" s="845"/>
      <c r="DL33" s="845"/>
      <c r="DM33" s="845"/>
      <c r="DN33" s="845"/>
      <c r="DO33" s="845"/>
      <c r="DP33" s="845"/>
      <c r="DQ33" s="845"/>
      <c r="DR33" s="845"/>
      <c r="DS33" s="845"/>
      <c r="DT33" s="845"/>
      <c r="DU33" s="845"/>
      <c r="DV33" s="845"/>
      <c r="DW33" s="845"/>
      <c r="DX33" s="845"/>
      <c r="DY33" s="845"/>
      <c r="DZ33" s="845"/>
      <c r="EA33" s="845"/>
      <c r="EB33" s="845"/>
      <c r="EC33" s="845"/>
      <c r="ED33" s="846"/>
    </row>
    <row r="34" spans="1:134" ht="12.75" customHeight="1" x14ac:dyDescent="0.25">
      <c r="A34" s="1060">
        <v>2</v>
      </c>
      <c r="B34" s="793">
        <v>20</v>
      </c>
      <c r="C34" s="794" t="s">
        <v>11</v>
      </c>
      <c r="D34" s="3">
        <v>25</v>
      </c>
      <c r="E34" s="940"/>
      <c r="F34" s="940"/>
      <c r="G34" s="930">
        <v>-7.5996653612221755E-5</v>
      </c>
      <c r="H34" s="931">
        <v>-7.5996653612221755E-5</v>
      </c>
      <c r="I34" s="1072">
        <v>-7.5996653612221755E-5</v>
      </c>
      <c r="J34"/>
      <c r="K34"/>
      <c r="L34" s="753"/>
      <c r="M34" s="731">
        <v>11.760869565217394</v>
      </c>
      <c r="N34" s="732">
        <v>18.889130434782619</v>
      </c>
      <c r="O34" s="733">
        <v>25.291111111111118</v>
      </c>
      <c r="P34" s="602"/>
      <c r="Q34" s="126">
        <v>9</v>
      </c>
      <c r="R34" s="814">
        <f t="shared" si="8"/>
        <v>1.6325467141392085</v>
      </c>
      <c r="X34" s="602"/>
      <c r="Y34" s="127">
        <v>240</v>
      </c>
      <c r="Z34" s="814">
        <f t="shared" ref="Z34:Z39" si="9">J$14/Y34-J$14/Y$39</f>
        <v>1.4281738085582667</v>
      </c>
      <c r="AG34" s="851">
        <v>68</v>
      </c>
      <c r="AH34" s="844"/>
      <c r="AI34" s="845"/>
      <c r="AJ34" s="845"/>
      <c r="AK34" s="845"/>
      <c r="AL34" s="845"/>
      <c r="AM34" s="845"/>
      <c r="AN34" s="845"/>
      <c r="AO34" s="845"/>
      <c r="AP34" s="845"/>
      <c r="AQ34" s="845"/>
      <c r="AR34" s="845"/>
      <c r="AS34" s="845"/>
      <c r="AT34" s="845"/>
      <c r="AU34" s="845"/>
      <c r="AV34" s="845"/>
      <c r="AW34" s="845"/>
      <c r="AX34" s="845"/>
      <c r="AY34" s="845"/>
      <c r="AZ34" s="845"/>
      <c r="BA34" s="845"/>
      <c r="BB34" s="845"/>
      <c r="BC34" s="845"/>
      <c r="BD34" s="845"/>
      <c r="BE34" s="845"/>
      <c r="BF34" s="845"/>
      <c r="BG34" s="845"/>
      <c r="BH34" s="845"/>
      <c r="BI34" s="845"/>
      <c r="BJ34" s="845"/>
      <c r="BK34" s="845"/>
      <c r="BL34" s="845"/>
      <c r="BM34" s="845"/>
      <c r="BN34" s="845"/>
      <c r="BO34" s="845"/>
      <c r="BP34" s="845"/>
      <c r="BQ34" s="845"/>
      <c r="BR34" s="845"/>
      <c r="BS34" s="845"/>
      <c r="BT34" s="845"/>
      <c r="BU34" s="845"/>
      <c r="BV34" s="845"/>
      <c r="BW34" s="845"/>
      <c r="BX34" s="845"/>
      <c r="BY34" s="845"/>
      <c r="BZ34" s="845"/>
      <c r="CA34" s="845"/>
      <c r="CB34" s="845"/>
      <c r="CC34" s="845"/>
      <c r="CD34" s="845"/>
      <c r="CE34" s="845"/>
      <c r="CF34" s="845"/>
      <c r="CG34" s="845"/>
      <c r="CH34" s="845"/>
      <c r="CI34" s="845"/>
      <c r="CJ34" s="845"/>
      <c r="CK34" s="845"/>
      <c r="CL34" s="845"/>
      <c r="CM34" s="845"/>
      <c r="CN34" s="845"/>
      <c r="CO34" s="845"/>
      <c r="CP34" s="845"/>
      <c r="CQ34" s="845"/>
      <c r="CR34" s="845"/>
      <c r="CS34" s="845"/>
      <c r="CT34" s="845"/>
      <c r="CU34" s="845"/>
      <c r="CV34" s="845"/>
      <c r="CW34" s="845"/>
      <c r="CX34" s="845"/>
      <c r="CY34" s="845"/>
      <c r="CZ34" s="845"/>
      <c r="DA34" s="845"/>
      <c r="DB34" s="845"/>
      <c r="DC34" s="845"/>
      <c r="DD34" s="845"/>
      <c r="DE34" s="845"/>
      <c r="DF34" s="845"/>
      <c r="DG34" s="845"/>
      <c r="DH34" s="845"/>
      <c r="DI34" s="845"/>
      <c r="DJ34" s="845"/>
      <c r="DK34" s="845"/>
      <c r="DL34" s="845"/>
      <c r="DM34" s="845"/>
      <c r="DN34" s="845"/>
      <c r="DO34" s="845"/>
      <c r="DP34" s="845"/>
      <c r="DQ34" s="845"/>
      <c r="DR34" s="845"/>
      <c r="DS34" s="845"/>
      <c r="DT34" s="845"/>
      <c r="DU34" s="845"/>
      <c r="DV34" s="845"/>
      <c r="DW34" s="845"/>
      <c r="DX34" s="845"/>
      <c r="DY34" s="845"/>
      <c r="DZ34" s="845"/>
      <c r="EA34" s="845"/>
      <c r="EB34" s="845"/>
      <c r="EC34" s="845"/>
      <c r="ED34" s="846"/>
    </row>
    <row r="35" spans="1:134" ht="12.75" customHeight="1" thickBot="1" x14ac:dyDescent="0.3">
      <c r="A35" s="1070">
        <v>2</v>
      </c>
      <c r="B35" s="793">
        <v>35</v>
      </c>
      <c r="C35" s="794" t="s">
        <v>10</v>
      </c>
      <c r="D35" s="866">
        <f>IF(C33="Major",26,IF(C33="Minor",6,0))+IF(C34="Major",26,IF(C34="Minor",6,0))+IF(C35="Major",26,IF(C35="Minor",6,0))+IF(C36="Major",26,IF(C36="Minor",6,0))+IF(C37="Major",26,IF(C37="Minor",6,0))</f>
        <v>90</v>
      </c>
      <c r="E35" s="940"/>
      <c r="F35" s="940"/>
      <c r="G35" s="936">
        <v>4.0165874715934101E-2</v>
      </c>
      <c r="H35" s="937">
        <v>4.0165874715934101E-2</v>
      </c>
      <c r="I35" s="1075">
        <v>4.0165874715934101E-2</v>
      </c>
      <c r="J35"/>
      <c r="K35"/>
      <c r="L35"/>
      <c r="M35" s="740">
        <v>34.26304347826089</v>
      </c>
      <c r="N35" s="741">
        <v>38.282608695652172</v>
      </c>
      <c r="O35" s="742">
        <v>52.569565217391329</v>
      </c>
      <c r="P35" s="602"/>
      <c r="Q35" s="124">
        <v>11</v>
      </c>
      <c r="R35" s="819">
        <f t="shared" si="8"/>
        <v>1.7072867000412886</v>
      </c>
      <c r="X35" s="602"/>
      <c r="Y35" s="123">
        <v>260</v>
      </c>
      <c r="Z35" s="815">
        <f t="shared" si="9"/>
        <v>1.0546514278584125</v>
      </c>
      <c r="AG35" s="851">
        <v>67</v>
      </c>
      <c r="AH35" s="844"/>
      <c r="AI35" s="845"/>
      <c r="AJ35" s="845"/>
      <c r="AK35" s="845"/>
      <c r="AL35" s="845"/>
      <c r="AM35" s="845"/>
      <c r="AN35" s="845"/>
      <c r="AO35" s="845"/>
      <c r="AP35" s="845"/>
      <c r="AQ35" s="845"/>
      <c r="AR35" s="845"/>
      <c r="AS35" s="845"/>
      <c r="AT35" s="845"/>
      <c r="AU35" s="845"/>
      <c r="AV35" s="845"/>
      <c r="AW35" s="845"/>
      <c r="AX35" s="845"/>
      <c r="AY35" s="845"/>
      <c r="AZ35" s="845"/>
      <c r="BA35" s="845"/>
      <c r="BB35" s="845"/>
      <c r="BC35" s="845"/>
      <c r="BD35" s="845"/>
      <c r="BE35" s="845"/>
      <c r="BF35" s="845"/>
      <c r="BG35" s="845"/>
      <c r="BH35" s="845"/>
      <c r="BI35" s="845"/>
      <c r="BJ35" s="845"/>
      <c r="BK35" s="845"/>
      <c r="BL35" s="845"/>
      <c r="BM35" s="845"/>
      <c r="BN35" s="845"/>
      <c r="BO35" s="845"/>
      <c r="BP35" s="845"/>
      <c r="BQ35" s="845"/>
      <c r="BR35" s="845"/>
      <c r="BS35" s="845"/>
      <c r="BT35" s="845"/>
      <c r="BU35" s="845"/>
      <c r="BV35" s="845"/>
      <c r="BW35" s="845"/>
      <c r="BX35" s="845"/>
      <c r="BY35" s="845"/>
      <c r="BZ35" s="845"/>
      <c r="CA35" s="845"/>
      <c r="CB35" s="845"/>
      <c r="CC35" s="845"/>
      <c r="CD35" s="845"/>
      <c r="CE35" s="845"/>
      <c r="CF35" s="845"/>
      <c r="CG35" s="845"/>
      <c r="CH35" s="845"/>
      <c r="CI35" s="845"/>
      <c r="CJ35" s="845"/>
      <c r="CK35" s="845"/>
      <c r="CL35" s="845"/>
      <c r="CM35" s="845"/>
      <c r="CN35" s="845"/>
      <c r="CO35" s="845"/>
      <c r="CP35" s="845"/>
      <c r="CQ35" s="845"/>
      <c r="CR35" s="845"/>
      <c r="CS35" s="845"/>
      <c r="CT35" s="845"/>
      <c r="CU35" s="845"/>
      <c r="CV35" s="845"/>
      <c r="CW35" s="845"/>
      <c r="CX35" s="845"/>
      <c r="CY35" s="845"/>
      <c r="CZ35" s="845"/>
      <c r="DA35" s="845"/>
      <c r="DB35" s="845"/>
      <c r="DC35" s="845"/>
      <c r="DD35" s="845"/>
      <c r="DE35" s="845"/>
      <c r="DF35" s="845"/>
      <c r="DG35" s="845"/>
      <c r="DH35" s="845"/>
      <c r="DI35" s="845"/>
      <c r="DJ35" s="845"/>
      <c r="DK35" s="845"/>
      <c r="DL35" s="845"/>
      <c r="DM35" s="845"/>
      <c r="DN35" s="845"/>
      <c r="DO35" s="845"/>
      <c r="DP35" s="845"/>
      <c r="DQ35" s="845"/>
      <c r="DR35" s="845"/>
      <c r="DS35" s="845"/>
      <c r="DT35" s="845"/>
      <c r="DU35" s="845"/>
      <c r="DV35" s="845"/>
      <c r="DW35" s="845"/>
      <c r="DX35" s="845"/>
      <c r="DY35" s="845"/>
      <c r="DZ35" s="845"/>
      <c r="EA35" s="845"/>
      <c r="EB35" s="845"/>
      <c r="EC35" s="845"/>
      <c r="ED35" s="846"/>
    </row>
    <row r="36" spans="1:134" ht="12.75" customHeight="1" x14ac:dyDescent="0.25">
      <c r="A36" s="1070">
        <v>2</v>
      </c>
      <c r="B36" s="793">
        <v>35</v>
      </c>
      <c r="C36" s="794" t="s">
        <v>11</v>
      </c>
      <c r="D36" s="866">
        <f>SUM(B33:B37)</f>
        <v>133</v>
      </c>
      <c r="E36" s="940"/>
      <c r="F36" s="940"/>
      <c r="G36" s="938">
        <v>-2.7946050194379048E-2</v>
      </c>
      <c r="H36" s="939">
        <v>-2.7946050194379048E-2</v>
      </c>
      <c r="I36" s="1076">
        <v>-2.7946050194379048E-2</v>
      </c>
      <c r="J36"/>
      <c r="K36" s="754"/>
      <c r="L36" s="754"/>
      <c r="M36" s="728">
        <v>39.506521739130442</v>
      </c>
      <c r="N36" s="729">
        <v>47.517391304347818</v>
      </c>
      <c r="O36" s="730">
        <v>59.039130434782614</v>
      </c>
      <c r="P36" s="602"/>
      <c r="Q36" s="126">
        <v>1</v>
      </c>
      <c r="R36" s="814">
        <f t="shared" ref="R36:R41" si="10">Q36^G$11</f>
        <v>1</v>
      </c>
      <c r="X36" s="602"/>
      <c r="Y36" s="123">
        <v>280</v>
      </c>
      <c r="Z36" s="815">
        <f t="shared" si="9"/>
        <v>0.73448938725853719</v>
      </c>
      <c r="AG36" s="851">
        <v>66</v>
      </c>
      <c r="AH36" s="844"/>
      <c r="AI36" s="845"/>
      <c r="AJ36" s="845"/>
      <c r="AK36" s="845"/>
      <c r="AL36" s="845"/>
      <c r="AM36" s="845"/>
      <c r="AN36" s="845"/>
      <c r="AO36" s="845"/>
      <c r="AP36" s="845"/>
      <c r="AQ36" s="845"/>
      <c r="AR36" s="845"/>
      <c r="AS36" s="845"/>
      <c r="AT36" s="845"/>
      <c r="AU36" s="845"/>
      <c r="AV36" s="845"/>
      <c r="AW36" s="845"/>
      <c r="AX36" s="845"/>
      <c r="AY36" s="845"/>
      <c r="AZ36" s="845"/>
      <c r="BA36" s="845"/>
      <c r="BB36" s="845"/>
      <c r="BC36" s="845"/>
      <c r="BD36" s="845"/>
      <c r="BE36" s="845"/>
      <c r="BF36" s="845"/>
      <c r="BG36" s="845"/>
      <c r="BH36" s="845"/>
      <c r="BI36" s="845"/>
      <c r="BJ36" s="845"/>
      <c r="BK36" s="845"/>
      <c r="BL36" s="845"/>
      <c r="BM36" s="845"/>
      <c r="BN36" s="845"/>
      <c r="BO36" s="845"/>
      <c r="BP36" s="845"/>
      <c r="BQ36" s="845"/>
      <c r="BR36" s="845"/>
      <c r="BS36" s="845"/>
      <c r="BT36" s="845"/>
      <c r="BU36" s="845"/>
      <c r="BV36" s="845"/>
      <c r="BW36" s="845"/>
      <c r="BX36" s="845"/>
      <c r="BY36" s="845"/>
      <c r="BZ36" s="845"/>
      <c r="CA36" s="845"/>
      <c r="CB36" s="845"/>
      <c r="CC36" s="845"/>
      <c r="CD36" s="845"/>
      <c r="CE36" s="845"/>
      <c r="CF36" s="845"/>
      <c r="CG36" s="845"/>
      <c r="CH36" s="845"/>
      <c r="CI36" s="845"/>
      <c r="CJ36" s="845"/>
      <c r="CK36" s="845"/>
      <c r="CL36" s="845"/>
      <c r="CM36" s="845"/>
      <c r="CN36" s="845"/>
      <c r="CO36" s="845"/>
      <c r="CP36" s="845"/>
      <c r="CQ36" s="845"/>
      <c r="CR36" s="845"/>
      <c r="CS36" s="845"/>
      <c r="CT36" s="845"/>
      <c r="CU36" s="845"/>
      <c r="CV36" s="845"/>
      <c r="CW36" s="845"/>
      <c r="CX36" s="845"/>
      <c r="CY36" s="845"/>
      <c r="CZ36" s="845"/>
      <c r="DA36" s="845"/>
      <c r="DB36" s="845"/>
      <c r="DC36" s="845"/>
      <c r="DD36" s="845"/>
      <c r="DE36" s="845"/>
      <c r="DF36" s="845"/>
      <c r="DG36" s="845"/>
      <c r="DH36" s="845"/>
      <c r="DI36" s="845"/>
      <c r="DJ36" s="845"/>
      <c r="DK36" s="845"/>
      <c r="DL36" s="845"/>
      <c r="DM36" s="845"/>
      <c r="DN36" s="845"/>
      <c r="DO36" s="845"/>
      <c r="DP36" s="845"/>
      <c r="DQ36" s="845"/>
      <c r="DR36" s="845"/>
      <c r="DS36" s="845"/>
      <c r="DT36" s="845"/>
      <c r="DU36" s="845"/>
      <c r="DV36" s="845"/>
      <c r="DW36" s="845"/>
      <c r="DX36" s="845"/>
      <c r="DY36" s="845"/>
      <c r="DZ36" s="845"/>
      <c r="EA36" s="845"/>
      <c r="EB36" s="845"/>
      <c r="EC36" s="845"/>
      <c r="ED36" s="846"/>
    </row>
    <row r="37" spans="1:134" ht="12.75" customHeight="1" x14ac:dyDescent="0.25">
      <c r="A37" s="1062">
        <v>2</v>
      </c>
      <c r="B37" s="795">
        <v>25</v>
      </c>
      <c r="C37" s="794" t="s">
        <v>11</v>
      </c>
      <c r="D37" s="867">
        <f>D36/D35</f>
        <v>1.4777777777777779</v>
      </c>
      <c r="E37" s="940"/>
      <c r="F37" s="940"/>
      <c r="G37" s="930">
        <v>-0.10194051598803941</v>
      </c>
      <c r="H37" s="931">
        <v>-0.10194051598803941</v>
      </c>
      <c r="I37" s="1072">
        <v>-0.10194051598803941</v>
      </c>
      <c r="J37"/>
      <c r="K37" s="754"/>
      <c r="L37" s="754"/>
      <c r="M37" s="731">
        <v>15.095555555555549</v>
      </c>
      <c r="N37" s="732">
        <v>24.74</v>
      </c>
      <c r="O37" s="733">
        <v>32.945454545454538</v>
      </c>
      <c r="P37" s="602"/>
      <c r="Q37" s="123">
        <v>3</v>
      </c>
      <c r="R37" s="814">
        <f t="shared" si="10"/>
        <v>1.1024513681413843</v>
      </c>
      <c r="X37" s="602"/>
      <c r="Y37" s="123">
        <v>300</v>
      </c>
      <c r="Z37" s="815">
        <f t="shared" si="9"/>
        <v>0.45701561873864538</v>
      </c>
      <c r="AG37" s="851">
        <v>65</v>
      </c>
      <c r="AH37" s="844"/>
      <c r="AI37" s="845"/>
      <c r="AJ37" s="845"/>
      <c r="AK37" s="845"/>
      <c r="AL37" s="845"/>
      <c r="AM37" s="845"/>
      <c r="AN37" s="845"/>
      <c r="AO37" s="845"/>
      <c r="AP37" s="845"/>
      <c r="AQ37" s="845"/>
      <c r="AR37" s="845"/>
      <c r="AS37" s="845"/>
      <c r="AT37" s="845"/>
      <c r="AU37" s="845"/>
      <c r="AV37" s="845"/>
      <c r="AW37" s="845"/>
      <c r="AX37" s="845"/>
      <c r="AY37" s="845"/>
      <c r="AZ37" s="845"/>
      <c r="BA37" s="845"/>
      <c r="BB37" s="845"/>
      <c r="BC37" s="845"/>
      <c r="BD37" s="845"/>
      <c r="BE37" s="845"/>
      <c r="BF37" s="845"/>
      <c r="BG37" s="845"/>
      <c r="BH37" s="845"/>
      <c r="BI37" s="845"/>
      <c r="BJ37" s="845"/>
      <c r="BK37" s="845"/>
      <c r="BL37" s="845"/>
      <c r="BM37" s="845"/>
      <c r="BN37" s="845"/>
      <c r="BO37" s="845"/>
      <c r="BP37" s="845"/>
      <c r="BQ37" s="845"/>
      <c r="BR37" s="845"/>
      <c r="BS37" s="845"/>
      <c r="BT37" s="845"/>
      <c r="BU37" s="845"/>
      <c r="BV37" s="845"/>
      <c r="BW37" s="845"/>
      <c r="BX37" s="845"/>
      <c r="BY37" s="845"/>
      <c r="BZ37" s="845"/>
      <c r="CA37" s="845"/>
      <c r="CB37" s="845"/>
      <c r="CC37" s="845"/>
      <c r="CD37" s="845"/>
      <c r="CE37" s="845"/>
      <c r="CF37" s="845"/>
      <c r="CG37" s="845"/>
      <c r="CH37" s="845"/>
      <c r="CI37" s="845"/>
      <c r="CJ37" s="845"/>
      <c r="CK37" s="845"/>
      <c r="CL37" s="845"/>
      <c r="CM37" s="845"/>
      <c r="CN37" s="845"/>
      <c r="CO37" s="845"/>
      <c r="CP37" s="845"/>
      <c r="CQ37" s="845"/>
      <c r="CR37" s="845"/>
      <c r="CS37" s="845"/>
      <c r="CT37" s="845"/>
      <c r="CU37" s="845"/>
      <c r="CV37" s="845"/>
      <c r="CW37" s="845"/>
      <c r="CX37" s="845"/>
      <c r="CY37" s="845"/>
      <c r="CZ37" s="845"/>
      <c r="DA37" s="845"/>
      <c r="DB37" s="845"/>
      <c r="DC37" s="845"/>
      <c r="DD37" s="845"/>
      <c r="DE37" s="845"/>
      <c r="DF37" s="845"/>
      <c r="DG37" s="845"/>
      <c r="DH37" s="845"/>
      <c r="DI37" s="845"/>
      <c r="DJ37" s="845"/>
      <c r="DK37" s="845"/>
      <c r="DL37" s="845"/>
      <c r="DM37" s="845"/>
      <c r="DN37" s="845"/>
      <c r="DO37" s="845"/>
      <c r="DP37" s="845"/>
      <c r="DQ37" s="845"/>
      <c r="DR37" s="845"/>
      <c r="DS37" s="845"/>
      <c r="DT37" s="845"/>
      <c r="DU37" s="845"/>
      <c r="DV37" s="845"/>
      <c r="DW37" s="845"/>
      <c r="DX37" s="845"/>
      <c r="DY37" s="845"/>
      <c r="DZ37" s="845"/>
      <c r="EA37" s="845"/>
      <c r="EB37" s="845"/>
      <c r="EC37" s="845"/>
      <c r="ED37" s="846"/>
    </row>
    <row r="38" spans="1:134" ht="12.75" customHeight="1" thickBot="1" x14ac:dyDescent="0.3">
      <c r="A38" s="1060">
        <v>3</v>
      </c>
      <c r="B38" s="791">
        <v>11</v>
      </c>
      <c r="C38" s="792" t="s">
        <v>10</v>
      </c>
      <c r="D38" s="3">
        <v>150</v>
      </c>
      <c r="E38" s="940"/>
      <c r="F38" s="940"/>
      <c r="G38" s="932">
        <v>-2.3904585577019306E-2</v>
      </c>
      <c r="H38" s="933">
        <v>-2.3904585577019306E-2</v>
      </c>
      <c r="I38" s="1073">
        <v>-2.3904585577019306E-2</v>
      </c>
      <c r="J38"/>
      <c r="K38" s="754"/>
      <c r="L38" s="754"/>
      <c r="M38" s="734">
        <v>40.673913043478265</v>
      </c>
      <c r="N38" s="735">
        <v>46.928260869565221</v>
      </c>
      <c r="O38" s="736">
        <v>59.226086956521733</v>
      </c>
      <c r="P38" s="602"/>
      <c r="Q38" s="126">
        <v>5</v>
      </c>
      <c r="R38" s="814">
        <f t="shared" si="10"/>
        <v>1.1536005622971783</v>
      </c>
      <c r="X38" s="602"/>
      <c r="Y38" s="123">
        <v>320</v>
      </c>
      <c r="Z38" s="815">
        <f t="shared" si="9"/>
        <v>0.21422607128373983</v>
      </c>
      <c r="AG38" s="851">
        <v>64</v>
      </c>
      <c r="AH38" s="844"/>
      <c r="AI38" s="845"/>
      <c r="AJ38" s="845"/>
      <c r="AK38" s="845"/>
      <c r="AL38" s="845"/>
      <c r="AM38" s="845"/>
      <c r="AN38" s="845"/>
      <c r="AO38" s="845"/>
      <c r="AP38" s="845"/>
      <c r="AQ38" s="845"/>
      <c r="AR38" s="845"/>
      <c r="AS38" s="845"/>
      <c r="AT38" s="845"/>
      <c r="AU38" s="845"/>
      <c r="AV38" s="845"/>
      <c r="AW38" s="845"/>
      <c r="AX38" s="845"/>
      <c r="AY38" s="845"/>
      <c r="AZ38" s="845"/>
      <c r="BA38" s="845"/>
      <c r="BB38" s="845"/>
      <c r="BC38" s="845"/>
      <c r="BD38" s="845"/>
      <c r="BE38" s="845"/>
      <c r="BF38" s="845"/>
      <c r="BG38" s="845"/>
      <c r="BH38" s="845"/>
      <c r="BI38" s="845"/>
      <c r="BJ38" s="845"/>
      <c r="BK38" s="845"/>
      <c r="BL38" s="845"/>
      <c r="BM38" s="845"/>
      <c r="BN38" s="845"/>
      <c r="BO38" s="845"/>
      <c r="BP38" s="845"/>
      <c r="BQ38" s="845"/>
      <c r="BR38" s="845"/>
      <c r="BS38" s="845"/>
      <c r="BT38" s="845"/>
      <c r="BU38" s="845"/>
      <c r="BV38" s="845"/>
      <c r="BW38" s="845"/>
      <c r="BX38" s="845"/>
      <c r="BY38" s="845"/>
      <c r="BZ38" s="845"/>
      <c r="CA38" s="845"/>
      <c r="CB38" s="845"/>
      <c r="CC38" s="845"/>
      <c r="CD38" s="845"/>
      <c r="CE38" s="845"/>
      <c r="CF38" s="845"/>
      <c r="CG38" s="845"/>
      <c r="CH38" s="845"/>
      <c r="CI38" s="845"/>
      <c r="CJ38" s="845"/>
      <c r="CK38" s="845"/>
      <c r="CL38" s="845"/>
      <c r="CM38" s="845"/>
      <c r="CN38" s="845"/>
      <c r="CO38" s="845"/>
      <c r="CP38" s="845"/>
      <c r="CQ38" s="845"/>
      <c r="CR38" s="845"/>
      <c r="CS38" s="845"/>
      <c r="CT38" s="845"/>
      <c r="CU38" s="845"/>
      <c r="CV38" s="845"/>
      <c r="CW38" s="845"/>
      <c r="CX38" s="845"/>
      <c r="CY38" s="845"/>
      <c r="CZ38" s="845"/>
      <c r="DA38" s="845"/>
      <c r="DB38" s="845"/>
      <c r="DC38" s="845"/>
      <c r="DD38" s="845"/>
      <c r="DE38" s="845"/>
      <c r="DF38" s="845"/>
      <c r="DG38" s="845"/>
      <c r="DH38" s="845"/>
      <c r="DI38" s="845"/>
      <c r="DJ38" s="845"/>
      <c r="DK38" s="845"/>
      <c r="DL38" s="845"/>
      <c r="DM38" s="845"/>
      <c r="DN38" s="845"/>
      <c r="DO38" s="845"/>
      <c r="DP38" s="845"/>
      <c r="DQ38" s="845"/>
      <c r="DR38" s="845"/>
      <c r="DS38" s="845"/>
      <c r="DT38" s="845"/>
      <c r="DU38" s="845"/>
      <c r="DV38" s="845"/>
      <c r="DW38" s="845"/>
      <c r="DX38" s="845"/>
      <c r="DY38" s="845"/>
      <c r="DZ38" s="845"/>
      <c r="EA38" s="845"/>
      <c r="EB38" s="845"/>
      <c r="EC38" s="845"/>
      <c r="ED38" s="846"/>
    </row>
    <row r="39" spans="1:134" ht="12.75" customHeight="1" thickBot="1" x14ac:dyDescent="0.3">
      <c r="A39" s="1060">
        <v>3</v>
      </c>
      <c r="B39" s="793">
        <v>18</v>
      </c>
      <c r="C39" s="794" t="s">
        <v>11</v>
      </c>
      <c r="D39" s="3">
        <v>25</v>
      </c>
      <c r="E39" s="940"/>
      <c r="F39" s="940"/>
      <c r="G39" s="934">
        <v>5.298366458718503E-2</v>
      </c>
      <c r="H39" s="935">
        <v>5.298366458718503E-2</v>
      </c>
      <c r="I39" s="1074">
        <v>5.298366458718503E-2</v>
      </c>
      <c r="J39"/>
      <c r="K39"/>
      <c r="L39"/>
      <c r="M39" s="737">
        <v>41.236363636363656</v>
      </c>
      <c r="N39" s="738">
        <v>48.645454545454527</v>
      </c>
      <c r="O39" s="739">
        <v>59.375</v>
      </c>
      <c r="P39" s="602"/>
      <c r="Q39" s="123">
        <v>7</v>
      </c>
      <c r="R39" s="814">
        <f t="shared" si="10"/>
        <v>1.1885813039899731</v>
      </c>
      <c r="X39" s="602"/>
      <c r="Y39" s="124">
        <v>340</v>
      </c>
      <c r="Z39" s="818">
        <f t="shared" si="9"/>
        <v>0</v>
      </c>
      <c r="AG39" s="851">
        <v>63</v>
      </c>
      <c r="AH39" s="844"/>
      <c r="AI39" s="845"/>
      <c r="AJ39" s="845"/>
      <c r="AK39" s="845"/>
      <c r="AL39" s="845"/>
      <c r="AM39" s="845"/>
      <c r="AN39" s="845"/>
      <c r="AO39" s="845"/>
      <c r="AP39" s="845"/>
      <c r="AQ39" s="845"/>
      <c r="AR39" s="845"/>
      <c r="AS39" s="845"/>
      <c r="AT39" s="845"/>
      <c r="AU39" s="845"/>
      <c r="AV39" s="845"/>
      <c r="AW39" s="845"/>
      <c r="AX39" s="845"/>
      <c r="AY39" s="845"/>
      <c r="AZ39" s="845"/>
      <c r="BA39" s="845"/>
      <c r="BB39" s="845"/>
      <c r="BC39" s="845"/>
      <c r="BD39" s="845"/>
      <c r="BE39" s="845"/>
      <c r="BF39" s="845"/>
      <c r="BG39" s="845"/>
      <c r="BH39" s="845"/>
      <c r="BI39" s="845"/>
      <c r="BJ39" s="845"/>
      <c r="BK39" s="845"/>
      <c r="BL39" s="845"/>
      <c r="BM39" s="845"/>
      <c r="BN39" s="845"/>
      <c r="BO39" s="845"/>
      <c r="BP39" s="845"/>
      <c r="BQ39" s="845"/>
      <c r="BR39" s="845"/>
      <c r="BS39" s="845"/>
      <c r="BT39" s="845"/>
      <c r="BU39" s="845"/>
      <c r="BV39" s="845"/>
      <c r="BW39" s="845"/>
      <c r="BX39" s="845"/>
      <c r="BY39" s="845"/>
      <c r="BZ39" s="845"/>
      <c r="CA39" s="845"/>
      <c r="CB39" s="845"/>
      <c r="CC39" s="845"/>
      <c r="CD39" s="845"/>
      <c r="CE39" s="845"/>
      <c r="CF39" s="845"/>
      <c r="CG39" s="845"/>
      <c r="CH39" s="845"/>
      <c r="CI39" s="845"/>
      <c r="CJ39" s="845"/>
      <c r="CK39" s="845"/>
      <c r="CL39" s="845"/>
      <c r="CM39" s="845"/>
      <c r="CN39" s="845"/>
      <c r="CO39" s="845"/>
      <c r="CP39" s="845"/>
      <c r="CQ39" s="845"/>
      <c r="CR39" s="845"/>
      <c r="CS39" s="845"/>
      <c r="CT39" s="845"/>
      <c r="CU39" s="845"/>
      <c r="CV39" s="845"/>
      <c r="CW39" s="845"/>
      <c r="CX39" s="845"/>
      <c r="CY39" s="845"/>
      <c r="CZ39" s="845"/>
      <c r="DA39" s="845"/>
      <c r="DB39" s="845"/>
      <c r="DC39" s="845"/>
      <c r="DD39" s="845"/>
      <c r="DE39" s="845"/>
      <c r="DF39" s="845"/>
      <c r="DG39" s="845"/>
      <c r="DH39" s="845"/>
      <c r="DI39" s="845"/>
      <c r="DJ39" s="845"/>
      <c r="DK39" s="845"/>
      <c r="DL39" s="845"/>
      <c r="DM39" s="845"/>
      <c r="DN39" s="845"/>
      <c r="DO39" s="845"/>
      <c r="DP39" s="845"/>
      <c r="DQ39" s="845"/>
      <c r="DR39" s="845"/>
      <c r="DS39" s="845"/>
      <c r="DT39" s="845"/>
      <c r="DU39" s="845"/>
      <c r="DV39" s="845"/>
      <c r="DW39" s="845"/>
      <c r="DX39" s="845"/>
      <c r="DY39" s="845"/>
      <c r="DZ39" s="845"/>
      <c r="EA39" s="845"/>
      <c r="EB39" s="845"/>
      <c r="EC39" s="845"/>
      <c r="ED39" s="846"/>
    </row>
    <row r="40" spans="1:134" ht="12.75" customHeight="1" x14ac:dyDescent="0.25">
      <c r="A40" s="1070">
        <v>3</v>
      </c>
      <c r="B40" s="793">
        <v>30</v>
      </c>
      <c r="C40" s="794" t="s">
        <v>10</v>
      </c>
      <c r="D40" s="866">
        <f>IF(C38="Major",26,IF(C38="Minor",6,0))+IF(C39="Major",26,IF(C39="Minor",6,0))+IF(C40="Major",26,IF(C40="Minor",6,0))+IF(C41="Major",26,IF(C41="Minor",6,0))+IF(C42="Major",26,IF(C42="Minor",6,0))</f>
        <v>70</v>
      </c>
      <c r="E40" s="940"/>
      <c r="F40" s="940"/>
      <c r="G40" s="930">
        <v>7.5756437424680995E-2</v>
      </c>
      <c r="H40" s="931">
        <v>7.5756437424680995E-2</v>
      </c>
      <c r="I40" s="1072">
        <v>7.5756437424680995E-2</v>
      </c>
      <c r="J40"/>
      <c r="K40"/>
      <c r="L40"/>
      <c r="M40" s="731">
        <v>19.825581395348834</v>
      </c>
      <c r="N40" s="732">
        <v>29.725581395348843</v>
      </c>
      <c r="O40" s="733">
        <v>37.795238095238076</v>
      </c>
      <c r="P40" s="602"/>
      <c r="Q40" s="126">
        <v>9</v>
      </c>
      <c r="R40" s="814">
        <f t="shared" si="10"/>
        <v>1.21539901911681</v>
      </c>
      <c r="X40" s="602"/>
      <c r="AG40" s="851">
        <v>62</v>
      </c>
      <c r="AH40" s="844"/>
      <c r="AI40" s="845"/>
      <c r="AJ40" s="845"/>
      <c r="AK40" s="845"/>
      <c r="AL40" s="845"/>
      <c r="AM40" s="845"/>
      <c r="AN40" s="845"/>
      <c r="AO40" s="845"/>
      <c r="AP40" s="845"/>
      <c r="AQ40" s="845"/>
      <c r="AR40" s="845"/>
      <c r="AS40" s="845"/>
      <c r="AT40" s="845"/>
      <c r="AU40" s="845"/>
      <c r="AV40" s="845"/>
      <c r="AW40" s="845"/>
      <c r="AX40" s="845"/>
      <c r="AY40" s="845"/>
      <c r="AZ40" s="845"/>
      <c r="BA40" s="845"/>
      <c r="BB40" s="845"/>
      <c r="BC40" s="845"/>
      <c r="BD40" s="845"/>
      <c r="BE40" s="845"/>
      <c r="BF40" s="845"/>
      <c r="BG40" s="845"/>
      <c r="BH40" s="845"/>
      <c r="BI40" s="845"/>
      <c r="BJ40" s="845"/>
      <c r="BK40" s="845"/>
      <c r="BL40" s="845"/>
      <c r="BM40" s="845"/>
      <c r="BN40" s="845"/>
      <c r="BO40" s="845"/>
      <c r="BP40" s="845"/>
      <c r="BQ40" s="845"/>
      <c r="BR40" s="845"/>
      <c r="BS40" s="845"/>
      <c r="BT40" s="845"/>
      <c r="BU40" s="845"/>
      <c r="BV40" s="845"/>
      <c r="BW40" s="845"/>
      <c r="BX40" s="845"/>
      <c r="BY40" s="845"/>
      <c r="BZ40" s="845"/>
      <c r="CA40" s="845"/>
      <c r="CB40" s="845"/>
      <c r="CC40" s="845"/>
      <c r="CD40" s="845"/>
      <c r="CE40" s="845"/>
      <c r="CF40" s="845"/>
      <c r="CG40" s="845"/>
      <c r="CH40" s="845"/>
      <c r="CI40" s="845"/>
      <c r="CJ40" s="845"/>
      <c r="CK40" s="845"/>
      <c r="CL40" s="845"/>
      <c r="CM40" s="845"/>
      <c r="CN40" s="845"/>
      <c r="CO40" s="845"/>
      <c r="CP40" s="845"/>
      <c r="CQ40" s="845"/>
      <c r="CR40" s="845"/>
      <c r="CS40" s="845"/>
      <c r="CT40" s="845"/>
      <c r="CU40" s="845"/>
      <c r="CV40" s="845"/>
      <c r="CW40" s="845"/>
      <c r="CX40" s="845"/>
      <c r="CY40" s="845"/>
      <c r="CZ40" s="845"/>
      <c r="DA40" s="845"/>
      <c r="DB40" s="845"/>
      <c r="DC40" s="845"/>
      <c r="DD40" s="845"/>
      <c r="DE40" s="845"/>
      <c r="DF40" s="845"/>
      <c r="DG40" s="845"/>
      <c r="DH40" s="845"/>
      <c r="DI40" s="845"/>
      <c r="DJ40" s="845"/>
      <c r="DK40" s="845"/>
      <c r="DL40" s="845"/>
      <c r="DM40" s="845"/>
      <c r="DN40" s="845"/>
      <c r="DO40" s="845"/>
      <c r="DP40" s="845"/>
      <c r="DQ40" s="845"/>
      <c r="DR40" s="845"/>
      <c r="DS40" s="845"/>
      <c r="DT40" s="845"/>
      <c r="DU40" s="845"/>
      <c r="DV40" s="845"/>
      <c r="DW40" s="845"/>
      <c r="DX40" s="845"/>
      <c r="DY40" s="845"/>
      <c r="DZ40" s="845"/>
      <c r="EA40" s="845"/>
      <c r="EB40" s="845"/>
      <c r="EC40" s="845"/>
      <c r="ED40" s="846"/>
    </row>
    <row r="41" spans="1:134" ht="12.75" customHeight="1" thickBot="1" x14ac:dyDescent="0.3">
      <c r="A41" s="1070">
        <v>3</v>
      </c>
      <c r="B41" s="793">
        <v>15</v>
      </c>
      <c r="C41" s="794" t="s">
        <v>11</v>
      </c>
      <c r="D41" s="866">
        <f>SUM(B38:B42)</f>
        <v>90</v>
      </c>
      <c r="E41" s="940"/>
      <c r="F41" s="940"/>
      <c r="G41" s="936">
        <v>5.5961655562070917E-2</v>
      </c>
      <c r="H41" s="937">
        <v>5.5961655562070917E-2</v>
      </c>
      <c r="I41" s="1075">
        <v>5.5961655562070917E-2</v>
      </c>
      <c r="J41"/>
      <c r="K41"/>
      <c r="L41"/>
      <c r="M41" s="740">
        <v>44.963636363636354</v>
      </c>
      <c r="N41" s="741">
        <v>50.315909090909081</v>
      </c>
      <c r="O41" s="742">
        <v>61.540909090909096</v>
      </c>
      <c r="P41" s="602"/>
      <c r="Q41" s="124">
        <v>11</v>
      </c>
      <c r="R41" s="819">
        <f t="shared" si="10"/>
        <v>1.2372463651484098</v>
      </c>
      <c r="X41" s="602"/>
      <c r="AG41" s="851">
        <v>61</v>
      </c>
      <c r="AH41" s="844"/>
      <c r="AI41" s="845"/>
      <c r="AJ41" s="845"/>
      <c r="AK41" s="845"/>
      <c r="AL41" s="845"/>
      <c r="AM41" s="845"/>
      <c r="AN41" s="845"/>
      <c r="AO41" s="845"/>
      <c r="AP41" s="845"/>
      <c r="AQ41" s="845"/>
      <c r="AR41" s="845"/>
      <c r="AS41" s="845"/>
      <c r="AT41" s="845"/>
      <c r="AU41" s="845"/>
      <c r="AV41" s="845"/>
      <c r="AW41" s="845"/>
      <c r="AX41" s="845"/>
      <c r="AY41" s="845"/>
      <c r="AZ41" s="845"/>
      <c r="BA41" s="845"/>
      <c r="BB41" s="845"/>
      <c r="BC41" s="845"/>
      <c r="BD41" s="845"/>
      <c r="BE41" s="845"/>
      <c r="BF41" s="845"/>
      <c r="BG41" s="845"/>
      <c r="BH41" s="845"/>
      <c r="BI41" s="845"/>
      <c r="BJ41" s="845"/>
      <c r="BK41" s="845"/>
      <c r="BL41" s="845"/>
      <c r="BM41" s="845"/>
      <c r="BN41" s="845"/>
      <c r="BO41" s="845"/>
      <c r="BP41" s="845"/>
      <c r="BQ41" s="845"/>
      <c r="BR41" s="845"/>
      <c r="BS41" s="845"/>
      <c r="BT41" s="845"/>
      <c r="BU41" s="845"/>
      <c r="BV41" s="845"/>
      <c r="BW41" s="845"/>
      <c r="BX41" s="845"/>
      <c r="BY41" s="845"/>
      <c r="BZ41" s="845"/>
      <c r="CA41" s="845"/>
      <c r="CB41" s="845"/>
      <c r="CC41" s="845"/>
      <c r="CD41" s="845"/>
      <c r="CE41" s="845"/>
      <c r="CF41" s="845"/>
      <c r="CG41" s="845"/>
      <c r="CH41" s="845"/>
      <c r="CI41" s="845"/>
      <c r="CJ41" s="845"/>
      <c r="CK41" s="845"/>
      <c r="CL41" s="845"/>
      <c r="CM41" s="845"/>
      <c r="CN41" s="845"/>
      <c r="CO41" s="845"/>
      <c r="CP41" s="845"/>
      <c r="CQ41" s="845"/>
      <c r="CR41" s="845"/>
      <c r="CS41" s="845"/>
      <c r="CT41" s="845"/>
      <c r="CU41" s="845"/>
      <c r="CV41" s="845"/>
      <c r="CW41" s="845"/>
      <c r="CX41" s="845"/>
      <c r="CY41" s="845"/>
      <c r="CZ41" s="845"/>
      <c r="DA41" s="845"/>
      <c r="DB41" s="845"/>
      <c r="DC41" s="845"/>
      <c r="DD41" s="845"/>
      <c r="DE41" s="845"/>
      <c r="DF41" s="845"/>
      <c r="DG41" s="845"/>
      <c r="DH41" s="845"/>
      <c r="DI41" s="845"/>
      <c r="DJ41" s="845"/>
      <c r="DK41" s="845"/>
      <c r="DL41" s="845"/>
      <c r="DM41" s="845"/>
      <c r="DN41" s="845"/>
      <c r="DO41" s="845"/>
      <c r="DP41" s="845"/>
      <c r="DQ41" s="845"/>
      <c r="DR41" s="845"/>
      <c r="DS41" s="845"/>
      <c r="DT41" s="845"/>
      <c r="DU41" s="845"/>
      <c r="DV41" s="845"/>
      <c r="DW41" s="845"/>
      <c r="DX41" s="845"/>
      <c r="DY41" s="845"/>
      <c r="DZ41" s="845"/>
      <c r="EA41" s="845"/>
      <c r="EB41" s="845"/>
      <c r="EC41" s="845"/>
      <c r="ED41" s="846"/>
    </row>
    <row r="42" spans="1:134" ht="12.75" customHeight="1" thickBot="1" x14ac:dyDescent="0.3">
      <c r="A42" s="1060">
        <v>3</v>
      </c>
      <c r="B42" s="795">
        <v>16</v>
      </c>
      <c r="C42" s="794" t="s">
        <v>10</v>
      </c>
      <c r="D42" s="867">
        <f>D41/D40</f>
        <v>1.2857142857142858</v>
      </c>
      <c r="E42" s="940"/>
      <c r="F42" s="940"/>
      <c r="G42" s="938">
        <v>-0.17951624960055734</v>
      </c>
      <c r="H42" s="939">
        <v>-0.17951624960055734</v>
      </c>
      <c r="I42" s="1076">
        <v>-0.17951624960055734</v>
      </c>
      <c r="J42"/>
      <c r="K42"/>
      <c r="L42"/>
      <c r="M42" s="728">
        <v>43.447619047619021</v>
      </c>
      <c r="N42" s="729">
        <v>50.878571428571433</v>
      </c>
      <c r="O42" s="730">
        <v>61.088095238095235</v>
      </c>
      <c r="P42" s="602"/>
      <c r="X42" s="602"/>
      <c r="AG42" s="851">
        <v>60</v>
      </c>
      <c r="AH42" s="844"/>
      <c r="AI42" s="845"/>
      <c r="AJ42" s="845"/>
      <c r="AK42" s="845"/>
      <c r="AL42" s="845"/>
      <c r="AM42" s="845"/>
      <c r="AN42" s="845"/>
      <c r="AO42" s="845"/>
      <c r="AP42" s="845"/>
      <c r="AQ42" s="845"/>
      <c r="AR42" s="845"/>
      <c r="AS42" s="845"/>
      <c r="AT42" s="845"/>
      <c r="AU42" s="845"/>
      <c r="AV42" s="845"/>
      <c r="AW42" s="845"/>
      <c r="AX42" s="845"/>
      <c r="AY42" s="845"/>
      <c r="AZ42" s="845"/>
      <c r="BA42" s="845"/>
      <c r="BB42" s="845"/>
      <c r="BC42" s="845"/>
      <c r="BD42" s="845"/>
      <c r="BE42" s="845"/>
      <c r="BF42" s="845"/>
      <c r="BG42" s="845"/>
      <c r="BH42" s="845"/>
      <c r="BI42" s="845"/>
      <c r="BJ42" s="845"/>
      <c r="BK42" s="845"/>
      <c r="BL42" s="845"/>
      <c r="BM42" s="845"/>
      <c r="BN42" s="845"/>
      <c r="BO42" s="845"/>
      <c r="BP42" s="845"/>
      <c r="BQ42" s="845"/>
      <c r="BR42" s="845"/>
      <c r="BS42" s="845"/>
      <c r="BT42" s="845"/>
      <c r="BU42" s="845"/>
      <c r="BV42" s="845"/>
      <c r="BW42" s="845"/>
      <c r="BX42" s="845"/>
      <c r="BY42" s="845"/>
      <c r="BZ42" s="845"/>
      <c r="CA42" s="845"/>
      <c r="CB42" s="845"/>
      <c r="CC42" s="845"/>
      <c r="CD42" s="845"/>
      <c r="CE42" s="845"/>
      <c r="CF42" s="845"/>
      <c r="CG42" s="845"/>
      <c r="CH42" s="845"/>
      <c r="CI42" s="845"/>
      <c r="CJ42" s="845"/>
      <c r="CK42" s="845"/>
      <c r="CL42" s="845"/>
      <c r="CM42" s="845"/>
      <c r="CN42" s="845"/>
      <c r="CO42" s="845"/>
      <c r="CP42" s="845"/>
      <c r="CQ42" s="845"/>
      <c r="CR42" s="845"/>
      <c r="CS42" s="845"/>
      <c r="CT42" s="845"/>
      <c r="CU42" s="845"/>
      <c r="CV42" s="845"/>
      <c r="CW42" s="845"/>
      <c r="CX42" s="845"/>
      <c r="CY42" s="845"/>
      <c r="CZ42" s="845"/>
      <c r="DA42" s="845"/>
      <c r="DB42" s="845"/>
      <c r="DC42" s="845"/>
      <c r="DD42" s="845"/>
      <c r="DE42" s="845"/>
      <c r="DF42" s="845"/>
      <c r="DG42" s="845"/>
      <c r="DH42" s="845"/>
      <c r="DI42" s="845"/>
      <c r="DJ42" s="845"/>
      <c r="DK42" s="845"/>
      <c r="DL42" s="845"/>
      <c r="DM42" s="845"/>
      <c r="DN42" s="845"/>
      <c r="DO42" s="845"/>
      <c r="DP42" s="845"/>
      <c r="DQ42" s="845"/>
      <c r="DR42" s="845"/>
      <c r="DS42" s="845"/>
      <c r="DT42" s="845"/>
      <c r="DU42" s="845"/>
      <c r="DV42" s="845"/>
      <c r="DW42" s="845"/>
      <c r="DX42" s="845"/>
      <c r="DY42" s="845"/>
      <c r="DZ42" s="845"/>
      <c r="EA42" s="845"/>
      <c r="EB42" s="845"/>
      <c r="EC42" s="845"/>
      <c r="ED42" s="846"/>
    </row>
    <row r="43" spans="1:134" ht="12.75" customHeight="1" thickBot="1" x14ac:dyDescent="0.3">
      <c r="A43" s="1063">
        <v>1</v>
      </c>
      <c r="B43" s="1064">
        <v>0</v>
      </c>
      <c r="C43" s="1065">
        <v>0</v>
      </c>
      <c r="D43" s="704"/>
      <c r="E43" s="940"/>
      <c r="F43" s="940"/>
      <c r="G43" s="930">
        <v>-0.12006766433586318</v>
      </c>
      <c r="H43" s="931">
        <v>-0.12006766433586318</v>
      </c>
      <c r="I43" s="1072">
        <v>-0.12006766433586318</v>
      </c>
      <c r="L43"/>
      <c r="M43" s="731">
        <v>23.197560975609765</v>
      </c>
      <c r="N43" s="732">
        <v>34.014634146341464</v>
      </c>
      <c r="O43" s="733">
        <v>41.943902439024399</v>
      </c>
      <c r="P43" s="602"/>
      <c r="Q43" s="1080" t="str">
        <f>Lang!$A$53</f>
        <v>Training</v>
      </c>
      <c r="R43" s="1103"/>
      <c r="X43" s="602"/>
      <c r="AG43" s="851">
        <v>59</v>
      </c>
      <c r="AH43" s="844"/>
      <c r="AI43" s="845"/>
      <c r="AJ43" s="845"/>
      <c r="AK43" s="845"/>
      <c r="AL43" s="845"/>
      <c r="AM43" s="845"/>
      <c r="AN43" s="845"/>
      <c r="AO43" s="845"/>
      <c r="AP43" s="845"/>
      <c r="AQ43" s="845"/>
      <c r="AR43" s="845"/>
      <c r="AS43" s="845"/>
      <c r="AT43" s="845"/>
      <c r="AU43" s="845"/>
      <c r="AV43" s="845"/>
      <c r="AW43" s="845"/>
      <c r="AX43" s="845"/>
      <c r="AY43" s="845"/>
      <c r="AZ43" s="845"/>
      <c r="BA43" s="845"/>
      <c r="BB43" s="845"/>
      <c r="BC43" s="845"/>
      <c r="BD43" s="845"/>
      <c r="BE43" s="845"/>
      <c r="BF43" s="845"/>
      <c r="BG43" s="845"/>
      <c r="BH43" s="845"/>
      <c r="BI43" s="845"/>
      <c r="BJ43" s="845"/>
      <c r="BK43" s="845"/>
      <c r="BL43" s="845"/>
      <c r="BM43" s="845"/>
      <c r="BN43" s="845"/>
      <c r="BO43" s="845"/>
      <c r="BP43" s="845"/>
      <c r="BQ43" s="845"/>
      <c r="BR43" s="845"/>
      <c r="BS43" s="845"/>
      <c r="BT43" s="845"/>
      <c r="BU43" s="845"/>
      <c r="BV43" s="845"/>
      <c r="BW43" s="845"/>
      <c r="BX43" s="845"/>
      <c r="BY43" s="845"/>
      <c r="BZ43" s="845"/>
      <c r="CA43" s="845"/>
      <c r="CB43" s="845"/>
      <c r="CC43" s="845"/>
      <c r="CD43" s="845"/>
      <c r="CE43" s="845"/>
      <c r="CF43" s="845"/>
      <c r="CG43" s="845"/>
      <c r="CH43" s="845"/>
      <c r="CI43" s="845"/>
      <c r="CJ43" s="845"/>
      <c r="CK43" s="845"/>
      <c r="CL43" s="845"/>
      <c r="CM43" s="845"/>
      <c r="CN43" s="845"/>
      <c r="CO43" s="845"/>
      <c r="CP43" s="845"/>
      <c r="CQ43" s="845"/>
      <c r="CR43" s="845"/>
      <c r="CS43" s="845"/>
      <c r="CT43" s="845"/>
      <c r="CU43" s="845"/>
      <c r="CV43" s="845"/>
      <c r="CW43" s="845"/>
      <c r="CX43" s="845"/>
      <c r="CY43" s="845"/>
      <c r="CZ43" s="845"/>
      <c r="DA43" s="845"/>
      <c r="DB43" s="845"/>
      <c r="DC43" s="845"/>
      <c r="DD43" s="845"/>
      <c r="DE43" s="845"/>
      <c r="DF43" s="845"/>
      <c r="DG43" s="845"/>
      <c r="DH43" s="845"/>
      <c r="DI43" s="845"/>
      <c r="DJ43" s="845"/>
      <c r="DK43" s="845"/>
      <c r="DL43" s="845"/>
      <c r="DM43" s="845"/>
      <c r="DN43" s="845"/>
      <c r="DO43" s="845"/>
      <c r="DP43" s="845"/>
      <c r="DQ43" s="845"/>
      <c r="DR43" s="845"/>
      <c r="DS43" s="845"/>
      <c r="DT43" s="845"/>
      <c r="DU43" s="845"/>
      <c r="DV43" s="845"/>
      <c r="DW43" s="845"/>
      <c r="DX43" s="845"/>
      <c r="DY43" s="845"/>
      <c r="DZ43" s="845"/>
      <c r="EA43" s="845"/>
      <c r="EB43" s="845"/>
      <c r="EC43" s="845"/>
      <c r="ED43" s="846"/>
    </row>
    <row r="44" spans="1:134" ht="12.75" customHeight="1" thickBot="1" x14ac:dyDescent="0.3">
      <c r="A44" s="940"/>
      <c r="B44" s="940"/>
      <c r="C44" s="940"/>
      <c r="D44" s="940"/>
      <c r="E44" s="940"/>
      <c r="F44" s="940"/>
      <c r="G44" s="936">
        <v>-0.10776670447584027</v>
      </c>
      <c r="H44" s="937">
        <v>-0.10776670447584027</v>
      </c>
      <c r="I44" s="1075">
        <v>-0.10776670447584027</v>
      </c>
      <c r="J44"/>
      <c r="K44"/>
      <c r="L44"/>
      <c r="M44" s="734">
        <v>47.495238095238079</v>
      </c>
      <c r="N44" s="735">
        <v>52.723809523809514</v>
      </c>
      <c r="O44" s="736">
        <v>63.904761904761884</v>
      </c>
      <c r="Q44" s="126">
        <v>1</v>
      </c>
      <c r="R44" s="814">
        <f>Q44^G$22</f>
        <v>1</v>
      </c>
      <c r="AG44" s="851">
        <v>58</v>
      </c>
      <c r="AH44" s="844"/>
      <c r="AI44" s="845"/>
      <c r="AJ44" s="845"/>
      <c r="AK44" s="845"/>
      <c r="AL44" s="845"/>
      <c r="AM44" s="845"/>
      <c r="AN44" s="845"/>
      <c r="AO44" s="845"/>
      <c r="AP44" s="845"/>
      <c r="AQ44" s="845"/>
      <c r="AR44" s="845"/>
      <c r="AS44" s="845"/>
      <c r="AT44" s="845"/>
      <c r="AU44" s="845"/>
      <c r="AV44" s="845"/>
      <c r="AW44" s="845"/>
      <c r="AX44" s="845"/>
      <c r="AY44" s="845"/>
      <c r="AZ44" s="845"/>
      <c r="BA44" s="845"/>
      <c r="BB44" s="845"/>
      <c r="BC44" s="845"/>
      <c r="BD44" s="845"/>
      <c r="BE44" s="845"/>
      <c r="BF44" s="845"/>
      <c r="BG44" s="845"/>
      <c r="BH44" s="845"/>
      <c r="BI44" s="845"/>
      <c r="BJ44" s="845"/>
      <c r="BK44" s="845"/>
      <c r="BL44" s="845"/>
      <c r="BM44" s="845"/>
      <c r="BN44" s="845"/>
      <c r="BO44" s="845"/>
      <c r="BP44" s="845"/>
      <c r="BQ44" s="845"/>
      <c r="BR44" s="845"/>
      <c r="BS44" s="845"/>
      <c r="BT44" s="845"/>
      <c r="BU44" s="845"/>
      <c r="BV44" s="845"/>
      <c r="BW44" s="845"/>
      <c r="BX44" s="845"/>
      <c r="BY44" s="845"/>
      <c r="BZ44" s="845"/>
      <c r="CA44" s="845"/>
      <c r="CB44" s="845"/>
      <c r="CC44" s="845"/>
      <c r="CD44" s="845"/>
      <c r="CE44" s="845"/>
      <c r="CF44" s="845"/>
      <c r="CG44" s="845"/>
      <c r="CH44" s="845"/>
      <c r="CI44" s="845"/>
      <c r="CJ44" s="845"/>
      <c r="CK44" s="845"/>
      <c r="CL44" s="845"/>
      <c r="CM44" s="845"/>
      <c r="CN44" s="845"/>
      <c r="CO44" s="845"/>
      <c r="CP44" s="845"/>
      <c r="CQ44" s="845"/>
      <c r="CR44" s="845"/>
      <c r="CS44" s="845"/>
      <c r="CT44" s="845"/>
      <c r="CU44" s="845"/>
      <c r="CV44" s="845"/>
      <c r="CW44" s="845"/>
      <c r="CX44" s="845"/>
      <c r="CY44" s="845"/>
      <c r="CZ44" s="845"/>
      <c r="DA44" s="845"/>
      <c r="DB44" s="845"/>
      <c r="DC44" s="845"/>
      <c r="DD44" s="845"/>
      <c r="DE44" s="845"/>
      <c r="DF44" s="845"/>
      <c r="DG44" s="845"/>
      <c r="DH44" s="845"/>
      <c r="DI44" s="845"/>
      <c r="DJ44" s="845"/>
      <c r="DK44" s="845"/>
      <c r="DL44" s="845"/>
      <c r="DM44" s="845"/>
      <c r="DN44" s="845"/>
      <c r="DO44" s="845"/>
      <c r="DP44" s="845"/>
      <c r="DQ44" s="845"/>
      <c r="DR44" s="845"/>
      <c r="DS44" s="845"/>
      <c r="DT44" s="845"/>
      <c r="DU44" s="845"/>
      <c r="DV44" s="845"/>
      <c r="DW44" s="845"/>
      <c r="DX44" s="845"/>
      <c r="DY44" s="845"/>
      <c r="DZ44" s="845"/>
      <c r="EA44" s="845"/>
      <c r="EB44" s="845"/>
      <c r="EC44" s="845"/>
      <c r="ED44" s="846"/>
    </row>
    <row r="45" spans="1:134" ht="12.75" customHeight="1" x14ac:dyDescent="0.25">
      <c r="E45" s="602"/>
      <c r="Q45" s="123">
        <v>9</v>
      </c>
      <c r="R45" s="814">
        <f t="shared" ref="R45:R55" si="11">Q45^G$22</f>
        <v>1.0215477580844465</v>
      </c>
      <c r="AG45" s="851">
        <v>57</v>
      </c>
      <c r="AH45" s="844"/>
      <c r="AI45" s="845"/>
      <c r="AJ45" s="845"/>
      <c r="AK45" s="845"/>
      <c r="AL45" s="845"/>
      <c r="AM45" s="845"/>
      <c r="AN45" s="845"/>
      <c r="AO45" s="845"/>
      <c r="AP45" s="845"/>
      <c r="AQ45" s="845"/>
      <c r="AR45" s="845"/>
      <c r="AS45" s="845"/>
      <c r="AT45" s="845"/>
      <c r="AU45" s="845"/>
      <c r="AV45" s="845"/>
      <c r="AW45" s="845"/>
      <c r="AX45" s="845"/>
      <c r="AY45" s="845"/>
      <c r="AZ45" s="845"/>
      <c r="BA45" s="845"/>
      <c r="BB45" s="845"/>
      <c r="BC45" s="845"/>
      <c r="BD45" s="845"/>
      <c r="BE45" s="845"/>
      <c r="BF45" s="845"/>
      <c r="BG45" s="845"/>
      <c r="BH45" s="845"/>
      <c r="BI45" s="845"/>
      <c r="BJ45" s="845"/>
      <c r="BK45" s="845"/>
      <c r="BL45" s="845"/>
      <c r="BM45" s="845"/>
      <c r="BN45" s="845"/>
      <c r="BO45" s="845"/>
      <c r="BP45" s="845"/>
      <c r="BQ45" s="845"/>
      <c r="BR45" s="845"/>
      <c r="BS45" s="845"/>
      <c r="BT45" s="845"/>
      <c r="BU45" s="845"/>
      <c r="BV45" s="845"/>
      <c r="BW45" s="845"/>
      <c r="BX45" s="845"/>
      <c r="BY45" s="845"/>
      <c r="BZ45" s="845"/>
      <c r="CA45" s="845"/>
      <c r="CB45" s="845"/>
      <c r="CC45" s="845"/>
      <c r="CD45" s="845"/>
      <c r="CE45" s="845"/>
      <c r="CF45" s="845"/>
      <c r="CG45" s="845"/>
      <c r="CH45" s="845"/>
      <c r="CI45" s="845"/>
      <c r="CJ45" s="845"/>
      <c r="CK45" s="845"/>
      <c r="CL45" s="845"/>
      <c r="CM45" s="845"/>
      <c r="CN45" s="845"/>
      <c r="CO45" s="845"/>
      <c r="CP45" s="845"/>
      <c r="CQ45" s="845"/>
      <c r="CR45" s="845"/>
      <c r="CS45" s="845"/>
      <c r="CT45" s="845"/>
      <c r="CU45" s="845"/>
      <c r="CV45" s="845"/>
      <c r="CW45" s="845"/>
      <c r="CX45" s="845"/>
      <c r="CY45" s="845"/>
      <c r="CZ45" s="845"/>
      <c r="DA45" s="845"/>
      <c r="DB45" s="845"/>
      <c r="DC45" s="845"/>
      <c r="DD45" s="845"/>
      <c r="DE45" s="845"/>
      <c r="DF45" s="845"/>
      <c r="DG45" s="845"/>
      <c r="DH45" s="845"/>
      <c r="DI45" s="845"/>
      <c r="DJ45" s="845"/>
      <c r="DK45" s="845"/>
      <c r="DL45" s="845"/>
      <c r="DM45" s="845"/>
      <c r="DN45" s="845"/>
      <c r="DO45" s="845"/>
      <c r="DP45" s="845"/>
      <c r="DQ45" s="845"/>
      <c r="DR45" s="845"/>
      <c r="DS45" s="845"/>
      <c r="DT45" s="845"/>
      <c r="DU45" s="845"/>
      <c r="DV45" s="845"/>
      <c r="DW45" s="845"/>
      <c r="DX45" s="845"/>
      <c r="DY45" s="845"/>
      <c r="DZ45" s="845"/>
      <c r="EA45" s="845"/>
      <c r="EB45" s="845"/>
      <c r="EC45" s="845"/>
      <c r="ED45" s="846"/>
    </row>
    <row r="46" spans="1:134" ht="12.75" customHeight="1" x14ac:dyDescent="0.25">
      <c r="Q46" s="123">
        <v>18</v>
      </c>
      <c r="R46" s="814">
        <f t="shared" si="11"/>
        <v>1.0284411890223524</v>
      </c>
      <c r="AG46" s="851">
        <v>56</v>
      </c>
      <c r="AH46" s="844"/>
      <c r="AI46" s="845"/>
      <c r="AJ46" s="845"/>
      <c r="AK46" s="845"/>
      <c r="AL46" s="845"/>
      <c r="AM46" s="845"/>
      <c r="AN46" s="845"/>
      <c r="AO46" s="845"/>
      <c r="AP46" s="845"/>
      <c r="AQ46" s="845"/>
      <c r="AR46" s="845"/>
      <c r="AS46" s="845"/>
      <c r="AT46" s="845"/>
      <c r="AU46" s="845"/>
      <c r="AV46" s="845"/>
      <c r="AW46" s="845"/>
      <c r="AX46" s="845"/>
      <c r="AY46" s="845"/>
      <c r="AZ46" s="845"/>
      <c r="BA46" s="845"/>
      <c r="BB46" s="845"/>
      <c r="BC46" s="845"/>
      <c r="BD46" s="845"/>
      <c r="BE46" s="845"/>
      <c r="BF46" s="845"/>
      <c r="BG46" s="845"/>
      <c r="BH46" s="845"/>
      <c r="BI46" s="845"/>
      <c r="BJ46" s="845"/>
      <c r="BK46" s="845"/>
      <c r="BL46" s="845"/>
      <c r="BM46" s="845"/>
      <c r="BN46" s="845"/>
      <c r="BO46" s="845"/>
      <c r="BP46" s="845"/>
      <c r="BQ46" s="845"/>
      <c r="BR46" s="845"/>
      <c r="BS46" s="845"/>
      <c r="BT46" s="845"/>
      <c r="BU46" s="845"/>
      <c r="BV46" s="845"/>
      <c r="BW46" s="845"/>
      <c r="BX46" s="845"/>
      <c r="BY46" s="845"/>
      <c r="BZ46" s="845"/>
      <c r="CA46" s="845"/>
      <c r="CB46" s="845"/>
      <c r="CC46" s="845"/>
      <c r="CD46" s="845"/>
      <c r="CE46" s="845"/>
      <c r="CF46" s="845"/>
      <c r="CG46" s="845"/>
      <c r="CH46" s="845"/>
      <c r="CI46" s="845"/>
      <c r="CJ46" s="845"/>
      <c r="CK46" s="845"/>
      <c r="CL46" s="845"/>
      <c r="CM46" s="845"/>
      <c r="CN46" s="845"/>
      <c r="CO46" s="845"/>
      <c r="CP46" s="845"/>
      <c r="CQ46" s="845"/>
      <c r="CR46" s="845"/>
      <c r="CS46" s="845"/>
      <c r="CT46" s="845"/>
      <c r="CU46" s="845"/>
      <c r="CV46" s="845"/>
      <c r="CW46" s="845"/>
      <c r="CX46" s="845"/>
      <c r="CY46" s="845"/>
      <c r="CZ46" s="845"/>
      <c r="DA46" s="845"/>
      <c r="DB46" s="845"/>
      <c r="DC46" s="845"/>
      <c r="DD46" s="845"/>
      <c r="DE46" s="845"/>
      <c r="DF46" s="845"/>
      <c r="DG46" s="845"/>
      <c r="DH46" s="845"/>
      <c r="DI46" s="845"/>
      <c r="DJ46" s="845"/>
      <c r="DK46" s="845"/>
      <c r="DL46" s="845"/>
      <c r="DM46" s="845"/>
      <c r="DN46" s="845"/>
      <c r="DO46" s="845"/>
      <c r="DP46" s="845"/>
      <c r="DQ46" s="845"/>
      <c r="DR46" s="845"/>
      <c r="DS46" s="845"/>
      <c r="DT46" s="845"/>
      <c r="DU46" s="845"/>
      <c r="DV46" s="845"/>
      <c r="DW46" s="845"/>
      <c r="DX46" s="845"/>
      <c r="DY46" s="845"/>
      <c r="DZ46" s="845"/>
      <c r="EA46" s="845"/>
      <c r="EB46" s="845"/>
      <c r="EC46" s="845"/>
      <c r="ED46" s="846"/>
    </row>
    <row r="47" spans="1:134" ht="12.75" customHeight="1" x14ac:dyDescent="0.25">
      <c r="C47" s="617"/>
      <c r="D47" s="617"/>
      <c r="H47" s="95"/>
      <c r="I47" s="95"/>
      <c r="J47" s="95"/>
      <c r="K47" s="95"/>
      <c r="L47" s="95"/>
      <c r="M47" s="95"/>
      <c r="Q47" s="123">
        <v>27</v>
      </c>
      <c r="R47" s="814">
        <f t="shared" si="11"/>
        <v>1.0324951315330662</v>
      </c>
      <c r="AG47" s="851">
        <v>55</v>
      </c>
      <c r="AH47" s="844"/>
      <c r="AI47" s="845"/>
      <c r="AJ47" s="845"/>
      <c r="AK47" s="845"/>
      <c r="AL47" s="845"/>
      <c r="AM47" s="845"/>
      <c r="AN47" s="845"/>
      <c r="AO47" s="845"/>
      <c r="AP47" s="845"/>
      <c r="AQ47" s="845"/>
      <c r="AR47" s="845"/>
      <c r="AS47" s="845"/>
      <c r="AT47" s="845"/>
      <c r="AU47" s="845"/>
      <c r="AV47" s="845"/>
      <c r="AW47" s="845"/>
      <c r="AX47" s="845"/>
      <c r="AY47" s="845"/>
      <c r="AZ47" s="845"/>
      <c r="BA47" s="845"/>
      <c r="BB47" s="845"/>
      <c r="BC47" s="845"/>
      <c r="BD47" s="845"/>
      <c r="BE47" s="845"/>
      <c r="BF47" s="845"/>
      <c r="BG47" s="845"/>
      <c r="BH47" s="845"/>
      <c r="BI47" s="845"/>
      <c r="BJ47" s="845"/>
      <c r="BK47" s="845"/>
      <c r="BL47" s="845"/>
      <c r="BM47" s="845"/>
      <c r="BN47" s="845"/>
      <c r="BO47" s="845"/>
      <c r="BP47" s="845"/>
      <c r="BQ47" s="845"/>
      <c r="BR47" s="845"/>
      <c r="BS47" s="845"/>
      <c r="BT47" s="845"/>
      <c r="BU47" s="845"/>
      <c r="BV47" s="845"/>
      <c r="BW47" s="845"/>
      <c r="BX47" s="845"/>
      <c r="BY47" s="845"/>
      <c r="BZ47" s="845"/>
      <c r="CA47" s="845"/>
      <c r="CB47" s="845"/>
      <c r="CC47" s="845"/>
      <c r="CD47" s="845"/>
      <c r="CE47" s="845"/>
      <c r="CF47" s="845"/>
      <c r="CG47" s="845"/>
      <c r="CH47" s="845"/>
      <c r="CI47" s="845"/>
      <c r="CJ47" s="845"/>
      <c r="CK47" s="845"/>
      <c r="CL47" s="845"/>
      <c r="CM47" s="845"/>
      <c r="CN47" s="845"/>
      <c r="CO47" s="845"/>
      <c r="CP47" s="845"/>
      <c r="CQ47" s="845"/>
      <c r="CR47" s="845"/>
      <c r="CS47" s="845"/>
      <c r="CT47" s="845"/>
      <c r="CU47" s="845"/>
      <c r="CV47" s="845"/>
      <c r="CW47" s="845"/>
      <c r="CX47" s="845"/>
      <c r="CY47" s="845"/>
      <c r="CZ47" s="845"/>
      <c r="DA47" s="845"/>
      <c r="DB47" s="845"/>
      <c r="DC47" s="845"/>
      <c r="DD47" s="845"/>
      <c r="DE47" s="845"/>
      <c r="DF47" s="845"/>
      <c r="DG47" s="845"/>
      <c r="DH47" s="845"/>
      <c r="DI47" s="845"/>
      <c r="DJ47" s="845"/>
      <c r="DK47" s="845"/>
      <c r="DL47" s="845"/>
      <c r="DM47" s="845"/>
      <c r="DN47" s="845"/>
      <c r="DO47" s="845"/>
      <c r="DP47" s="845"/>
      <c r="DQ47" s="845"/>
      <c r="DR47" s="845"/>
      <c r="DS47" s="845"/>
      <c r="DT47" s="845"/>
      <c r="DU47" s="845"/>
      <c r="DV47" s="845"/>
      <c r="DW47" s="845"/>
      <c r="DX47" s="845"/>
      <c r="DY47" s="845"/>
      <c r="DZ47" s="845"/>
      <c r="EA47" s="845"/>
      <c r="EB47" s="845"/>
      <c r="EC47" s="845"/>
      <c r="ED47" s="846"/>
    </row>
    <row r="48" spans="1:134" ht="12.75" customHeight="1" x14ac:dyDescent="0.25">
      <c r="C48" s="617"/>
      <c r="D48" s="617"/>
      <c r="G48" s="8"/>
      <c r="H48" s="942"/>
      <c r="I48" s="942"/>
      <c r="J48" s="942"/>
      <c r="K48" s="942"/>
      <c r="L48" s="942"/>
      <c r="M48" s="942"/>
      <c r="N48" s="8"/>
      <c r="Q48" s="123">
        <v>36</v>
      </c>
      <c r="R48" s="814">
        <f t="shared" si="11"/>
        <v>1.0353811370121724</v>
      </c>
      <c r="AG48" s="851">
        <v>54</v>
      </c>
      <c r="AH48" s="844"/>
      <c r="AI48" s="845"/>
      <c r="AJ48" s="845"/>
      <c r="AK48" s="845"/>
      <c r="AL48" s="845"/>
      <c r="AM48" s="845"/>
      <c r="AN48" s="845"/>
      <c r="AO48" s="845"/>
      <c r="AP48" s="845"/>
      <c r="AQ48" s="845"/>
      <c r="AR48" s="845"/>
      <c r="AS48" s="845"/>
      <c r="AT48" s="845"/>
      <c r="AU48" s="845"/>
      <c r="AV48" s="845"/>
      <c r="AW48" s="845"/>
      <c r="AX48" s="845"/>
      <c r="AY48" s="845"/>
      <c r="AZ48" s="845"/>
      <c r="BA48" s="845"/>
      <c r="BB48" s="845"/>
      <c r="BC48" s="845"/>
      <c r="BD48" s="845"/>
      <c r="BE48" s="845"/>
      <c r="BF48" s="845"/>
      <c r="BG48" s="845"/>
      <c r="BH48" s="845"/>
      <c r="BI48" s="845"/>
      <c r="BJ48" s="845"/>
      <c r="BK48" s="845"/>
      <c r="BL48" s="845"/>
      <c r="BM48" s="845"/>
      <c r="BN48" s="845"/>
      <c r="BO48" s="845"/>
      <c r="BP48" s="845"/>
      <c r="BQ48" s="845"/>
      <c r="BR48" s="845"/>
      <c r="BS48" s="845"/>
      <c r="BT48" s="845"/>
      <c r="BU48" s="845"/>
      <c r="BV48" s="845"/>
      <c r="BW48" s="845"/>
      <c r="BX48" s="845"/>
      <c r="BY48" s="845"/>
      <c r="BZ48" s="845"/>
      <c r="CA48" s="845"/>
      <c r="CB48" s="845"/>
      <c r="CC48" s="845"/>
      <c r="CD48" s="845"/>
      <c r="CE48" s="845"/>
      <c r="CF48" s="845"/>
      <c r="CG48" s="845"/>
      <c r="CH48" s="845"/>
      <c r="CI48" s="845"/>
      <c r="CJ48" s="845"/>
      <c r="CK48" s="845"/>
      <c r="CL48" s="845"/>
      <c r="CM48" s="845"/>
      <c r="CN48" s="845"/>
      <c r="CO48" s="845"/>
      <c r="CP48" s="845"/>
      <c r="CQ48" s="845"/>
      <c r="CR48" s="845"/>
      <c r="CS48" s="845"/>
      <c r="CT48" s="845"/>
      <c r="CU48" s="845"/>
      <c r="CV48" s="845"/>
      <c r="CW48" s="845"/>
      <c r="CX48" s="845"/>
      <c r="CY48" s="845"/>
      <c r="CZ48" s="845"/>
      <c r="DA48" s="845"/>
      <c r="DB48" s="845"/>
      <c r="DC48" s="845"/>
      <c r="DD48" s="845"/>
      <c r="DE48" s="845"/>
      <c r="DF48" s="845"/>
      <c r="DG48" s="845"/>
      <c r="DH48" s="845"/>
      <c r="DI48" s="845"/>
      <c r="DJ48" s="845"/>
      <c r="DK48" s="845"/>
      <c r="DL48" s="845"/>
      <c r="DM48" s="845"/>
      <c r="DN48" s="845"/>
      <c r="DO48" s="845"/>
      <c r="DP48" s="845"/>
      <c r="DQ48" s="845"/>
      <c r="DR48" s="845"/>
      <c r="DS48" s="845"/>
      <c r="DT48" s="845"/>
      <c r="DU48" s="845"/>
      <c r="DV48" s="845"/>
      <c r="DW48" s="845"/>
      <c r="DX48" s="845"/>
      <c r="DY48" s="845"/>
      <c r="DZ48" s="845"/>
      <c r="EA48" s="845"/>
      <c r="EB48" s="845"/>
      <c r="EC48" s="845"/>
      <c r="ED48" s="846"/>
    </row>
    <row r="49" spans="1:134" ht="12.75" customHeight="1" x14ac:dyDescent="0.25">
      <c r="C49" s="617"/>
      <c r="D49" s="617"/>
      <c r="G49" s="8"/>
      <c r="H49" s="703"/>
      <c r="I49" s="703"/>
      <c r="J49" s="703"/>
      <c r="K49" s="703"/>
      <c r="L49" s="703"/>
      <c r="M49" s="942"/>
      <c r="N49" s="8"/>
      <c r="Q49" s="123">
        <v>45</v>
      </c>
      <c r="R49" s="814">
        <f t="shared" si="11"/>
        <v>1.0376252509167483</v>
      </c>
      <c r="AG49" s="851">
        <v>53</v>
      </c>
      <c r="AH49" s="844"/>
      <c r="AI49" s="845"/>
      <c r="AJ49" s="845"/>
      <c r="AK49" s="845"/>
      <c r="AL49" s="845"/>
      <c r="AM49" s="845"/>
      <c r="AN49" s="845"/>
      <c r="AO49" s="845"/>
      <c r="AP49" s="845"/>
      <c r="AQ49" s="845"/>
      <c r="AR49" s="845"/>
      <c r="AS49" s="845"/>
      <c r="AT49" s="845"/>
      <c r="AU49" s="845"/>
      <c r="AV49" s="845"/>
      <c r="AW49" s="845"/>
      <c r="AX49" s="845"/>
      <c r="AY49" s="845"/>
      <c r="AZ49" s="845"/>
      <c r="BA49" s="845"/>
      <c r="BB49" s="845"/>
      <c r="BC49" s="845"/>
      <c r="BD49" s="845"/>
      <c r="BE49" s="845"/>
      <c r="BF49" s="845"/>
      <c r="BG49" s="845"/>
      <c r="BH49" s="845"/>
      <c r="BI49" s="845"/>
      <c r="BJ49" s="845"/>
      <c r="BK49" s="845"/>
      <c r="BL49" s="845"/>
      <c r="BM49" s="845"/>
      <c r="BN49" s="845"/>
      <c r="BO49" s="845"/>
      <c r="BP49" s="845"/>
      <c r="BQ49" s="845"/>
      <c r="BR49" s="845"/>
      <c r="BS49" s="845"/>
      <c r="BT49" s="845"/>
      <c r="BU49" s="845"/>
      <c r="BV49" s="845"/>
      <c r="BW49" s="845"/>
      <c r="BX49" s="845"/>
      <c r="BY49" s="845"/>
      <c r="BZ49" s="845"/>
      <c r="CA49" s="845"/>
      <c r="CB49" s="845"/>
      <c r="CC49" s="845"/>
      <c r="CD49" s="845"/>
      <c r="CE49" s="845"/>
      <c r="CF49" s="845"/>
      <c r="CG49" s="845"/>
      <c r="CH49" s="845"/>
      <c r="CI49" s="845"/>
      <c r="CJ49" s="845"/>
      <c r="CK49" s="845"/>
      <c r="CL49" s="845"/>
      <c r="CM49" s="845"/>
      <c r="CN49" s="845"/>
      <c r="CO49" s="845"/>
      <c r="CP49" s="845"/>
      <c r="CQ49" s="845"/>
      <c r="CR49" s="845"/>
      <c r="CS49" s="845"/>
      <c r="CT49" s="845"/>
      <c r="CU49" s="845"/>
      <c r="CV49" s="845"/>
      <c r="CW49" s="845"/>
      <c r="CX49" s="845"/>
      <c r="CY49" s="845"/>
      <c r="CZ49" s="845"/>
      <c r="DA49" s="845"/>
      <c r="DB49" s="845"/>
      <c r="DC49" s="845"/>
      <c r="DD49" s="845"/>
      <c r="DE49" s="845"/>
      <c r="DF49" s="845"/>
      <c r="DG49" s="845"/>
      <c r="DH49" s="845"/>
      <c r="DI49" s="845"/>
      <c r="DJ49" s="845"/>
      <c r="DK49" s="845"/>
      <c r="DL49" s="845"/>
      <c r="DM49" s="845"/>
      <c r="DN49" s="845"/>
      <c r="DO49" s="845"/>
      <c r="DP49" s="845"/>
      <c r="DQ49" s="845"/>
      <c r="DR49" s="845"/>
      <c r="DS49" s="845"/>
      <c r="DT49" s="845"/>
      <c r="DU49" s="845"/>
      <c r="DV49" s="845"/>
      <c r="DW49" s="845"/>
      <c r="DX49" s="845"/>
      <c r="DY49" s="845"/>
      <c r="DZ49" s="845"/>
      <c r="EA49" s="845"/>
      <c r="EB49" s="845"/>
      <c r="EC49" s="845"/>
      <c r="ED49" s="846"/>
    </row>
    <row r="50" spans="1:134" ht="12.75" customHeight="1" x14ac:dyDescent="0.25">
      <c r="C50" s="617"/>
      <c r="D50" s="617"/>
      <c r="Q50" s="123">
        <v>54</v>
      </c>
      <c r="R50" s="814">
        <f t="shared" si="11"/>
        <v>1.0394624356327722</v>
      </c>
      <c r="AG50" s="851">
        <v>52</v>
      </c>
      <c r="AH50" s="844"/>
      <c r="AI50" s="845"/>
      <c r="AJ50" s="845"/>
      <c r="AK50" s="845"/>
      <c r="AL50" s="845"/>
      <c r="AM50" s="845"/>
      <c r="AN50" s="845"/>
      <c r="AO50" s="845"/>
      <c r="AP50" s="845"/>
      <c r="AQ50" s="845"/>
      <c r="AR50" s="845"/>
      <c r="AS50" s="845"/>
      <c r="AT50" s="845"/>
      <c r="AU50" s="845"/>
      <c r="AV50" s="845"/>
      <c r="AW50" s="845"/>
      <c r="AX50" s="845"/>
      <c r="AY50" s="845"/>
      <c r="AZ50" s="845"/>
      <c r="BA50" s="845"/>
      <c r="BB50" s="845"/>
      <c r="BC50" s="845"/>
      <c r="BD50" s="845"/>
      <c r="BE50" s="845"/>
      <c r="BF50" s="845"/>
      <c r="BG50" s="845"/>
      <c r="BH50" s="845"/>
      <c r="BI50" s="845"/>
      <c r="BJ50" s="845"/>
      <c r="BK50" s="845"/>
      <c r="BL50" s="845"/>
      <c r="BM50" s="845"/>
      <c r="BN50" s="845"/>
      <c r="BO50" s="845"/>
      <c r="BP50" s="845"/>
      <c r="BQ50" s="845"/>
      <c r="BR50" s="845"/>
      <c r="BS50" s="845"/>
      <c r="BT50" s="845"/>
      <c r="BU50" s="845"/>
      <c r="BV50" s="845"/>
      <c r="BW50" s="845"/>
      <c r="BX50" s="845"/>
      <c r="BY50" s="845"/>
      <c r="BZ50" s="845"/>
      <c r="CA50" s="845"/>
      <c r="CB50" s="845"/>
      <c r="CC50" s="845"/>
      <c r="CD50" s="845"/>
      <c r="CE50" s="845"/>
      <c r="CF50" s="845"/>
      <c r="CG50" s="845"/>
      <c r="CH50" s="845"/>
      <c r="CI50" s="845"/>
      <c r="CJ50" s="845"/>
      <c r="CK50" s="845"/>
      <c r="CL50" s="845"/>
      <c r="CM50" s="845"/>
      <c r="CN50" s="845"/>
      <c r="CO50" s="845"/>
      <c r="CP50" s="845"/>
      <c r="CQ50" s="845"/>
      <c r="CR50" s="845"/>
      <c r="CS50" s="845"/>
      <c r="CT50" s="845"/>
      <c r="CU50" s="845"/>
      <c r="CV50" s="845"/>
      <c r="CW50" s="845"/>
      <c r="CX50" s="845"/>
      <c r="CY50" s="845"/>
      <c r="CZ50" s="845"/>
      <c r="DA50" s="845"/>
      <c r="DB50" s="845"/>
      <c r="DC50" s="845"/>
      <c r="DD50" s="845"/>
      <c r="DE50" s="845"/>
      <c r="DF50" s="845"/>
      <c r="DG50" s="845"/>
      <c r="DH50" s="845"/>
      <c r="DI50" s="845"/>
      <c r="DJ50" s="845"/>
      <c r="DK50" s="845"/>
      <c r="DL50" s="845"/>
      <c r="DM50" s="845"/>
      <c r="DN50" s="845"/>
      <c r="DO50" s="845"/>
      <c r="DP50" s="845"/>
      <c r="DQ50" s="845"/>
      <c r="DR50" s="845"/>
      <c r="DS50" s="845"/>
      <c r="DT50" s="845"/>
      <c r="DU50" s="845"/>
      <c r="DV50" s="845"/>
      <c r="DW50" s="845"/>
      <c r="DX50" s="845"/>
      <c r="DY50" s="845"/>
      <c r="DZ50" s="845"/>
      <c r="EA50" s="845"/>
      <c r="EB50" s="845"/>
      <c r="EC50" s="845"/>
      <c r="ED50" s="846"/>
    </row>
    <row r="51" spans="1:134" ht="12.75" customHeight="1" thickBot="1" x14ac:dyDescent="0.3">
      <c r="C51" s="617"/>
      <c r="D51" s="617"/>
      <c r="E51" s="602"/>
      <c r="Q51" s="123">
        <v>63</v>
      </c>
      <c r="R51" s="814">
        <f t="shared" si="11"/>
        <v>1.0410182907249181</v>
      </c>
      <c r="AG51" s="851">
        <v>51</v>
      </c>
      <c r="AH51" s="844"/>
      <c r="AI51" s="845"/>
      <c r="AJ51" s="845"/>
      <c r="AK51" s="845"/>
      <c r="AL51" s="845"/>
      <c r="AM51" s="845"/>
      <c r="AN51" s="845"/>
      <c r="AO51" s="845"/>
      <c r="AP51" s="845"/>
      <c r="AQ51" s="845"/>
      <c r="AR51" s="845"/>
      <c r="AS51" s="845"/>
      <c r="AT51" s="845"/>
      <c r="AU51" s="845"/>
      <c r="AV51" s="845"/>
      <c r="AW51" s="845"/>
      <c r="AX51" s="845"/>
      <c r="AY51" s="845"/>
      <c r="AZ51" s="845"/>
      <c r="BA51" s="845"/>
      <c r="BB51" s="845"/>
      <c r="BC51" s="845"/>
      <c r="BD51" s="845"/>
      <c r="BE51" s="845"/>
      <c r="BF51" s="845"/>
      <c r="BG51" s="845"/>
      <c r="BH51" s="845"/>
      <c r="BI51" s="845"/>
      <c r="BJ51" s="845"/>
      <c r="BK51" s="845"/>
      <c r="BL51" s="845"/>
      <c r="BM51" s="845"/>
      <c r="BN51" s="845"/>
      <c r="BO51" s="845"/>
      <c r="BP51" s="845"/>
      <c r="BQ51" s="845"/>
      <c r="BR51" s="845"/>
      <c r="BS51" s="845"/>
      <c r="BT51" s="845"/>
      <c r="BU51" s="845"/>
      <c r="BV51" s="845"/>
      <c r="BW51" s="845"/>
      <c r="BX51" s="845"/>
      <c r="BY51" s="845"/>
      <c r="BZ51" s="845"/>
      <c r="CA51" s="845"/>
      <c r="CB51" s="845"/>
      <c r="CC51" s="845"/>
      <c r="CD51" s="845"/>
      <c r="CE51" s="845"/>
      <c r="CF51" s="845"/>
      <c r="CG51" s="845"/>
      <c r="CH51" s="845"/>
      <c r="CI51" s="845"/>
      <c r="CJ51" s="845"/>
      <c r="CK51" s="845"/>
      <c r="CL51" s="845"/>
      <c r="CM51" s="845"/>
      <c r="CN51" s="845"/>
      <c r="CO51" s="845"/>
      <c r="CP51" s="845"/>
      <c r="CQ51" s="845"/>
      <c r="CR51" s="845"/>
      <c r="CS51" s="845"/>
      <c r="CT51" s="845"/>
      <c r="CU51" s="845"/>
      <c r="CV51" s="845"/>
      <c r="CW51" s="845"/>
      <c r="CX51" s="845"/>
      <c r="CY51" s="845"/>
      <c r="CZ51" s="845"/>
      <c r="DA51" s="845"/>
      <c r="DB51" s="845"/>
      <c r="DC51" s="845"/>
      <c r="DD51" s="845"/>
      <c r="DE51" s="845"/>
      <c r="DF51" s="845"/>
      <c r="DG51" s="845"/>
      <c r="DH51" s="845"/>
      <c r="DI51" s="845"/>
      <c r="DJ51" s="845"/>
      <c r="DK51" s="845"/>
      <c r="DL51" s="845"/>
      <c r="DM51" s="845"/>
      <c r="DN51" s="845"/>
      <c r="DO51" s="845"/>
      <c r="DP51" s="845"/>
      <c r="DQ51" s="845"/>
      <c r="DR51" s="845"/>
      <c r="DS51" s="845"/>
      <c r="DT51" s="845"/>
      <c r="DU51" s="845"/>
      <c r="DV51" s="845"/>
      <c r="DW51" s="845"/>
      <c r="DX51" s="845"/>
      <c r="DY51" s="845"/>
      <c r="DZ51" s="845"/>
      <c r="EA51" s="845"/>
      <c r="EB51" s="845"/>
      <c r="EC51" s="845"/>
      <c r="ED51" s="846"/>
    </row>
    <row r="52" spans="1:134" ht="12.75" customHeight="1" thickBot="1" x14ac:dyDescent="0.3">
      <c r="A52" s="1100" t="str">
        <f>Lang!$A$278</f>
        <v>Scenario 15C1, 16C1 and new</v>
      </c>
      <c r="B52" s="1101"/>
      <c r="C52" s="1101"/>
      <c r="D52" s="1101"/>
      <c r="E52" s="1102"/>
      <c r="G52" s="1100" t="str">
        <f>Lang!$A$278</f>
        <v>Scenario 15C1, 16C1 and new</v>
      </c>
      <c r="H52" s="1101"/>
      <c r="I52" s="1101"/>
      <c r="J52" s="1101"/>
      <c r="K52" s="1102"/>
      <c r="Q52" s="123">
        <v>72</v>
      </c>
      <c r="R52" s="814">
        <f t="shared" si="11"/>
        <v>1.0423679159521873</v>
      </c>
      <c r="AG52" s="851">
        <v>50</v>
      </c>
      <c r="AH52" s="847"/>
      <c r="AI52" s="848"/>
      <c r="AJ52" s="848"/>
      <c r="AK52" s="848"/>
      <c r="AL52" s="848"/>
      <c r="AM52" s="848"/>
      <c r="AN52" s="848"/>
      <c r="AO52" s="848"/>
      <c r="AP52" s="848"/>
      <c r="AQ52" s="848"/>
      <c r="AR52" s="848"/>
      <c r="AS52" s="848"/>
      <c r="AT52" s="848"/>
      <c r="AU52" s="848"/>
      <c r="AV52" s="848"/>
      <c r="AW52" s="848"/>
      <c r="AX52" s="848"/>
      <c r="AY52" s="848"/>
      <c r="AZ52" s="848"/>
      <c r="BA52" s="848"/>
      <c r="BB52" s="848"/>
      <c r="BC52" s="848"/>
      <c r="BD52" s="848"/>
      <c r="BE52" s="848"/>
      <c r="BF52" s="848"/>
      <c r="BG52" s="848"/>
      <c r="BH52" s="848"/>
      <c r="BI52" s="848"/>
      <c r="BJ52" s="848"/>
      <c r="BK52" s="848"/>
      <c r="BL52" s="848"/>
      <c r="BM52" s="848"/>
      <c r="BN52" s="848"/>
      <c r="BO52" s="848"/>
      <c r="BP52" s="848"/>
      <c r="BQ52" s="848"/>
      <c r="BR52" s="848"/>
      <c r="BS52" s="848"/>
      <c r="BT52" s="848"/>
      <c r="BU52" s="848"/>
      <c r="BV52" s="848"/>
      <c r="BW52" s="848"/>
      <c r="BX52" s="848"/>
      <c r="BY52" s="848"/>
      <c r="BZ52" s="848"/>
      <c r="CA52" s="848"/>
      <c r="CB52" s="848"/>
      <c r="CC52" s="848"/>
      <c r="CD52" s="848"/>
      <c r="CE52" s="848"/>
      <c r="CF52" s="848"/>
      <c r="CG52" s="848"/>
      <c r="CH52" s="848"/>
      <c r="CI52" s="848"/>
      <c r="CJ52" s="848"/>
      <c r="CK52" s="848"/>
      <c r="CL52" s="848"/>
      <c r="CM52" s="848"/>
      <c r="CN52" s="848"/>
      <c r="CO52" s="848"/>
      <c r="CP52" s="848"/>
      <c r="CQ52" s="848"/>
      <c r="CR52" s="848"/>
      <c r="CS52" s="848"/>
      <c r="CT52" s="848"/>
      <c r="CU52" s="848"/>
      <c r="CV52" s="848"/>
      <c r="CW52" s="848"/>
      <c r="CX52" s="848"/>
      <c r="CY52" s="848"/>
      <c r="CZ52" s="848"/>
      <c r="DA52" s="848"/>
      <c r="DB52" s="848"/>
      <c r="DC52" s="848"/>
      <c r="DD52" s="848"/>
      <c r="DE52" s="848"/>
      <c r="DF52" s="848"/>
      <c r="DG52" s="848"/>
      <c r="DH52" s="848"/>
      <c r="DI52" s="848"/>
      <c r="DJ52" s="848"/>
      <c r="DK52" s="848"/>
      <c r="DL52" s="848"/>
      <c r="DM52" s="848"/>
      <c r="DN52" s="848"/>
      <c r="DO52" s="848"/>
      <c r="DP52" s="848"/>
      <c r="DQ52" s="848"/>
      <c r="DR52" s="848"/>
      <c r="DS52" s="848"/>
      <c r="DT52" s="848"/>
      <c r="DU52" s="848"/>
      <c r="DV52" s="848"/>
      <c r="DW52" s="848"/>
      <c r="DX52" s="848"/>
      <c r="DY52" s="848"/>
      <c r="DZ52" s="848"/>
      <c r="EA52" s="848"/>
      <c r="EB52" s="848"/>
      <c r="EC52" s="848"/>
      <c r="ED52" s="849"/>
    </row>
    <row r="53" spans="1:134" ht="12.75" customHeight="1" x14ac:dyDescent="0.25">
      <c r="A53" s="952" t="str">
        <f>Lang!$A$7</f>
        <v>Europe</v>
      </c>
      <c r="B53" s="953" t="str">
        <f>Lang!$A$279</f>
        <v>Recruit</v>
      </c>
      <c r="C53" s="953" t="str">
        <f>Lang!$A$187</f>
        <v>Support</v>
      </c>
      <c r="D53" s="953" t="str">
        <f>Lang!$A$188</f>
        <v>Commission</v>
      </c>
      <c r="E53" s="954" t="str">
        <f>Lang!$A$280</f>
        <v>Cost</v>
      </c>
      <c r="G53" s="957" t="str">
        <f>Lang!$A$9</f>
        <v>Nafta</v>
      </c>
      <c r="H53" s="955" t="str">
        <f>Lang!$A$279</f>
        <v>Recruit</v>
      </c>
      <c r="I53" s="955" t="str">
        <f>Lang!$A$187</f>
        <v>Support</v>
      </c>
      <c r="J53" s="955" t="str">
        <f>Lang!$A$188</f>
        <v>Commission</v>
      </c>
      <c r="K53" s="956" t="str">
        <f>Lang!$A$280</f>
        <v>Cost</v>
      </c>
      <c r="M53" s="1100" t="str">
        <f>Lang!$A$40</f>
        <v>Quality</v>
      </c>
      <c r="N53" s="1101"/>
      <c r="O53" s="1102"/>
      <c r="Q53" s="123">
        <v>81</v>
      </c>
      <c r="R53" s="814">
        <f t="shared" si="11"/>
        <v>1.043559822047359</v>
      </c>
      <c r="AG53" s="850"/>
      <c r="AH53" s="851">
        <v>0</v>
      </c>
      <c r="AI53" s="851">
        <v>1</v>
      </c>
      <c r="AJ53" s="851">
        <v>2</v>
      </c>
      <c r="AK53" s="851">
        <v>3</v>
      </c>
      <c r="AL53" s="851">
        <v>4</v>
      </c>
      <c r="AM53" s="851">
        <v>5</v>
      </c>
      <c r="AN53" s="851">
        <v>6</v>
      </c>
      <c r="AO53" s="851">
        <v>7</v>
      </c>
      <c r="AP53" s="851">
        <v>8</v>
      </c>
      <c r="AQ53" s="851">
        <v>9</v>
      </c>
      <c r="AR53" s="851">
        <v>10</v>
      </c>
      <c r="AS53" s="851">
        <v>11</v>
      </c>
      <c r="AT53" s="851">
        <v>12</v>
      </c>
      <c r="AU53" s="851">
        <v>13</v>
      </c>
      <c r="AV53" s="851">
        <v>14</v>
      </c>
      <c r="AW53" s="851">
        <v>15</v>
      </c>
      <c r="AX53" s="851">
        <v>16</v>
      </c>
      <c r="AY53" s="851">
        <v>17</v>
      </c>
      <c r="AZ53" s="851">
        <v>18</v>
      </c>
      <c r="BA53" s="851">
        <v>19</v>
      </c>
      <c r="BB53" s="851">
        <v>20</v>
      </c>
      <c r="BC53" s="851">
        <v>21</v>
      </c>
      <c r="BD53" s="851">
        <v>22</v>
      </c>
      <c r="BE53" s="851">
        <v>23</v>
      </c>
      <c r="BF53" s="851">
        <v>24</v>
      </c>
      <c r="BG53" s="851">
        <v>25</v>
      </c>
      <c r="BH53" s="851">
        <v>26</v>
      </c>
      <c r="BI53" s="851">
        <v>27</v>
      </c>
      <c r="BJ53" s="851">
        <v>28</v>
      </c>
      <c r="BK53" s="851">
        <v>29</v>
      </c>
      <c r="BL53" s="851">
        <v>30</v>
      </c>
      <c r="BM53" s="851">
        <v>31</v>
      </c>
      <c r="BN53" s="851">
        <v>32</v>
      </c>
      <c r="BO53" s="851">
        <v>33</v>
      </c>
      <c r="BP53" s="851">
        <v>34</v>
      </c>
      <c r="BQ53" s="851">
        <v>35</v>
      </c>
      <c r="BR53" s="851">
        <v>36</v>
      </c>
      <c r="BS53" s="851">
        <v>37</v>
      </c>
      <c r="BT53" s="851">
        <v>38</v>
      </c>
      <c r="BU53" s="851">
        <v>39</v>
      </c>
      <c r="BV53" s="851">
        <v>40</v>
      </c>
      <c r="BW53" s="851">
        <v>41</v>
      </c>
      <c r="BX53" s="851">
        <v>42</v>
      </c>
      <c r="BY53" s="851">
        <v>43</v>
      </c>
      <c r="BZ53" s="851">
        <v>44</v>
      </c>
      <c r="CA53" s="851">
        <v>45</v>
      </c>
      <c r="CB53" s="851">
        <v>46</v>
      </c>
      <c r="CC53" s="851">
        <v>47</v>
      </c>
      <c r="CD53" s="851">
        <v>48</v>
      </c>
      <c r="CE53" s="851">
        <v>49</v>
      </c>
      <c r="CF53" s="851">
        <v>50</v>
      </c>
      <c r="CG53" s="851">
        <v>51</v>
      </c>
      <c r="CH53" s="851">
        <v>52</v>
      </c>
      <c r="CI53" s="851">
        <v>53</v>
      </c>
      <c r="CJ53" s="851">
        <v>54</v>
      </c>
      <c r="CK53" s="851">
        <v>55</v>
      </c>
      <c r="CL53" s="851">
        <v>56</v>
      </c>
      <c r="CM53" s="851">
        <v>57</v>
      </c>
      <c r="CN53" s="851">
        <v>58</v>
      </c>
      <c r="CO53" s="851">
        <v>59</v>
      </c>
      <c r="CP53" s="851">
        <v>60</v>
      </c>
      <c r="CQ53" s="851">
        <v>61</v>
      </c>
      <c r="CR53" s="851">
        <v>62</v>
      </c>
      <c r="CS53" s="851">
        <v>63</v>
      </c>
      <c r="CT53" s="851">
        <v>64</v>
      </c>
      <c r="CU53" s="851">
        <v>65</v>
      </c>
      <c r="CV53" s="851">
        <v>66</v>
      </c>
      <c r="CW53" s="851">
        <v>67</v>
      </c>
      <c r="CX53" s="851">
        <v>68</v>
      </c>
      <c r="CY53" s="851">
        <v>69</v>
      </c>
      <c r="CZ53" s="851">
        <v>70</v>
      </c>
      <c r="DA53" s="851">
        <v>71</v>
      </c>
      <c r="DB53" s="851">
        <v>72</v>
      </c>
      <c r="DC53" s="851">
        <v>73</v>
      </c>
      <c r="DD53" s="851">
        <v>74</v>
      </c>
      <c r="DE53" s="851">
        <v>75</v>
      </c>
      <c r="DF53" s="851">
        <v>76</v>
      </c>
      <c r="DG53" s="851">
        <v>77</v>
      </c>
      <c r="DH53" s="851">
        <v>78</v>
      </c>
      <c r="DI53" s="851">
        <v>79</v>
      </c>
      <c r="DJ53" s="851">
        <v>80</v>
      </c>
      <c r="DK53" s="851">
        <v>81</v>
      </c>
      <c r="DL53" s="851">
        <v>82</v>
      </c>
      <c r="DM53" s="851">
        <v>83</v>
      </c>
      <c r="DN53" s="851">
        <v>84</v>
      </c>
      <c r="DO53" s="851">
        <v>85</v>
      </c>
      <c r="DP53" s="851">
        <v>86</v>
      </c>
      <c r="DQ53" s="851">
        <v>87</v>
      </c>
      <c r="DR53" s="851">
        <v>88</v>
      </c>
      <c r="DS53" s="851">
        <v>89</v>
      </c>
      <c r="DT53" s="851">
        <v>90</v>
      </c>
      <c r="DU53" s="851">
        <v>91</v>
      </c>
      <c r="DV53" s="851">
        <v>92</v>
      </c>
      <c r="DW53" s="851">
        <v>93</v>
      </c>
      <c r="DX53" s="851">
        <v>94</v>
      </c>
      <c r="DY53" s="851">
        <v>95</v>
      </c>
      <c r="DZ53" s="851">
        <v>96</v>
      </c>
      <c r="EA53" s="851">
        <v>97</v>
      </c>
      <c r="EB53" s="851">
        <v>98</v>
      </c>
      <c r="EC53" s="851">
        <v>99</v>
      </c>
      <c r="ED53" s="851">
        <v>100</v>
      </c>
    </row>
    <row r="54" spans="1:134" ht="12.75" customHeight="1" x14ac:dyDescent="0.25">
      <c r="A54" s="630">
        <v>1</v>
      </c>
      <c r="B54" s="86">
        <v>99</v>
      </c>
      <c r="C54" s="86">
        <v>99</v>
      </c>
      <c r="D54" s="856">
        <v>0.05</v>
      </c>
      <c r="E54" s="857">
        <v>999</v>
      </c>
      <c r="G54" s="852">
        <v>1</v>
      </c>
      <c r="H54" s="853">
        <v>1</v>
      </c>
      <c r="I54" s="853">
        <v>5</v>
      </c>
      <c r="J54" s="854">
        <v>0.05</v>
      </c>
      <c r="K54" s="855">
        <v>12.5</v>
      </c>
      <c r="M54" s="1096" t="str">
        <f>Lang!$A$281</f>
        <v>Get MINOR</v>
      </c>
      <c r="N54" s="1097"/>
      <c r="O54" s="468">
        <v>6</v>
      </c>
      <c r="Q54" s="123">
        <v>90</v>
      </c>
      <c r="R54" s="814">
        <f t="shared" si="11"/>
        <v>1.0446271731959713</v>
      </c>
    </row>
    <row r="55" spans="1:134" ht="12.75" customHeight="1" thickBot="1" x14ac:dyDescent="0.3">
      <c r="A55" s="630">
        <v>2</v>
      </c>
      <c r="B55" s="86">
        <v>2</v>
      </c>
      <c r="C55" s="86">
        <v>7</v>
      </c>
      <c r="D55" s="856">
        <v>0.05</v>
      </c>
      <c r="E55" s="857">
        <v>29</v>
      </c>
      <c r="G55" s="630">
        <v>2</v>
      </c>
      <c r="H55" s="86">
        <v>2</v>
      </c>
      <c r="I55" s="86">
        <v>8</v>
      </c>
      <c r="J55" s="856">
        <v>0.05</v>
      </c>
      <c r="K55" s="857">
        <v>31</v>
      </c>
      <c r="M55" s="1096" t="str">
        <f>Lang!$A$282</f>
        <v>Implement MAJOR</v>
      </c>
      <c r="N55" s="1097"/>
      <c r="O55" s="468">
        <v>20</v>
      </c>
      <c r="Q55" s="124">
        <v>99</v>
      </c>
      <c r="R55" s="819">
        <f t="shared" si="11"/>
        <v>1.0455936501737368</v>
      </c>
    </row>
    <row r="56" spans="1:134" ht="12.75" customHeight="1" thickBot="1" x14ac:dyDescent="0.3">
      <c r="A56" s="630">
        <v>3</v>
      </c>
      <c r="B56" s="86">
        <v>3</v>
      </c>
      <c r="C56" s="86">
        <v>9</v>
      </c>
      <c r="D56" s="856">
        <v>0.05</v>
      </c>
      <c r="E56" s="857">
        <v>49.5</v>
      </c>
      <c r="G56" s="630">
        <v>3</v>
      </c>
      <c r="H56" s="86">
        <v>3</v>
      </c>
      <c r="I56" s="86">
        <v>8</v>
      </c>
      <c r="J56" s="856">
        <v>0.05</v>
      </c>
      <c r="K56" s="857">
        <v>46.5</v>
      </c>
      <c r="M56" s="1098" t="str">
        <f>Lang!$A$283</f>
        <v>Get MAJOR</v>
      </c>
      <c r="N56" s="1099"/>
      <c r="O56" s="469">
        <v>6</v>
      </c>
    </row>
    <row r="57" spans="1:134" ht="12.75" customHeight="1" thickBot="1" x14ac:dyDescent="0.3">
      <c r="A57" s="630">
        <v>4</v>
      </c>
      <c r="B57" s="86">
        <v>5</v>
      </c>
      <c r="C57" s="86">
        <v>9</v>
      </c>
      <c r="D57" s="856">
        <v>0.05</v>
      </c>
      <c r="E57" s="857">
        <v>82.5</v>
      </c>
      <c r="G57" s="630">
        <v>4</v>
      </c>
      <c r="H57" s="86">
        <v>5</v>
      </c>
      <c r="I57" s="86">
        <v>8</v>
      </c>
      <c r="J57" s="856">
        <v>0.05</v>
      </c>
      <c r="K57" s="857">
        <v>77.5</v>
      </c>
      <c r="Q57" s="1080" t="str">
        <f>Lang!$A$115</f>
        <v>Management budget</v>
      </c>
      <c r="R57" s="1103"/>
    </row>
    <row r="58" spans="1:134" ht="12.75" customHeight="1" x14ac:dyDescent="0.25">
      <c r="A58" s="630">
        <v>5</v>
      </c>
      <c r="B58" s="86">
        <v>6</v>
      </c>
      <c r="C58" s="86">
        <v>9</v>
      </c>
      <c r="D58" s="856">
        <v>0.05</v>
      </c>
      <c r="E58" s="857">
        <v>99</v>
      </c>
      <c r="G58" s="630">
        <v>5</v>
      </c>
      <c r="H58" s="86">
        <v>99</v>
      </c>
      <c r="I58" s="86">
        <v>99</v>
      </c>
      <c r="J58" s="856">
        <v>0.05</v>
      </c>
      <c r="K58" s="857">
        <v>999</v>
      </c>
      <c r="M58" s="1163" t="str">
        <f>Lang!$A$284</f>
        <v>R&amp;D obsolescence</v>
      </c>
      <c r="N58" s="1101"/>
      <c r="O58" s="1102"/>
      <c r="Q58" s="126">
        <v>1</v>
      </c>
      <c r="R58" s="814">
        <f>Q58^G$25</f>
        <v>1</v>
      </c>
    </row>
    <row r="59" spans="1:134" ht="12.75" customHeight="1" x14ac:dyDescent="0.25">
      <c r="A59" s="630">
        <v>6</v>
      </c>
      <c r="B59" s="86">
        <v>99</v>
      </c>
      <c r="C59" s="86">
        <v>99</v>
      </c>
      <c r="D59" s="856">
        <v>0.05</v>
      </c>
      <c r="E59" s="857">
        <v>999</v>
      </c>
      <c r="G59" s="630">
        <v>6</v>
      </c>
      <c r="H59" s="86">
        <v>8</v>
      </c>
      <c r="I59" s="86">
        <v>8</v>
      </c>
      <c r="J59" s="856">
        <v>0.05</v>
      </c>
      <c r="K59" s="857">
        <v>124</v>
      </c>
      <c r="M59" s="865">
        <v>61</v>
      </c>
      <c r="N59" s="467">
        <v>-4</v>
      </c>
      <c r="O59" s="464">
        <f>(M59-60)/20</f>
        <v>0.05</v>
      </c>
      <c r="Q59" s="123">
        <v>25</v>
      </c>
      <c r="R59" s="814">
        <f t="shared" ref="R59:R69" si="12">Q59^G$25</f>
        <v>1.366586535320732</v>
      </c>
    </row>
    <row r="60" spans="1:134" ht="12.75" customHeight="1" x14ac:dyDescent="0.25">
      <c r="A60" s="630">
        <v>7</v>
      </c>
      <c r="B60" s="86">
        <v>9</v>
      </c>
      <c r="C60" s="86">
        <v>9</v>
      </c>
      <c r="D60" s="856">
        <v>0.05</v>
      </c>
      <c r="E60" s="857">
        <v>148.5</v>
      </c>
      <c r="G60" s="630">
        <v>7</v>
      </c>
      <c r="H60" s="86">
        <v>99</v>
      </c>
      <c r="I60" s="86">
        <v>99</v>
      </c>
      <c r="J60" s="856">
        <v>0.05</v>
      </c>
      <c r="K60" s="857">
        <v>999</v>
      </c>
      <c r="M60" s="865">
        <v>62</v>
      </c>
      <c r="N60" s="467">
        <v>-4</v>
      </c>
      <c r="O60" s="464">
        <f t="shared" ref="O60:O123" si="13">(M60-60)/20</f>
        <v>0.1</v>
      </c>
      <c r="Q60" s="123">
        <v>50</v>
      </c>
      <c r="R60" s="814">
        <f t="shared" si="12"/>
        <v>1.461655432827202</v>
      </c>
    </row>
    <row r="61" spans="1:134" ht="12.75" customHeight="1" x14ac:dyDescent="0.25">
      <c r="A61" s="630">
        <v>8</v>
      </c>
      <c r="B61" s="86">
        <v>99</v>
      </c>
      <c r="C61" s="86">
        <v>99</v>
      </c>
      <c r="D61" s="856">
        <v>0.05</v>
      </c>
      <c r="E61" s="857">
        <v>999</v>
      </c>
      <c r="G61" s="630">
        <v>8</v>
      </c>
      <c r="H61" s="86">
        <v>9</v>
      </c>
      <c r="I61" s="86">
        <v>13</v>
      </c>
      <c r="J61" s="856">
        <v>0.05</v>
      </c>
      <c r="K61" s="857">
        <v>184.5</v>
      </c>
      <c r="M61" s="865">
        <v>63</v>
      </c>
      <c r="N61" s="467">
        <v>-4</v>
      </c>
      <c r="O61" s="464">
        <f t="shared" si="13"/>
        <v>0.15</v>
      </c>
      <c r="Q61" s="123">
        <v>75</v>
      </c>
      <c r="R61" s="814">
        <f t="shared" si="12"/>
        <v>1.5203042602293395</v>
      </c>
    </row>
    <row r="62" spans="1:134" ht="12.75" customHeight="1" x14ac:dyDescent="0.25">
      <c r="A62" s="630">
        <v>9</v>
      </c>
      <c r="B62" s="86">
        <v>99</v>
      </c>
      <c r="C62" s="86">
        <v>99</v>
      </c>
      <c r="D62" s="856">
        <v>0.05</v>
      </c>
      <c r="E62" s="857">
        <v>999</v>
      </c>
      <c r="G62" s="630">
        <v>9</v>
      </c>
      <c r="H62" s="86">
        <v>12</v>
      </c>
      <c r="I62" s="86">
        <v>9</v>
      </c>
      <c r="J62" s="856">
        <v>0.05</v>
      </c>
      <c r="K62" s="857">
        <v>198</v>
      </c>
      <c r="M62" s="865">
        <v>64</v>
      </c>
      <c r="N62" s="467">
        <v>-4</v>
      </c>
      <c r="O62" s="464">
        <f t="shared" si="13"/>
        <v>0.2</v>
      </c>
      <c r="Q62" s="123">
        <v>100</v>
      </c>
      <c r="R62" s="814">
        <f t="shared" si="12"/>
        <v>1.5633379585522278</v>
      </c>
    </row>
    <row r="63" spans="1:134" ht="12.75" customHeight="1" x14ac:dyDescent="0.25">
      <c r="A63" s="630">
        <v>10</v>
      </c>
      <c r="B63" s="86">
        <v>99</v>
      </c>
      <c r="C63" s="86">
        <v>99</v>
      </c>
      <c r="D63" s="856">
        <v>0.05</v>
      </c>
      <c r="E63" s="857">
        <v>999</v>
      </c>
      <c r="G63" s="630">
        <v>10</v>
      </c>
      <c r="H63" s="86">
        <v>13</v>
      </c>
      <c r="I63" s="86">
        <v>9</v>
      </c>
      <c r="J63" s="856">
        <v>0.05</v>
      </c>
      <c r="K63" s="857">
        <v>214.5</v>
      </c>
      <c r="M63" s="865">
        <v>65</v>
      </c>
      <c r="N63" s="467">
        <v>-4</v>
      </c>
      <c r="O63" s="464">
        <f t="shared" si="13"/>
        <v>0.25</v>
      </c>
      <c r="Q63" s="123">
        <v>125</v>
      </c>
      <c r="R63" s="814">
        <f t="shared" si="12"/>
        <v>1.5975545853940734</v>
      </c>
    </row>
    <row r="64" spans="1:134" ht="12.75" customHeight="1" x14ac:dyDescent="0.25">
      <c r="A64" s="630">
        <v>11</v>
      </c>
      <c r="B64" s="86">
        <v>20</v>
      </c>
      <c r="C64" s="86">
        <v>5</v>
      </c>
      <c r="D64" s="856">
        <v>0.05</v>
      </c>
      <c r="E64" s="857">
        <v>250</v>
      </c>
      <c r="G64" s="630">
        <v>11</v>
      </c>
      <c r="H64" s="86">
        <v>14</v>
      </c>
      <c r="I64" s="86">
        <v>9</v>
      </c>
      <c r="J64" s="856">
        <v>0.05</v>
      </c>
      <c r="K64" s="857">
        <v>231</v>
      </c>
      <c r="M64" s="865">
        <v>66</v>
      </c>
      <c r="N64" s="467">
        <v>-4</v>
      </c>
      <c r="O64" s="464">
        <f t="shared" si="13"/>
        <v>0.3</v>
      </c>
      <c r="Q64" s="123">
        <v>150</v>
      </c>
      <c r="R64" s="814">
        <f t="shared" si="12"/>
        <v>1.6260667905622401</v>
      </c>
    </row>
    <row r="65" spans="1:18" ht="12.75" customHeight="1" x14ac:dyDescent="0.25">
      <c r="A65" s="630">
        <v>12</v>
      </c>
      <c r="B65" s="86">
        <v>99</v>
      </c>
      <c r="C65" s="86">
        <v>99</v>
      </c>
      <c r="D65" s="856">
        <v>0.05</v>
      </c>
      <c r="E65" s="857">
        <v>999</v>
      </c>
      <c r="G65" s="630">
        <v>12</v>
      </c>
      <c r="H65" s="86">
        <v>20</v>
      </c>
      <c r="I65" s="86">
        <v>5</v>
      </c>
      <c r="J65" s="856">
        <v>0.05</v>
      </c>
      <c r="K65" s="857">
        <v>250</v>
      </c>
      <c r="M65" s="865">
        <v>67</v>
      </c>
      <c r="N65" s="467">
        <v>-4</v>
      </c>
      <c r="O65" s="464">
        <f t="shared" si="13"/>
        <v>0.35</v>
      </c>
      <c r="Q65" s="123">
        <v>175</v>
      </c>
      <c r="R65" s="814">
        <f t="shared" si="12"/>
        <v>1.6505701571751752</v>
      </c>
    </row>
    <row r="66" spans="1:18" ht="12.75" customHeight="1" x14ac:dyDescent="0.25">
      <c r="A66" s="630">
        <v>13</v>
      </c>
      <c r="B66" s="86">
        <v>99</v>
      </c>
      <c r="C66" s="86">
        <v>99</v>
      </c>
      <c r="D66" s="856">
        <v>0.05</v>
      </c>
      <c r="E66" s="857">
        <v>999</v>
      </c>
      <c r="G66" s="630">
        <v>13</v>
      </c>
      <c r="H66" s="86">
        <v>99</v>
      </c>
      <c r="I66" s="86">
        <v>99</v>
      </c>
      <c r="J66" s="856">
        <v>0.05</v>
      </c>
      <c r="K66" s="857">
        <v>999</v>
      </c>
      <c r="M66" s="865">
        <v>68</v>
      </c>
      <c r="N66" s="467">
        <v>-4</v>
      </c>
      <c r="O66" s="464">
        <f t="shared" si="13"/>
        <v>0.4</v>
      </c>
      <c r="Q66" s="123">
        <v>200</v>
      </c>
      <c r="R66" s="814">
        <f t="shared" si="12"/>
        <v>1.6720942006987918</v>
      </c>
    </row>
    <row r="67" spans="1:18" ht="12.75" customHeight="1" x14ac:dyDescent="0.25">
      <c r="A67" s="630">
        <v>14</v>
      </c>
      <c r="B67" s="86">
        <v>99</v>
      </c>
      <c r="C67" s="86">
        <v>99</v>
      </c>
      <c r="D67" s="856">
        <v>0.05</v>
      </c>
      <c r="E67" s="857">
        <v>999</v>
      </c>
      <c r="G67" s="630">
        <v>14</v>
      </c>
      <c r="H67" s="86">
        <v>99</v>
      </c>
      <c r="I67" s="86">
        <v>99</v>
      </c>
      <c r="J67" s="856">
        <v>0.05</v>
      </c>
      <c r="K67" s="857">
        <v>999</v>
      </c>
      <c r="M67" s="865">
        <v>69</v>
      </c>
      <c r="N67" s="467">
        <v>-4</v>
      </c>
      <c r="O67" s="464">
        <f t="shared" si="13"/>
        <v>0.45</v>
      </c>
      <c r="Q67" s="123">
        <v>225</v>
      </c>
      <c r="R67" s="814">
        <f t="shared" si="12"/>
        <v>1.6913126128006382</v>
      </c>
    </row>
    <row r="68" spans="1:18" ht="12.75" customHeight="1" x14ac:dyDescent="0.25">
      <c r="A68" s="630">
        <v>15</v>
      </c>
      <c r="B68" s="86">
        <v>99</v>
      </c>
      <c r="C68" s="86">
        <v>99</v>
      </c>
      <c r="D68" s="856">
        <v>0.05</v>
      </c>
      <c r="E68" s="857">
        <v>999</v>
      </c>
      <c r="G68" s="630">
        <v>15</v>
      </c>
      <c r="H68" s="86">
        <v>99</v>
      </c>
      <c r="I68" s="86">
        <v>99</v>
      </c>
      <c r="J68" s="856">
        <v>0.05</v>
      </c>
      <c r="K68" s="857">
        <v>999</v>
      </c>
      <c r="M68" s="865">
        <v>70</v>
      </c>
      <c r="N68" s="467">
        <v>-4</v>
      </c>
      <c r="O68" s="464">
        <f t="shared" si="13"/>
        <v>0.5</v>
      </c>
      <c r="Q68" s="123">
        <v>250</v>
      </c>
      <c r="R68" s="814">
        <f t="shared" si="12"/>
        <v>1.7086911649039649</v>
      </c>
    </row>
    <row r="69" spans="1:18" ht="12.75" customHeight="1" thickBot="1" x14ac:dyDescent="0.3">
      <c r="A69" s="630">
        <v>16</v>
      </c>
      <c r="B69" s="86">
        <v>99</v>
      </c>
      <c r="C69" s="86">
        <v>99</v>
      </c>
      <c r="D69" s="856">
        <v>0.05</v>
      </c>
      <c r="E69" s="857">
        <v>999</v>
      </c>
      <c r="G69" s="630">
        <v>16</v>
      </c>
      <c r="H69" s="86">
        <v>99</v>
      </c>
      <c r="I69" s="86">
        <v>99</v>
      </c>
      <c r="J69" s="856">
        <v>0.05</v>
      </c>
      <c r="K69" s="857">
        <v>999</v>
      </c>
      <c r="M69" s="865">
        <v>71</v>
      </c>
      <c r="N69" s="467">
        <v>-4</v>
      </c>
      <c r="O69" s="464">
        <f t="shared" si="13"/>
        <v>0.55000000000000004</v>
      </c>
      <c r="Q69" s="124">
        <v>275</v>
      </c>
      <c r="R69" s="819">
        <f t="shared" si="12"/>
        <v>1.7245657573235746</v>
      </c>
    </row>
    <row r="70" spans="1:18" ht="12.75" customHeight="1" thickBot="1" x14ac:dyDescent="0.3">
      <c r="A70" s="630">
        <v>17</v>
      </c>
      <c r="B70" s="86">
        <v>99</v>
      </c>
      <c r="C70" s="86">
        <v>99</v>
      </c>
      <c r="D70" s="856">
        <v>0.05</v>
      </c>
      <c r="E70" s="857">
        <v>999</v>
      </c>
      <c r="G70" s="630">
        <v>17</v>
      </c>
      <c r="H70" s="86">
        <v>99</v>
      </c>
      <c r="I70" s="86">
        <v>99</v>
      </c>
      <c r="J70" s="856">
        <v>0.05</v>
      </c>
      <c r="K70" s="857">
        <v>999</v>
      </c>
      <c r="M70" s="865">
        <v>72</v>
      </c>
      <c r="N70" s="467">
        <v>-4</v>
      </c>
      <c r="O70" s="464">
        <f t="shared" si="13"/>
        <v>0.6</v>
      </c>
    </row>
    <row r="71" spans="1:18" ht="12.75" customHeight="1" x14ac:dyDescent="0.25">
      <c r="A71" s="630">
        <v>18</v>
      </c>
      <c r="B71" s="86">
        <v>99</v>
      </c>
      <c r="C71" s="86">
        <v>99</v>
      </c>
      <c r="D71" s="856">
        <v>0.05</v>
      </c>
      <c r="E71" s="857">
        <v>999</v>
      </c>
      <c r="G71" s="630">
        <v>18</v>
      </c>
      <c r="H71" s="86">
        <v>99</v>
      </c>
      <c r="I71" s="86">
        <v>99</v>
      </c>
      <c r="J71" s="856">
        <v>0.05</v>
      </c>
      <c r="K71" s="857">
        <v>999</v>
      </c>
      <c r="M71" s="865">
        <v>73</v>
      </c>
      <c r="N71" s="467">
        <v>-4</v>
      </c>
      <c r="O71" s="464">
        <f t="shared" si="13"/>
        <v>0.65</v>
      </c>
      <c r="Q71" s="1080" t="str">
        <f>Lang!$A$192</f>
        <v>Web-site</v>
      </c>
      <c r="R71" s="1103"/>
    </row>
    <row r="72" spans="1:18" ht="12.75" customHeight="1" x14ac:dyDescent="0.25">
      <c r="A72" s="630">
        <v>19</v>
      </c>
      <c r="B72" s="86">
        <v>99</v>
      </c>
      <c r="C72" s="86">
        <v>99</v>
      </c>
      <c r="D72" s="856">
        <v>0.05</v>
      </c>
      <c r="E72" s="857">
        <v>999</v>
      </c>
      <c r="G72" s="630">
        <v>19</v>
      </c>
      <c r="H72" s="86">
        <v>99</v>
      </c>
      <c r="I72" s="86">
        <v>99</v>
      </c>
      <c r="J72" s="856">
        <v>0.05</v>
      </c>
      <c r="K72" s="857">
        <v>999</v>
      </c>
      <c r="M72" s="865">
        <v>74</v>
      </c>
      <c r="N72" s="467">
        <v>-4</v>
      </c>
      <c r="O72" s="464">
        <f t="shared" si="13"/>
        <v>0.7</v>
      </c>
      <c r="Q72" s="126">
        <v>1</v>
      </c>
      <c r="R72" s="814">
        <f>Q72^G$14</f>
        <v>1</v>
      </c>
    </row>
    <row r="73" spans="1:18" ht="12.75" customHeight="1" thickBot="1" x14ac:dyDescent="0.3">
      <c r="A73" s="858">
        <v>20</v>
      </c>
      <c r="B73" s="859">
        <v>99</v>
      </c>
      <c r="C73" s="859">
        <v>99</v>
      </c>
      <c r="D73" s="860">
        <v>0.05</v>
      </c>
      <c r="E73" s="861">
        <v>999</v>
      </c>
      <c r="G73" s="858">
        <v>20</v>
      </c>
      <c r="H73" s="859">
        <v>99</v>
      </c>
      <c r="I73" s="859">
        <v>99</v>
      </c>
      <c r="J73" s="860">
        <v>0.05</v>
      </c>
      <c r="K73" s="861">
        <v>999</v>
      </c>
      <c r="M73" s="865">
        <v>75</v>
      </c>
      <c r="N73" s="467">
        <v>-4</v>
      </c>
      <c r="O73" s="464">
        <f t="shared" si="13"/>
        <v>0.75</v>
      </c>
      <c r="Q73" s="123">
        <v>9</v>
      </c>
      <c r="R73" s="814">
        <f t="shared" ref="R73:R83" si="14">Q73^G$14</f>
        <v>1.1239155391750357</v>
      </c>
    </row>
    <row r="74" spans="1:18" ht="12.75" customHeight="1" x14ac:dyDescent="0.25">
      <c r="A74" s="852">
        <v>1</v>
      </c>
      <c r="B74" s="853">
        <v>99</v>
      </c>
      <c r="C74" s="853">
        <v>99</v>
      </c>
      <c r="D74" s="854">
        <v>0.06</v>
      </c>
      <c r="E74" s="855">
        <v>999</v>
      </c>
      <c r="G74" s="852">
        <v>1</v>
      </c>
      <c r="H74" s="853">
        <v>1</v>
      </c>
      <c r="I74" s="853">
        <v>5</v>
      </c>
      <c r="J74" s="854">
        <v>0.06</v>
      </c>
      <c r="K74" s="855">
        <v>12.5</v>
      </c>
      <c r="M74" s="865">
        <v>76</v>
      </c>
      <c r="N74" s="467">
        <v>-4</v>
      </c>
      <c r="O74" s="464">
        <f t="shared" si="13"/>
        <v>0.8</v>
      </c>
      <c r="Q74" s="123">
        <v>18</v>
      </c>
      <c r="R74" s="814">
        <f t="shared" si="14"/>
        <v>1.166106909200552</v>
      </c>
    </row>
    <row r="75" spans="1:18" ht="12.75" customHeight="1" x14ac:dyDescent="0.25">
      <c r="A75" s="630">
        <v>2</v>
      </c>
      <c r="B75" s="86">
        <v>2</v>
      </c>
      <c r="C75" s="86">
        <v>6</v>
      </c>
      <c r="D75" s="856">
        <v>0.06</v>
      </c>
      <c r="E75" s="857">
        <v>27</v>
      </c>
      <c r="G75" s="630">
        <v>2</v>
      </c>
      <c r="H75" s="86">
        <v>2</v>
      </c>
      <c r="I75" s="86">
        <v>6</v>
      </c>
      <c r="J75" s="856">
        <v>0.06</v>
      </c>
      <c r="K75" s="857">
        <v>27</v>
      </c>
      <c r="M75" s="865">
        <v>77</v>
      </c>
      <c r="N75" s="467">
        <v>-4</v>
      </c>
      <c r="O75" s="464">
        <f t="shared" si="13"/>
        <v>0.85</v>
      </c>
      <c r="Q75" s="123">
        <v>27</v>
      </c>
      <c r="R75" s="814">
        <f t="shared" si="14"/>
        <v>1.1915177425101151</v>
      </c>
    </row>
    <row r="76" spans="1:18" ht="12.75" customHeight="1" x14ac:dyDescent="0.25">
      <c r="A76" s="630">
        <v>3</v>
      </c>
      <c r="B76" s="86">
        <v>3</v>
      </c>
      <c r="C76" s="86">
        <v>9</v>
      </c>
      <c r="D76" s="856">
        <v>0.06</v>
      </c>
      <c r="E76" s="857">
        <v>49.5</v>
      </c>
      <c r="G76" s="630">
        <v>3</v>
      </c>
      <c r="H76" s="86">
        <v>3</v>
      </c>
      <c r="I76" s="86">
        <v>8</v>
      </c>
      <c r="J76" s="856">
        <v>0.06</v>
      </c>
      <c r="K76" s="857">
        <v>46.5</v>
      </c>
      <c r="M76" s="865">
        <v>78</v>
      </c>
      <c r="N76" s="467">
        <v>-4</v>
      </c>
      <c r="O76" s="464">
        <f t="shared" si="13"/>
        <v>0.9</v>
      </c>
      <c r="Q76" s="123">
        <v>36</v>
      </c>
      <c r="R76" s="814">
        <f t="shared" si="14"/>
        <v>1.2098821275158933</v>
      </c>
    </row>
    <row r="77" spans="1:18" ht="12.75" customHeight="1" x14ac:dyDescent="0.25">
      <c r="A77" s="630">
        <v>4</v>
      </c>
      <c r="B77" s="86">
        <v>4</v>
      </c>
      <c r="C77" s="86">
        <v>10</v>
      </c>
      <c r="D77" s="856">
        <v>0.06</v>
      </c>
      <c r="E77" s="857">
        <v>70</v>
      </c>
      <c r="G77" s="630">
        <v>4</v>
      </c>
      <c r="H77" s="86">
        <v>4</v>
      </c>
      <c r="I77" s="86">
        <v>9</v>
      </c>
      <c r="J77" s="856">
        <v>0.06</v>
      </c>
      <c r="K77" s="857">
        <v>66</v>
      </c>
      <c r="M77" s="865">
        <v>79</v>
      </c>
      <c r="N77" s="467">
        <v>-4</v>
      </c>
      <c r="O77" s="464">
        <f t="shared" si="13"/>
        <v>0.95</v>
      </c>
      <c r="Q77" s="123">
        <v>45</v>
      </c>
      <c r="R77" s="814">
        <f t="shared" si="14"/>
        <v>1.2243213463560227</v>
      </c>
    </row>
    <row r="78" spans="1:18" ht="12.75" customHeight="1" thickBot="1" x14ac:dyDescent="0.3">
      <c r="A78" s="630">
        <v>5</v>
      </c>
      <c r="B78" s="86">
        <v>6</v>
      </c>
      <c r="C78" s="86">
        <v>9</v>
      </c>
      <c r="D78" s="856">
        <v>0.06</v>
      </c>
      <c r="E78" s="857">
        <v>99</v>
      </c>
      <c r="G78" s="630">
        <v>5</v>
      </c>
      <c r="H78" s="86">
        <v>6</v>
      </c>
      <c r="I78" s="86">
        <v>7</v>
      </c>
      <c r="J78" s="856">
        <v>0.06</v>
      </c>
      <c r="K78" s="857">
        <v>87</v>
      </c>
      <c r="M78" s="531">
        <v>80</v>
      </c>
      <c r="N78" s="532">
        <v>-4</v>
      </c>
      <c r="O78" s="533">
        <f t="shared" si="13"/>
        <v>1</v>
      </c>
      <c r="Q78" s="123">
        <v>54</v>
      </c>
      <c r="R78" s="814">
        <f t="shared" si="14"/>
        <v>1.2362468740275172</v>
      </c>
    </row>
    <row r="79" spans="1:18" ht="12.75" customHeight="1" x14ac:dyDescent="0.25">
      <c r="A79" s="630">
        <v>6</v>
      </c>
      <c r="B79" s="86">
        <v>7</v>
      </c>
      <c r="C79" s="86">
        <v>9</v>
      </c>
      <c r="D79" s="856">
        <v>0.06</v>
      </c>
      <c r="E79" s="857">
        <v>115.5</v>
      </c>
      <c r="G79" s="630">
        <v>6</v>
      </c>
      <c r="H79" s="86">
        <v>7</v>
      </c>
      <c r="I79" s="86">
        <v>8</v>
      </c>
      <c r="J79" s="856">
        <v>0.06</v>
      </c>
      <c r="K79" s="857">
        <v>108.5</v>
      </c>
      <c r="M79" s="536">
        <v>81</v>
      </c>
      <c r="N79" s="537">
        <v>-5</v>
      </c>
      <c r="O79" s="538">
        <f t="shared" si="13"/>
        <v>1.05</v>
      </c>
      <c r="Q79" s="123">
        <v>63</v>
      </c>
      <c r="R79" s="814">
        <f t="shared" si="14"/>
        <v>1.2464203437545169</v>
      </c>
    </row>
    <row r="80" spans="1:18" ht="12.75" customHeight="1" x14ac:dyDescent="0.25">
      <c r="A80" s="630">
        <v>7</v>
      </c>
      <c r="B80" s="86">
        <v>99</v>
      </c>
      <c r="C80" s="86">
        <v>99</v>
      </c>
      <c r="D80" s="856">
        <v>0.06</v>
      </c>
      <c r="E80" s="857">
        <v>999</v>
      </c>
      <c r="G80" s="630">
        <v>7</v>
      </c>
      <c r="H80" s="86">
        <v>8</v>
      </c>
      <c r="I80" s="86">
        <v>8</v>
      </c>
      <c r="J80" s="856">
        <v>0.06</v>
      </c>
      <c r="K80" s="857">
        <v>124</v>
      </c>
      <c r="M80" s="865">
        <v>82</v>
      </c>
      <c r="N80" s="467">
        <v>-5</v>
      </c>
      <c r="O80" s="464">
        <f>(M80-60)/20</f>
        <v>1.1000000000000001</v>
      </c>
      <c r="Q80" s="123">
        <v>72</v>
      </c>
      <c r="R80" s="814">
        <f t="shared" si="14"/>
        <v>1.2553006511949507</v>
      </c>
    </row>
    <row r="81" spans="1:18" ht="12.75" customHeight="1" x14ac:dyDescent="0.25">
      <c r="A81" s="630">
        <v>8</v>
      </c>
      <c r="B81" s="86">
        <v>99</v>
      </c>
      <c r="C81" s="86">
        <v>99</v>
      </c>
      <c r="D81" s="856">
        <v>0.06</v>
      </c>
      <c r="E81" s="857">
        <v>999</v>
      </c>
      <c r="G81" s="630">
        <v>8</v>
      </c>
      <c r="H81" s="86">
        <v>10</v>
      </c>
      <c r="I81" s="86">
        <v>8</v>
      </c>
      <c r="J81" s="856">
        <v>0.06</v>
      </c>
      <c r="K81" s="857">
        <v>155</v>
      </c>
      <c r="M81" s="865">
        <v>83</v>
      </c>
      <c r="N81" s="467">
        <v>-5</v>
      </c>
      <c r="O81" s="464">
        <f t="shared" si="13"/>
        <v>1.1499999999999999</v>
      </c>
      <c r="Q81" s="123">
        <v>81</v>
      </c>
      <c r="R81" s="814">
        <f t="shared" si="14"/>
        <v>1.2631861391991115</v>
      </c>
    </row>
    <row r="82" spans="1:18" ht="12.75" customHeight="1" x14ac:dyDescent="0.25">
      <c r="A82" s="630">
        <v>9</v>
      </c>
      <c r="B82" s="86">
        <v>99</v>
      </c>
      <c r="C82" s="86">
        <v>99</v>
      </c>
      <c r="D82" s="856">
        <v>0.06</v>
      </c>
      <c r="E82" s="857">
        <v>999</v>
      </c>
      <c r="G82" s="630">
        <v>9</v>
      </c>
      <c r="H82" s="86">
        <v>12</v>
      </c>
      <c r="I82" s="86">
        <v>7</v>
      </c>
      <c r="J82" s="856">
        <v>0.06</v>
      </c>
      <c r="K82" s="857">
        <v>174</v>
      </c>
      <c r="M82" s="865">
        <v>84</v>
      </c>
      <c r="N82" s="467">
        <v>-5</v>
      </c>
      <c r="O82" s="464">
        <f t="shared" si="13"/>
        <v>1.2</v>
      </c>
      <c r="Q82" s="123">
        <v>90</v>
      </c>
      <c r="R82" s="814">
        <f t="shared" si="14"/>
        <v>1.2702819129232943</v>
      </c>
    </row>
    <row r="83" spans="1:18" ht="12.75" customHeight="1" thickBot="1" x14ac:dyDescent="0.3">
      <c r="A83" s="630">
        <v>10</v>
      </c>
      <c r="B83" s="86">
        <v>99</v>
      </c>
      <c r="C83" s="86">
        <v>99</v>
      </c>
      <c r="D83" s="856">
        <v>0.06</v>
      </c>
      <c r="E83" s="857">
        <v>999</v>
      </c>
      <c r="G83" s="630">
        <v>10</v>
      </c>
      <c r="H83" s="86">
        <v>99</v>
      </c>
      <c r="I83" s="86">
        <v>99</v>
      </c>
      <c r="J83" s="856">
        <v>0.06</v>
      </c>
      <c r="K83" s="857">
        <v>999</v>
      </c>
      <c r="M83" s="865">
        <v>85</v>
      </c>
      <c r="N83" s="467">
        <v>-5</v>
      </c>
      <c r="O83" s="464">
        <f t="shared" si="13"/>
        <v>1.25</v>
      </c>
      <c r="Q83" s="124">
        <v>99</v>
      </c>
      <c r="R83" s="819">
        <f t="shared" si="14"/>
        <v>1.276735152496105</v>
      </c>
    </row>
    <row r="84" spans="1:18" ht="12.75" customHeight="1" x14ac:dyDescent="0.25">
      <c r="A84" s="630">
        <v>11</v>
      </c>
      <c r="B84" s="86">
        <v>99</v>
      </c>
      <c r="C84" s="86">
        <v>99</v>
      </c>
      <c r="D84" s="856">
        <v>0.06</v>
      </c>
      <c r="E84" s="857">
        <v>999</v>
      </c>
      <c r="G84" s="630">
        <v>11</v>
      </c>
      <c r="H84" s="86">
        <v>99</v>
      </c>
      <c r="I84" s="86">
        <v>99</v>
      </c>
      <c r="J84" s="856">
        <v>0.06</v>
      </c>
      <c r="K84" s="857">
        <v>999</v>
      </c>
      <c r="M84" s="865">
        <v>86</v>
      </c>
      <c r="N84" s="467">
        <v>-5</v>
      </c>
      <c r="O84" s="464">
        <f t="shared" si="13"/>
        <v>1.3</v>
      </c>
    </row>
    <row r="85" spans="1:18" ht="12.75" customHeight="1" x14ac:dyDescent="0.25">
      <c r="A85" s="630">
        <v>12</v>
      </c>
      <c r="B85" s="86">
        <v>15</v>
      </c>
      <c r="C85" s="86">
        <v>10</v>
      </c>
      <c r="D85" s="856">
        <v>0.06</v>
      </c>
      <c r="E85" s="857">
        <v>262.5</v>
      </c>
      <c r="G85" s="630">
        <v>12</v>
      </c>
      <c r="H85" s="86">
        <v>16</v>
      </c>
      <c r="I85" s="86">
        <v>7</v>
      </c>
      <c r="J85" s="856">
        <v>0.06</v>
      </c>
      <c r="K85" s="857">
        <v>232</v>
      </c>
      <c r="M85" s="865">
        <v>87</v>
      </c>
      <c r="N85" s="467">
        <v>-5</v>
      </c>
      <c r="O85" s="464">
        <f t="shared" si="13"/>
        <v>1.35</v>
      </c>
    </row>
    <row r="86" spans="1:18" ht="12.75" customHeight="1" x14ac:dyDescent="0.25">
      <c r="A86" s="630">
        <v>13</v>
      </c>
      <c r="B86" s="86">
        <v>99</v>
      </c>
      <c r="C86" s="86">
        <v>99</v>
      </c>
      <c r="D86" s="856">
        <v>0.06</v>
      </c>
      <c r="E86" s="857">
        <v>999</v>
      </c>
      <c r="G86" s="630">
        <v>13</v>
      </c>
      <c r="H86" s="86">
        <v>99</v>
      </c>
      <c r="I86" s="86">
        <v>99</v>
      </c>
      <c r="J86" s="856">
        <v>0.06</v>
      </c>
      <c r="K86" s="857">
        <v>999</v>
      </c>
      <c r="M86" s="865">
        <v>88</v>
      </c>
      <c r="N86" s="467">
        <v>-5</v>
      </c>
      <c r="O86" s="464">
        <f t="shared" si="13"/>
        <v>1.4</v>
      </c>
    </row>
    <row r="87" spans="1:18" ht="12.75" customHeight="1" x14ac:dyDescent="0.25">
      <c r="A87" s="630">
        <v>14</v>
      </c>
      <c r="B87" s="86">
        <v>99</v>
      </c>
      <c r="C87" s="86">
        <v>99</v>
      </c>
      <c r="D87" s="856">
        <v>0.06</v>
      </c>
      <c r="E87" s="857">
        <v>999</v>
      </c>
      <c r="G87" s="630">
        <v>14</v>
      </c>
      <c r="H87" s="86">
        <v>99</v>
      </c>
      <c r="I87" s="86">
        <v>99</v>
      </c>
      <c r="J87" s="856">
        <v>0.06</v>
      </c>
      <c r="K87" s="857">
        <v>999</v>
      </c>
      <c r="M87" s="865">
        <v>89</v>
      </c>
      <c r="N87" s="467">
        <v>-5</v>
      </c>
      <c r="O87" s="464">
        <f t="shared" si="13"/>
        <v>1.45</v>
      </c>
    </row>
    <row r="88" spans="1:18" ht="12.75" customHeight="1" x14ac:dyDescent="0.25">
      <c r="A88" s="630">
        <v>15</v>
      </c>
      <c r="B88" s="86">
        <v>99</v>
      </c>
      <c r="C88" s="86">
        <v>99</v>
      </c>
      <c r="D88" s="856">
        <v>0.06</v>
      </c>
      <c r="E88" s="857">
        <v>999</v>
      </c>
      <c r="G88" s="630">
        <v>15</v>
      </c>
      <c r="H88" s="86">
        <v>99</v>
      </c>
      <c r="I88" s="86">
        <v>99</v>
      </c>
      <c r="J88" s="856">
        <v>0.06</v>
      </c>
      <c r="K88" s="857">
        <v>999</v>
      </c>
      <c r="M88" s="865">
        <v>90</v>
      </c>
      <c r="N88" s="467">
        <v>-5</v>
      </c>
      <c r="O88" s="464">
        <f t="shared" si="13"/>
        <v>1.5</v>
      </c>
    </row>
    <row r="89" spans="1:18" ht="12.75" customHeight="1" x14ac:dyDescent="0.25">
      <c r="A89" s="630">
        <v>16</v>
      </c>
      <c r="B89" s="86">
        <v>99</v>
      </c>
      <c r="C89" s="86">
        <v>99</v>
      </c>
      <c r="D89" s="856">
        <v>0.06</v>
      </c>
      <c r="E89" s="857">
        <v>999</v>
      </c>
      <c r="G89" s="630">
        <v>16</v>
      </c>
      <c r="H89" s="86">
        <v>99</v>
      </c>
      <c r="I89" s="86">
        <v>99</v>
      </c>
      <c r="J89" s="856">
        <v>0.06</v>
      </c>
      <c r="K89" s="857">
        <v>999</v>
      </c>
      <c r="M89" s="865">
        <v>91</v>
      </c>
      <c r="N89" s="467">
        <v>-5</v>
      </c>
      <c r="O89" s="464">
        <f t="shared" si="13"/>
        <v>1.55</v>
      </c>
    </row>
    <row r="90" spans="1:18" ht="12.75" customHeight="1" x14ac:dyDescent="0.25">
      <c r="A90" s="630">
        <v>17</v>
      </c>
      <c r="B90" s="86">
        <v>99</v>
      </c>
      <c r="C90" s="86">
        <v>99</v>
      </c>
      <c r="D90" s="856">
        <v>0.06</v>
      </c>
      <c r="E90" s="857">
        <v>999</v>
      </c>
      <c r="G90" s="630">
        <v>17</v>
      </c>
      <c r="H90" s="86">
        <v>99</v>
      </c>
      <c r="I90" s="86">
        <v>99</v>
      </c>
      <c r="J90" s="856">
        <v>0.06</v>
      </c>
      <c r="K90" s="857">
        <v>999</v>
      </c>
      <c r="M90" s="865">
        <v>92</v>
      </c>
      <c r="N90" s="467">
        <v>-5</v>
      </c>
      <c r="O90" s="464">
        <f t="shared" si="13"/>
        <v>1.6</v>
      </c>
    </row>
    <row r="91" spans="1:18" ht="12.75" customHeight="1" x14ac:dyDescent="0.25">
      <c r="A91" s="630">
        <v>18</v>
      </c>
      <c r="B91" s="86">
        <v>99</v>
      </c>
      <c r="C91" s="86">
        <v>99</v>
      </c>
      <c r="D91" s="856">
        <v>0.06</v>
      </c>
      <c r="E91" s="857">
        <v>999</v>
      </c>
      <c r="G91" s="630">
        <v>18</v>
      </c>
      <c r="H91" s="86">
        <v>99</v>
      </c>
      <c r="I91" s="86">
        <v>99</v>
      </c>
      <c r="J91" s="856">
        <v>0.06</v>
      </c>
      <c r="K91" s="857">
        <v>999</v>
      </c>
      <c r="M91" s="865">
        <v>93</v>
      </c>
      <c r="N91" s="467">
        <v>-5</v>
      </c>
      <c r="O91" s="464">
        <f t="shared" si="13"/>
        <v>1.65</v>
      </c>
    </row>
    <row r="92" spans="1:18" ht="12.75" customHeight="1" x14ac:dyDescent="0.25">
      <c r="A92" s="630">
        <v>19</v>
      </c>
      <c r="B92" s="86">
        <v>99</v>
      </c>
      <c r="C92" s="86">
        <v>99</v>
      </c>
      <c r="D92" s="856">
        <v>0.06</v>
      </c>
      <c r="E92" s="857">
        <v>999</v>
      </c>
      <c r="G92" s="630">
        <v>19</v>
      </c>
      <c r="H92" s="86">
        <v>99</v>
      </c>
      <c r="I92" s="86">
        <v>99</v>
      </c>
      <c r="J92" s="856">
        <v>0.06</v>
      </c>
      <c r="K92" s="857">
        <v>999</v>
      </c>
      <c r="M92" s="865">
        <v>94</v>
      </c>
      <c r="N92" s="467">
        <v>-5</v>
      </c>
      <c r="O92" s="464">
        <f t="shared" si="13"/>
        <v>1.7</v>
      </c>
    </row>
    <row r="93" spans="1:18" ht="12.75" customHeight="1" thickBot="1" x14ac:dyDescent="0.3">
      <c r="A93" s="858">
        <v>20</v>
      </c>
      <c r="B93" s="859">
        <v>99</v>
      </c>
      <c r="C93" s="859">
        <v>99</v>
      </c>
      <c r="D93" s="860">
        <v>0.06</v>
      </c>
      <c r="E93" s="861">
        <v>999</v>
      </c>
      <c r="G93" s="858">
        <v>20</v>
      </c>
      <c r="H93" s="859">
        <v>99</v>
      </c>
      <c r="I93" s="859">
        <v>99</v>
      </c>
      <c r="J93" s="860">
        <v>0.06</v>
      </c>
      <c r="K93" s="861">
        <v>999</v>
      </c>
      <c r="M93" s="865">
        <v>95</v>
      </c>
      <c r="N93" s="467">
        <v>-5</v>
      </c>
      <c r="O93" s="464">
        <f t="shared" si="13"/>
        <v>1.75</v>
      </c>
    </row>
    <row r="94" spans="1:18" ht="12.75" customHeight="1" x14ac:dyDescent="0.25">
      <c r="A94" s="852">
        <v>1</v>
      </c>
      <c r="B94" s="853">
        <v>1</v>
      </c>
      <c r="C94" s="853">
        <v>10</v>
      </c>
      <c r="D94" s="854">
        <v>7.0000000000000007E-2</v>
      </c>
      <c r="E94" s="855">
        <v>17.5</v>
      </c>
      <c r="G94" s="852">
        <v>1</v>
      </c>
      <c r="H94" s="853">
        <v>1</v>
      </c>
      <c r="I94" s="853">
        <v>5</v>
      </c>
      <c r="J94" s="854">
        <v>7.0000000000000007E-2</v>
      </c>
      <c r="K94" s="855">
        <v>12.5</v>
      </c>
      <c r="M94" s="865">
        <v>96</v>
      </c>
      <c r="N94" s="467">
        <v>-5</v>
      </c>
      <c r="O94" s="464">
        <f t="shared" si="13"/>
        <v>1.8</v>
      </c>
    </row>
    <row r="95" spans="1:18" ht="12.75" customHeight="1" x14ac:dyDescent="0.25">
      <c r="A95" s="630">
        <v>2</v>
      </c>
      <c r="B95" s="86">
        <v>2</v>
      </c>
      <c r="C95" s="86">
        <v>8</v>
      </c>
      <c r="D95" s="856">
        <v>7.0000000000000007E-2</v>
      </c>
      <c r="E95" s="857">
        <v>31</v>
      </c>
      <c r="G95" s="630">
        <v>2</v>
      </c>
      <c r="H95" s="86">
        <v>2</v>
      </c>
      <c r="I95" s="86">
        <v>5</v>
      </c>
      <c r="J95" s="856">
        <v>7.0000000000000007E-2</v>
      </c>
      <c r="K95" s="857">
        <v>25</v>
      </c>
      <c r="M95" s="865">
        <v>97</v>
      </c>
      <c r="N95" s="467">
        <v>-5</v>
      </c>
      <c r="O95" s="464">
        <f t="shared" si="13"/>
        <v>1.85</v>
      </c>
    </row>
    <row r="96" spans="1:18" ht="12.75" customHeight="1" x14ac:dyDescent="0.25">
      <c r="A96" s="630">
        <v>3</v>
      </c>
      <c r="B96" s="86">
        <v>3</v>
      </c>
      <c r="C96" s="86">
        <v>8</v>
      </c>
      <c r="D96" s="856">
        <v>7.0000000000000007E-2</v>
      </c>
      <c r="E96" s="857">
        <v>46.5</v>
      </c>
      <c r="G96" s="630">
        <v>3</v>
      </c>
      <c r="H96" s="86">
        <v>3</v>
      </c>
      <c r="I96" s="86">
        <v>7</v>
      </c>
      <c r="J96" s="856">
        <v>7.0000000000000007E-2</v>
      </c>
      <c r="K96" s="857">
        <v>43.5</v>
      </c>
      <c r="M96" s="865">
        <v>98</v>
      </c>
      <c r="N96" s="467">
        <v>-5</v>
      </c>
      <c r="O96" s="464">
        <f t="shared" si="13"/>
        <v>1.9</v>
      </c>
    </row>
    <row r="97" spans="1:15" ht="12.75" customHeight="1" x14ac:dyDescent="0.25">
      <c r="A97" s="630">
        <v>4</v>
      </c>
      <c r="B97" s="86">
        <v>4</v>
      </c>
      <c r="C97" s="86">
        <v>10</v>
      </c>
      <c r="D97" s="856">
        <v>7.0000000000000007E-2</v>
      </c>
      <c r="E97" s="857">
        <v>70</v>
      </c>
      <c r="G97" s="630">
        <v>4</v>
      </c>
      <c r="H97" s="86">
        <v>5</v>
      </c>
      <c r="I97" s="86">
        <v>5</v>
      </c>
      <c r="J97" s="856">
        <v>7.0000000000000007E-2</v>
      </c>
      <c r="K97" s="857">
        <v>62.5</v>
      </c>
      <c r="M97" s="865">
        <v>99</v>
      </c>
      <c r="N97" s="467">
        <v>-5</v>
      </c>
      <c r="O97" s="464">
        <f t="shared" si="13"/>
        <v>1.95</v>
      </c>
    </row>
    <row r="98" spans="1:15" ht="12.75" customHeight="1" thickBot="1" x14ac:dyDescent="0.3">
      <c r="A98" s="630">
        <v>5</v>
      </c>
      <c r="B98" s="86">
        <v>5</v>
      </c>
      <c r="C98" s="86">
        <v>11</v>
      </c>
      <c r="D98" s="856">
        <v>7.0000000000000007E-2</v>
      </c>
      <c r="E98" s="857">
        <v>92.5</v>
      </c>
      <c r="G98" s="630">
        <v>5</v>
      </c>
      <c r="H98" s="86">
        <v>5</v>
      </c>
      <c r="I98" s="86">
        <v>10</v>
      </c>
      <c r="J98" s="856">
        <v>7.0000000000000007E-2</v>
      </c>
      <c r="K98" s="857">
        <v>87.5</v>
      </c>
      <c r="M98" s="12">
        <v>100</v>
      </c>
      <c r="N98" s="466">
        <v>-5</v>
      </c>
      <c r="O98" s="465">
        <f>(M98-60)/20</f>
        <v>2</v>
      </c>
    </row>
    <row r="99" spans="1:15" ht="12.75" customHeight="1" x14ac:dyDescent="0.25">
      <c r="A99" s="630">
        <v>6</v>
      </c>
      <c r="B99" s="86">
        <v>7</v>
      </c>
      <c r="C99" s="86">
        <v>8</v>
      </c>
      <c r="D99" s="856">
        <v>7.0000000000000007E-2</v>
      </c>
      <c r="E99" s="857">
        <v>108.5</v>
      </c>
      <c r="G99" s="630">
        <v>6</v>
      </c>
      <c r="H99" s="86">
        <v>7</v>
      </c>
      <c r="I99" s="86">
        <v>8</v>
      </c>
      <c r="J99" s="856">
        <v>7.0000000000000007E-2</v>
      </c>
      <c r="K99" s="857">
        <v>108.5</v>
      </c>
      <c r="M99" s="534">
        <v>101</v>
      </c>
      <c r="N99" s="535">
        <v>-6</v>
      </c>
      <c r="O99" s="470">
        <f t="shared" si="13"/>
        <v>2.0499999999999998</v>
      </c>
    </row>
    <row r="100" spans="1:15" ht="12.75" customHeight="1" x14ac:dyDescent="0.25">
      <c r="A100" s="630">
        <v>7</v>
      </c>
      <c r="B100" s="86">
        <v>8</v>
      </c>
      <c r="C100" s="86">
        <v>9</v>
      </c>
      <c r="D100" s="856">
        <v>7.0000000000000007E-2</v>
      </c>
      <c r="E100" s="857">
        <v>132</v>
      </c>
      <c r="G100" s="630">
        <v>7</v>
      </c>
      <c r="H100" s="86">
        <v>8</v>
      </c>
      <c r="I100" s="86">
        <v>8</v>
      </c>
      <c r="J100" s="856">
        <v>7.0000000000000007E-2</v>
      </c>
      <c r="K100" s="857">
        <v>124</v>
      </c>
      <c r="M100" s="865">
        <v>102</v>
      </c>
      <c r="N100" s="467">
        <v>-6</v>
      </c>
      <c r="O100" s="464">
        <f t="shared" si="13"/>
        <v>2.1</v>
      </c>
    </row>
    <row r="101" spans="1:15" ht="12.75" customHeight="1" x14ac:dyDescent="0.25">
      <c r="A101" s="630">
        <v>8</v>
      </c>
      <c r="B101" s="86">
        <v>9</v>
      </c>
      <c r="C101" s="86">
        <v>9</v>
      </c>
      <c r="D101" s="856">
        <v>7.0000000000000007E-2</v>
      </c>
      <c r="E101" s="857">
        <v>148.5</v>
      </c>
      <c r="G101" s="630">
        <v>8</v>
      </c>
      <c r="H101" s="86">
        <v>8</v>
      </c>
      <c r="I101" s="86">
        <v>12</v>
      </c>
      <c r="J101" s="856">
        <v>7.0000000000000007E-2</v>
      </c>
      <c r="K101" s="857">
        <v>156</v>
      </c>
      <c r="M101" s="865">
        <v>103</v>
      </c>
      <c r="N101" s="467">
        <v>-6</v>
      </c>
      <c r="O101" s="464">
        <f t="shared" si="13"/>
        <v>2.15</v>
      </c>
    </row>
    <row r="102" spans="1:15" ht="12.75" customHeight="1" x14ac:dyDescent="0.25">
      <c r="A102" s="630">
        <v>9</v>
      </c>
      <c r="B102" s="86">
        <v>11</v>
      </c>
      <c r="C102" s="86">
        <v>10</v>
      </c>
      <c r="D102" s="856">
        <v>7.0000000000000007E-2</v>
      </c>
      <c r="E102" s="857">
        <v>192.5</v>
      </c>
      <c r="G102" s="630">
        <v>9</v>
      </c>
      <c r="H102" s="86">
        <v>9</v>
      </c>
      <c r="I102" s="86">
        <v>15</v>
      </c>
      <c r="J102" s="856">
        <v>7.0000000000000007E-2</v>
      </c>
      <c r="K102" s="857">
        <v>202.5</v>
      </c>
      <c r="M102" s="865">
        <v>104</v>
      </c>
      <c r="N102" s="467">
        <v>-6</v>
      </c>
      <c r="O102" s="464">
        <f t="shared" si="13"/>
        <v>2.2000000000000002</v>
      </c>
    </row>
    <row r="103" spans="1:15" ht="12.75" customHeight="1" x14ac:dyDescent="0.25">
      <c r="A103" s="630">
        <v>10</v>
      </c>
      <c r="B103" s="86">
        <v>12</v>
      </c>
      <c r="C103" s="86">
        <v>10</v>
      </c>
      <c r="D103" s="856">
        <v>7.0000000000000007E-2</v>
      </c>
      <c r="E103" s="857">
        <v>210</v>
      </c>
      <c r="G103" s="630">
        <v>10</v>
      </c>
      <c r="H103" s="86">
        <v>10</v>
      </c>
      <c r="I103" s="86">
        <v>15</v>
      </c>
      <c r="J103" s="856">
        <v>7.0000000000000007E-2</v>
      </c>
      <c r="K103" s="857">
        <v>225</v>
      </c>
      <c r="M103" s="865">
        <v>105</v>
      </c>
      <c r="N103" s="467">
        <v>-6</v>
      </c>
      <c r="O103" s="464">
        <f t="shared" si="13"/>
        <v>2.25</v>
      </c>
    </row>
    <row r="104" spans="1:15" ht="12.75" customHeight="1" x14ac:dyDescent="0.25">
      <c r="A104" s="630">
        <v>11</v>
      </c>
      <c r="B104" s="86">
        <v>13</v>
      </c>
      <c r="C104" s="86">
        <v>10</v>
      </c>
      <c r="D104" s="856">
        <v>7.0000000000000007E-2</v>
      </c>
      <c r="E104" s="857">
        <v>227.5</v>
      </c>
      <c r="G104" s="630">
        <v>11</v>
      </c>
      <c r="H104" s="86">
        <v>99</v>
      </c>
      <c r="I104" s="86">
        <v>99</v>
      </c>
      <c r="J104" s="856">
        <v>7.0000000000000007E-2</v>
      </c>
      <c r="K104" s="857">
        <v>999</v>
      </c>
      <c r="M104" s="865">
        <v>106</v>
      </c>
      <c r="N104" s="467">
        <v>-6</v>
      </c>
      <c r="O104" s="464">
        <f t="shared" si="13"/>
        <v>2.2999999999999998</v>
      </c>
    </row>
    <row r="105" spans="1:15" ht="12.75" customHeight="1" x14ac:dyDescent="0.25">
      <c r="A105" s="630">
        <v>12</v>
      </c>
      <c r="B105" s="86">
        <v>14</v>
      </c>
      <c r="C105" s="86">
        <v>10</v>
      </c>
      <c r="D105" s="856">
        <v>7.0000000000000007E-2</v>
      </c>
      <c r="E105" s="857">
        <v>245</v>
      </c>
      <c r="G105" s="630">
        <v>12</v>
      </c>
      <c r="H105" s="86">
        <v>99</v>
      </c>
      <c r="I105" s="86">
        <v>99</v>
      </c>
      <c r="J105" s="856">
        <v>7.0000000000000007E-2</v>
      </c>
      <c r="K105" s="857">
        <v>999</v>
      </c>
      <c r="M105" s="865">
        <v>107</v>
      </c>
      <c r="N105" s="467">
        <v>-6</v>
      </c>
      <c r="O105" s="464">
        <f t="shared" si="13"/>
        <v>2.35</v>
      </c>
    </row>
    <row r="106" spans="1:15" ht="12.75" customHeight="1" x14ac:dyDescent="0.25">
      <c r="A106" s="630">
        <v>13</v>
      </c>
      <c r="B106" s="86">
        <v>99</v>
      </c>
      <c r="C106" s="86">
        <v>99</v>
      </c>
      <c r="D106" s="856">
        <v>7.0000000000000007E-2</v>
      </c>
      <c r="E106" s="857">
        <v>999</v>
      </c>
      <c r="G106" s="630">
        <v>13</v>
      </c>
      <c r="H106" s="86">
        <v>99</v>
      </c>
      <c r="I106" s="86">
        <v>99</v>
      </c>
      <c r="J106" s="856">
        <v>7.0000000000000007E-2</v>
      </c>
      <c r="K106" s="857">
        <v>999</v>
      </c>
      <c r="M106" s="865">
        <v>108</v>
      </c>
      <c r="N106" s="467">
        <v>-6</v>
      </c>
      <c r="O106" s="464">
        <f t="shared" si="13"/>
        <v>2.4</v>
      </c>
    </row>
    <row r="107" spans="1:15" ht="12.75" customHeight="1" x14ac:dyDescent="0.25">
      <c r="A107" s="630">
        <v>14</v>
      </c>
      <c r="B107" s="86">
        <v>99</v>
      </c>
      <c r="C107" s="86">
        <v>99</v>
      </c>
      <c r="D107" s="856">
        <v>7.0000000000000007E-2</v>
      </c>
      <c r="E107" s="857">
        <v>999</v>
      </c>
      <c r="G107" s="630">
        <v>14</v>
      </c>
      <c r="H107" s="86">
        <v>99</v>
      </c>
      <c r="I107" s="86">
        <v>99</v>
      </c>
      <c r="J107" s="856">
        <v>7.0000000000000007E-2</v>
      </c>
      <c r="K107" s="857">
        <v>999</v>
      </c>
      <c r="M107" s="865">
        <v>109</v>
      </c>
      <c r="N107" s="467">
        <v>-6</v>
      </c>
      <c r="O107" s="464">
        <f t="shared" si="13"/>
        <v>2.4500000000000002</v>
      </c>
    </row>
    <row r="108" spans="1:15" ht="12.75" customHeight="1" x14ac:dyDescent="0.25">
      <c r="A108" s="630">
        <v>15</v>
      </c>
      <c r="B108" s="86">
        <v>99</v>
      </c>
      <c r="C108" s="86">
        <v>99</v>
      </c>
      <c r="D108" s="856">
        <v>7.0000000000000007E-2</v>
      </c>
      <c r="E108" s="857">
        <v>999</v>
      </c>
      <c r="G108" s="630">
        <v>15</v>
      </c>
      <c r="H108" s="86">
        <v>99</v>
      </c>
      <c r="I108" s="86">
        <v>99</v>
      </c>
      <c r="J108" s="856">
        <v>7.0000000000000007E-2</v>
      </c>
      <c r="K108" s="857">
        <v>999</v>
      </c>
      <c r="M108" s="865">
        <v>110</v>
      </c>
      <c r="N108" s="467">
        <v>-6</v>
      </c>
      <c r="O108" s="464">
        <f t="shared" si="13"/>
        <v>2.5</v>
      </c>
    </row>
    <row r="109" spans="1:15" ht="12.75" customHeight="1" x14ac:dyDescent="0.25">
      <c r="A109" s="630">
        <v>16</v>
      </c>
      <c r="B109" s="86">
        <v>99</v>
      </c>
      <c r="C109" s="86">
        <v>99</v>
      </c>
      <c r="D109" s="856">
        <v>7.0000000000000007E-2</v>
      </c>
      <c r="E109" s="857">
        <v>999</v>
      </c>
      <c r="G109" s="630">
        <v>16</v>
      </c>
      <c r="H109" s="86">
        <v>99</v>
      </c>
      <c r="I109" s="86">
        <v>99</v>
      </c>
      <c r="J109" s="856">
        <v>7.0000000000000007E-2</v>
      </c>
      <c r="K109" s="857">
        <v>999</v>
      </c>
      <c r="M109" s="865">
        <v>111</v>
      </c>
      <c r="N109" s="467">
        <v>-6</v>
      </c>
      <c r="O109" s="464">
        <f t="shared" si="13"/>
        <v>2.5499999999999998</v>
      </c>
    </row>
    <row r="110" spans="1:15" ht="12.75" customHeight="1" x14ac:dyDescent="0.25">
      <c r="A110" s="630">
        <v>17</v>
      </c>
      <c r="B110" s="86">
        <v>99</v>
      </c>
      <c r="C110" s="86">
        <v>99</v>
      </c>
      <c r="D110" s="856">
        <v>7.0000000000000007E-2</v>
      </c>
      <c r="E110" s="857">
        <v>999</v>
      </c>
      <c r="G110" s="630">
        <v>17</v>
      </c>
      <c r="H110" s="86">
        <v>99</v>
      </c>
      <c r="I110" s="86">
        <v>99</v>
      </c>
      <c r="J110" s="856">
        <v>7.0000000000000007E-2</v>
      </c>
      <c r="K110" s="857">
        <v>999</v>
      </c>
      <c r="M110" s="865">
        <v>112</v>
      </c>
      <c r="N110" s="467">
        <v>-6</v>
      </c>
      <c r="O110" s="464">
        <f t="shared" si="13"/>
        <v>2.6</v>
      </c>
    </row>
    <row r="111" spans="1:15" ht="12.75" customHeight="1" x14ac:dyDescent="0.25">
      <c r="A111" s="630">
        <v>18</v>
      </c>
      <c r="B111" s="86">
        <v>99</v>
      </c>
      <c r="C111" s="86">
        <v>99</v>
      </c>
      <c r="D111" s="856">
        <v>7.0000000000000007E-2</v>
      </c>
      <c r="E111" s="857">
        <v>999</v>
      </c>
      <c r="G111" s="630">
        <v>18</v>
      </c>
      <c r="H111" s="86">
        <v>99</v>
      </c>
      <c r="I111" s="86">
        <v>99</v>
      </c>
      <c r="J111" s="856">
        <v>7.0000000000000007E-2</v>
      </c>
      <c r="K111" s="857">
        <v>999</v>
      </c>
      <c r="M111" s="865">
        <v>113</v>
      </c>
      <c r="N111" s="467">
        <v>-6</v>
      </c>
      <c r="O111" s="464">
        <f t="shared" si="13"/>
        <v>2.65</v>
      </c>
    </row>
    <row r="112" spans="1:15" ht="12.75" customHeight="1" x14ac:dyDescent="0.25">
      <c r="A112" s="630">
        <v>19</v>
      </c>
      <c r="B112" s="86">
        <v>99</v>
      </c>
      <c r="C112" s="86">
        <v>99</v>
      </c>
      <c r="D112" s="856">
        <v>7.0000000000000007E-2</v>
      </c>
      <c r="E112" s="857">
        <v>999</v>
      </c>
      <c r="G112" s="630">
        <v>19</v>
      </c>
      <c r="H112" s="86">
        <v>99</v>
      </c>
      <c r="I112" s="86">
        <v>99</v>
      </c>
      <c r="J112" s="856">
        <v>7.0000000000000007E-2</v>
      </c>
      <c r="K112" s="857">
        <v>999</v>
      </c>
      <c r="M112" s="865">
        <v>114</v>
      </c>
      <c r="N112" s="467">
        <v>-6</v>
      </c>
      <c r="O112" s="464">
        <f t="shared" si="13"/>
        <v>2.7</v>
      </c>
    </row>
    <row r="113" spans="1:15" ht="12.75" customHeight="1" thickBot="1" x14ac:dyDescent="0.3">
      <c r="A113" s="858">
        <v>20</v>
      </c>
      <c r="B113" s="859">
        <v>99</v>
      </c>
      <c r="C113" s="859">
        <v>99</v>
      </c>
      <c r="D113" s="860">
        <v>7.0000000000000007E-2</v>
      </c>
      <c r="E113" s="861">
        <v>999</v>
      </c>
      <c r="G113" s="858">
        <v>20</v>
      </c>
      <c r="H113" s="859">
        <v>99</v>
      </c>
      <c r="I113" s="859">
        <v>99</v>
      </c>
      <c r="J113" s="860">
        <v>7.0000000000000007E-2</v>
      </c>
      <c r="K113" s="861">
        <v>999</v>
      </c>
      <c r="M113" s="865">
        <v>115</v>
      </c>
      <c r="N113" s="467">
        <v>-6</v>
      </c>
      <c r="O113" s="464">
        <f t="shared" si="13"/>
        <v>2.75</v>
      </c>
    </row>
    <row r="114" spans="1:15" ht="12.75" customHeight="1" x14ac:dyDescent="0.25">
      <c r="A114" s="852">
        <v>1</v>
      </c>
      <c r="B114" s="853">
        <v>1</v>
      </c>
      <c r="C114" s="853">
        <v>9</v>
      </c>
      <c r="D114" s="854">
        <v>0.08</v>
      </c>
      <c r="E114" s="855">
        <v>16.5</v>
      </c>
      <c r="G114" s="852">
        <v>1</v>
      </c>
      <c r="H114" s="853">
        <v>1</v>
      </c>
      <c r="I114" s="853">
        <v>8</v>
      </c>
      <c r="J114" s="854">
        <v>0.08</v>
      </c>
      <c r="K114" s="855">
        <v>15.5</v>
      </c>
      <c r="M114" s="865">
        <v>116</v>
      </c>
      <c r="N114" s="467">
        <v>-6</v>
      </c>
      <c r="O114" s="464">
        <f t="shared" si="13"/>
        <v>2.8</v>
      </c>
    </row>
    <row r="115" spans="1:15" ht="12.75" customHeight="1" x14ac:dyDescent="0.25">
      <c r="A115" s="630">
        <v>2</v>
      </c>
      <c r="B115" s="86">
        <v>2</v>
      </c>
      <c r="C115" s="86">
        <v>8</v>
      </c>
      <c r="D115" s="856">
        <v>0.08</v>
      </c>
      <c r="E115" s="857">
        <v>31</v>
      </c>
      <c r="G115" s="630">
        <v>2</v>
      </c>
      <c r="H115" s="86">
        <v>2</v>
      </c>
      <c r="I115" s="86">
        <v>7</v>
      </c>
      <c r="J115" s="856">
        <v>0.08</v>
      </c>
      <c r="K115" s="857">
        <v>29</v>
      </c>
      <c r="M115" s="865">
        <v>117</v>
      </c>
      <c r="N115" s="467">
        <v>-6</v>
      </c>
      <c r="O115" s="464">
        <f t="shared" si="13"/>
        <v>2.85</v>
      </c>
    </row>
    <row r="116" spans="1:15" ht="12.75" customHeight="1" x14ac:dyDescent="0.25">
      <c r="A116" s="630">
        <v>3</v>
      </c>
      <c r="B116" s="86">
        <v>3</v>
      </c>
      <c r="C116" s="86">
        <v>8</v>
      </c>
      <c r="D116" s="856">
        <v>0.08</v>
      </c>
      <c r="E116" s="857">
        <v>46.5</v>
      </c>
      <c r="G116" s="630">
        <v>3</v>
      </c>
      <c r="H116" s="86">
        <v>3</v>
      </c>
      <c r="I116" s="86">
        <v>7</v>
      </c>
      <c r="J116" s="856">
        <v>0.08</v>
      </c>
      <c r="K116" s="857">
        <v>43.5</v>
      </c>
      <c r="M116" s="865">
        <v>118</v>
      </c>
      <c r="N116" s="467">
        <v>-6</v>
      </c>
      <c r="O116" s="464">
        <f t="shared" si="13"/>
        <v>2.9</v>
      </c>
    </row>
    <row r="117" spans="1:15" ht="12.75" customHeight="1" x14ac:dyDescent="0.25">
      <c r="A117" s="630">
        <v>4</v>
      </c>
      <c r="B117" s="86">
        <v>4</v>
      </c>
      <c r="C117" s="86">
        <v>10</v>
      </c>
      <c r="D117" s="856">
        <v>0.08</v>
      </c>
      <c r="E117" s="857">
        <v>70</v>
      </c>
      <c r="G117" s="630">
        <v>4</v>
      </c>
      <c r="H117" s="86">
        <v>4</v>
      </c>
      <c r="I117" s="86">
        <v>8</v>
      </c>
      <c r="J117" s="856">
        <v>0.08</v>
      </c>
      <c r="K117" s="857">
        <v>62</v>
      </c>
      <c r="M117" s="865">
        <v>119</v>
      </c>
      <c r="N117" s="467">
        <v>-6</v>
      </c>
      <c r="O117" s="464">
        <f t="shared" si="13"/>
        <v>2.95</v>
      </c>
    </row>
    <row r="118" spans="1:15" ht="12.75" customHeight="1" thickBot="1" x14ac:dyDescent="0.3">
      <c r="A118" s="630">
        <v>5</v>
      </c>
      <c r="B118" s="86">
        <v>6</v>
      </c>
      <c r="C118" s="86">
        <v>7</v>
      </c>
      <c r="D118" s="856">
        <v>0.08</v>
      </c>
      <c r="E118" s="857">
        <v>87</v>
      </c>
      <c r="G118" s="630">
        <v>5</v>
      </c>
      <c r="H118" s="86">
        <v>5</v>
      </c>
      <c r="I118" s="86">
        <v>10</v>
      </c>
      <c r="J118" s="856">
        <v>0.08</v>
      </c>
      <c r="K118" s="857">
        <v>87.5</v>
      </c>
      <c r="M118" s="531">
        <v>120</v>
      </c>
      <c r="N118" s="532">
        <v>-6</v>
      </c>
      <c r="O118" s="533">
        <f t="shared" si="13"/>
        <v>3</v>
      </c>
    </row>
    <row r="119" spans="1:15" ht="12.75" customHeight="1" x14ac:dyDescent="0.25">
      <c r="A119" s="630">
        <v>6</v>
      </c>
      <c r="B119" s="86">
        <v>7</v>
      </c>
      <c r="C119" s="86">
        <v>9</v>
      </c>
      <c r="D119" s="856">
        <v>0.08</v>
      </c>
      <c r="E119" s="857">
        <v>115.5</v>
      </c>
      <c r="G119" s="630">
        <v>6</v>
      </c>
      <c r="H119" s="86">
        <v>6</v>
      </c>
      <c r="I119" s="86">
        <v>10</v>
      </c>
      <c r="J119" s="856">
        <v>0.08</v>
      </c>
      <c r="K119" s="857">
        <v>105</v>
      </c>
      <c r="M119" s="536">
        <v>121</v>
      </c>
      <c r="N119" s="537">
        <v>-7</v>
      </c>
      <c r="O119" s="538">
        <f>(M119-60)/20</f>
        <v>3.05</v>
      </c>
    </row>
    <row r="120" spans="1:15" ht="12.75" customHeight="1" x14ac:dyDescent="0.25">
      <c r="A120" s="630">
        <v>7</v>
      </c>
      <c r="B120" s="86">
        <v>9</v>
      </c>
      <c r="C120" s="86">
        <v>8</v>
      </c>
      <c r="D120" s="856">
        <v>0.08</v>
      </c>
      <c r="E120" s="857">
        <v>139.5</v>
      </c>
      <c r="G120" s="630">
        <v>7</v>
      </c>
      <c r="H120" s="86">
        <v>9</v>
      </c>
      <c r="I120" s="86">
        <v>6</v>
      </c>
      <c r="J120" s="856">
        <v>0.08</v>
      </c>
      <c r="K120" s="857">
        <v>121.5</v>
      </c>
      <c r="M120" s="865">
        <v>122</v>
      </c>
      <c r="N120" s="467">
        <v>-7</v>
      </c>
      <c r="O120" s="464">
        <f t="shared" si="13"/>
        <v>3.1</v>
      </c>
    </row>
    <row r="121" spans="1:15" ht="12.75" customHeight="1" x14ac:dyDescent="0.25">
      <c r="A121" s="630">
        <v>8</v>
      </c>
      <c r="B121" s="86">
        <v>10</v>
      </c>
      <c r="C121" s="86">
        <v>8</v>
      </c>
      <c r="D121" s="856">
        <v>0.08</v>
      </c>
      <c r="E121" s="857">
        <v>155</v>
      </c>
      <c r="G121" s="630">
        <v>8</v>
      </c>
      <c r="H121" s="86">
        <v>10</v>
      </c>
      <c r="I121" s="86">
        <v>6</v>
      </c>
      <c r="J121" s="856">
        <v>0.08</v>
      </c>
      <c r="K121" s="857">
        <v>135</v>
      </c>
      <c r="M121" s="865">
        <v>123</v>
      </c>
      <c r="N121" s="467">
        <v>-7</v>
      </c>
      <c r="O121" s="464">
        <f t="shared" si="13"/>
        <v>3.15</v>
      </c>
    </row>
    <row r="122" spans="1:15" ht="12.75" customHeight="1" x14ac:dyDescent="0.25">
      <c r="A122" s="630">
        <v>9</v>
      </c>
      <c r="B122" s="86">
        <v>10</v>
      </c>
      <c r="C122" s="86">
        <v>10</v>
      </c>
      <c r="D122" s="856">
        <v>0.08</v>
      </c>
      <c r="E122" s="857">
        <v>175</v>
      </c>
      <c r="G122" s="630">
        <v>9</v>
      </c>
      <c r="H122" s="86">
        <v>12</v>
      </c>
      <c r="I122" s="86">
        <v>6</v>
      </c>
      <c r="J122" s="856">
        <v>0.08</v>
      </c>
      <c r="K122" s="857">
        <v>162</v>
      </c>
      <c r="M122" s="865">
        <v>124</v>
      </c>
      <c r="N122" s="467">
        <v>-7</v>
      </c>
      <c r="O122" s="464">
        <f>(M122-60)/20</f>
        <v>3.2</v>
      </c>
    </row>
    <row r="123" spans="1:15" ht="12.75" customHeight="1" x14ac:dyDescent="0.25">
      <c r="A123" s="630">
        <v>10</v>
      </c>
      <c r="B123" s="86">
        <v>12</v>
      </c>
      <c r="C123" s="86">
        <v>9</v>
      </c>
      <c r="D123" s="856">
        <v>0.08</v>
      </c>
      <c r="E123" s="857">
        <v>198</v>
      </c>
      <c r="G123" s="630">
        <v>10</v>
      </c>
      <c r="H123" s="86">
        <v>99</v>
      </c>
      <c r="I123" s="86">
        <v>99</v>
      </c>
      <c r="J123" s="856">
        <v>0.08</v>
      </c>
      <c r="K123" s="857">
        <v>999</v>
      </c>
      <c r="M123" s="865">
        <v>125</v>
      </c>
      <c r="N123" s="467">
        <v>-7</v>
      </c>
      <c r="O123" s="464">
        <f t="shared" si="13"/>
        <v>3.25</v>
      </c>
    </row>
    <row r="124" spans="1:15" ht="12.75" customHeight="1" x14ac:dyDescent="0.25">
      <c r="A124" s="630">
        <v>11</v>
      </c>
      <c r="B124" s="86">
        <v>13</v>
      </c>
      <c r="C124" s="86">
        <v>9</v>
      </c>
      <c r="D124" s="856">
        <v>0.08</v>
      </c>
      <c r="E124" s="857">
        <v>214.5</v>
      </c>
      <c r="G124" s="630">
        <v>11</v>
      </c>
      <c r="H124" s="86">
        <v>99</v>
      </c>
      <c r="I124" s="86">
        <v>99</v>
      </c>
      <c r="J124" s="856">
        <v>0.08</v>
      </c>
      <c r="K124" s="857">
        <v>999</v>
      </c>
      <c r="M124" s="865">
        <v>126</v>
      </c>
      <c r="N124" s="467">
        <v>-7</v>
      </c>
      <c r="O124" s="464">
        <f t="shared" ref="O124:O155" si="15">(M124-60)/20</f>
        <v>3.3</v>
      </c>
    </row>
    <row r="125" spans="1:15" ht="12.75" customHeight="1" x14ac:dyDescent="0.25">
      <c r="A125" s="630">
        <v>12</v>
      </c>
      <c r="B125" s="86">
        <v>15</v>
      </c>
      <c r="C125" s="86">
        <v>9</v>
      </c>
      <c r="D125" s="856">
        <v>0.08</v>
      </c>
      <c r="E125" s="857">
        <v>247.5</v>
      </c>
      <c r="G125" s="630">
        <v>12</v>
      </c>
      <c r="H125" s="86">
        <v>99</v>
      </c>
      <c r="I125" s="86">
        <v>99</v>
      </c>
      <c r="J125" s="856">
        <v>0.08</v>
      </c>
      <c r="K125" s="857">
        <v>999</v>
      </c>
      <c r="M125" s="865">
        <v>127</v>
      </c>
      <c r="N125" s="467">
        <v>-7</v>
      </c>
      <c r="O125" s="464">
        <f t="shared" si="15"/>
        <v>3.35</v>
      </c>
    </row>
    <row r="126" spans="1:15" ht="12.75" customHeight="1" x14ac:dyDescent="0.25">
      <c r="A126" s="630">
        <v>13</v>
      </c>
      <c r="B126" s="86">
        <v>99</v>
      </c>
      <c r="C126" s="86">
        <v>99</v>
      </c>
      <c r="D126" s="856">
        <v>0.08</v>
      </c>
      <c r="E126" s="857">
        <v>999</v>
      </c>
      <c r="G126" s="630">
        <v>13</v>
      </c>
      <c r="H126" s="86">
        <v>99</v>
      </c>
      <c r="I126" s="86">
        <v>99</v>
      </c>
      <c r="J126" s="856">
        <v>0.08</v>
      </c>
      <c r="K126" s="857">
        <v>999</v>
      </c>
      <c r="M126" s="865">
        <v>128</v>
      </c>
      <c r="N126" s="467">
        <v>-7</v>
      </c>
      <c r="O126" s="464">
        <f t="shared" si="15"/>
        <v>3.4</v>
      </c>
    </row>
    <row r="127" spans="1:15" ht="12.75" customHeight="1" x14ac:dyDescent="0.25">
      <c r="A127" s="630">
        <v>14</v>
      </c>
      <c r="B127" s="86">
        <v>99</v>
      </c>
      <c r="C127" s="86">
        <v>99</v>
      </c>
      <c r="D127" s="856">
        <v>0.08</v>
      </c>
      <c r="E127" s="857">
        <v>999</v>
      </c>
      <c r="G127" s="630">
        <v>14</v>
      </c>
      <c r="H127" s="86">
        <v>99</v>
      </c>
      <c r="I127" s="86">
        <v>99</v>
      </c>
      <c r="J127" s="856">
        <v>0.08</v>
      </c>
      <c r="K127" s="857">
        <v>999</v>
      </c>
      <c r="M127" s="865">
        <v>129</v>
      </c>
      <c r="N127" s="467">
        <v>-7</v>
      </c>
      <c r="O127" s="464">
        <f t="shared" si="15"/>
        <v>3.45</v>
      </c>
    </row>
    <row r="128" spans="1:15" ht="12.75" customHeight="1" x14ac:dyDescent="0.25">
      <c r="A128" s="630">
        <v>15</v>
      </c>
      <c r="B128" s="86">
        <v>99</v>
      </c>
      <c r="C128" s="86">
        <v>99</v>
      </c>
      <c r="D128" s="856">
        <v>0.08</v>
      </c>
      <c r="E128" s="857">
        <v>999</v>
      </c>
      <c r="G128" s="630">
        <v>15</v>
      </c>
      <c r="H128" s="86">
        <v>99</v>
      </c>
      <c r="I128" s="86">
        <v>99</v>
      </c>
      <c r="J128" s="856">
        <v>0.08</v>
      </c>
      <c r="K128" s="857">
        <v>999</v>
      </c>
      <c r="M128" s="865">
        <v>130</v>
      </c>
      <c r="N128" s="467">
        <v>-7</v>
      </c>
      <c r="O128" s="464">
        <f t="shared" si="15"/>
        <v>3.5</v>
      </c>
    </row>
    <row r="129" spans="1:15" ht="12.75" customHeight="1" x14ac:dyDescent="0.25">
      <c r="A129" s="630">
        <v>16</v>
      </c>
      <c r="B129" s="86">
        <v>99</v>
      </c>
      <c r="C129" s="86">
        <v>99</v>
      </c>
      <c r="D129" s="856">
        <v>0.08</v>
      </c>
      <c r="E129" s="857">
        <v>999</v>
      </c>
      <c r="G129" s="630">
        <v>16</v>
      </c>
      <c r="H129" s="86">
        <v>99</v>
      </c>
      <c r="I129" s="86">
        <v>99</v>
      </c>
      <c r="J129" s="856">
        <v>0.08</v>
      </c>
      <c r="K129" s="857">
        <v>999</v>
      </c>
      <c r="M129" s="865">
        <v>131</v>
      </c>
      <c r="N129" s="467">
        <v>-7</v>
      </c>
      <c r="O129" s="464">
        <f t="shared" si="15"/>
        <v>3.55</v>
      </c>
    </row>
    <row r="130" spans="1:15" ht="12.75" customHeight="1" x14ac:dyDescent="0.25">
      <c r="A130" s="630">
        <v>17</v>
      </c>
      <c r="B130" s="86">
        <v>99</v>
      </c>
      <c r="C130" s="86">
        <v>99</v>
      </c>
      <c r="D130" s="856">
        <v>0.08</v>
      </c>
      <c r="E130" s="857">
        <v>999</v>
      </c>
      <c r="G130" s="630">
        <v>17</v>
      </c>
      <c r="H130" s="86">
        <v>99</v>
      </c>
      <c r="I130" s="86">
        <v>99</v>
      </c>
      <c r="J130" s="856">
        <v>0.08</v>
      </c>
      <c r="K130" s="857">
        <v>999</v>
      </c>
      <c r="M130" s="865">
        <v>132</v>
      </c>
      <c r="N130" s="467">
        <v>-7</v>
      </c>
      <c r="O130" s="464">
        <f t="shared" si="15"/>
        <v>3.6</v>
      </c>
    </row>
    <row r="131" spans="1:15" ht="12.75" customHeight="1" x14ac:dyDescent="0.25">
      <c r="A131" s="630">
        <v>18</v>
      </c>
      <c r="B131" s="86">
        <v>99</v>
      </c>
      <c r="C131" s="86">
        <v>99</v>
      </c>
      <c r="D131" s="856">
        <v>0.08</v>
      </c>
      <c r="E131" s="857">
        <v>999</v>
      </c>
      <c r="G131" s="630">
        <v>18</v>
      </c>
      <c r="H131" s="86">
        <v>19</v>
      </c>
      <c r="I131" s="86">
        <v>20</v>
      </c>
      <c r="J131" s="856">
        <v>0.08</v>
      </c>
      <c r="K131" s="857">
        <v>522.5</v>
      </c>
      <c r="M131" s="865">
        <v>133</v>
      </c>
      <c r="N131" s="467">
        <v>-7</v>
      </c>
      <c r="O131" s="464">
        <f t="shared" si="15"/>
        <v>3.65</v>
      </c>
    </row>
    <row r="132" spans="1:15" ht="12.75" customHeight="1" x14ac:dyDescent="0.25">
      <c r="A132" s="630">
        <v>19</v>
      </c>
      <c r="B132" s="86">
        <v>99</v>
      </c>
      <c r="C132" s="86">
        <v>99</v>
      </c>
      <c r="D132" s="856">
        <v>0.08</v>
      </c>
      <c r="E132" s="857">
        <v>999</v>
      </c>
      <c r="G132" s="630">
        <v>19</v>
      </c>
      <c r="H132" s="86">
        <v>99</v>
      </c>
      <c r="I132" s="86">
        <v>99</v>
      </c>
      <c r="J132" s="856">
        <v>0.08</v>
      </c>
      <c r="K132" s="857">
        <v>999</v>
      </c>
      <c r="M132" s="865">
        <v>134</v>
      </c>
      <c r="N132" s="467">
        <v>-7</v>
      </c>
      <c r="O132" s="464">
        <f t="shared" si="15"/>
        <v>3.7</v>
      </c>
    </row>
    <row r="133" spans="1:15" ht="12.75" customHeight="1" thickBot="1" x14ac:dyDescent="0.3">
      <c r="A133" s="858">
        <v>20</v>
      </c>
      <c r="B133" s="859">
        <v>99</v>
      </c>
      <c r="C133" s="859">
        <v>99</v>
      </c>
      <c r="D133" s="860">
        <v>0.08</v>
      </c>
      <c r="E133" s="861">
        <v>999</v>
      </c>
      <c r="G133" s="858">
        <v>20</v>
      </c>
      <c r="H133" s="859">
        <v>99</v>
      </c>
      <c r="I133" s="859">
        <v>99</v>
      </c>
      <c r="J133" s="860">
        <v>0.08</v>
      </c>
      <c r="K133" s="861">
        <v>999</v>
      </c>
      <c r="M133" s="865">
        <v>135</v>
      </c>
      <c r="N133" s="467">
        <v>-7</v>
      </c>
      <c r="O133" s="464">
        <f t="shared" si="15"/>
        <v>3.75</v>
      </c>
    </row>
    <row r="134" spans="1:15" ht="12.75" customHeight="1" x14ac:dyDescent="0.25">
      <c r="A134" s="852">
        <v>1</v>
      </c>
      <c r="B134" s="853">
        <v>1</v>
      </c>
      <c r="C134" s="853">
        <v>11</v>
      </c>
      <c r="D134" s="854">
        <v>0.09</v>
      </c>
      <c r="E134" s="855">
        <v>18.5</v>
      </c>
      <c r="G134" s="852">
        <v>1</v>
      </c>
      <c r="H134" s="853">
        <v>1</v>
      </c>
      <c r="I134" s="853">
        <v>8</v>
      </c>
      <c r="J134" s="854">
        <v>0.09</v>
      </c>
      <c r="K134" s="855">
        <v>15.5</v>
      </c>
      <c r="M134" s="865">
        <v>136</v>
      </c>
      <c r="N134" s="467">
        <v>-7</v>
      </c>
      <c r="O134" s="464">
        <f t="shared" si="15"/>
        <v>3.8</v>
      </c>
    </row>
    <row r="135" spans="1:15" ht="12.75" customHeight="1" x14ac:dyDescent="0.25">
      <c r="A135" s="630">
        <v>2</v>
      </c>
      <c r="B135" s="86">
        <v>2</v>
      </c>
      <c r="C135" s="86">
        <v>10</v>
      </c>
      <c r="D135" s="856">
        <v>0.09</v>
      </c>
      <c r="E135" s="857">
        <v>35</v>
      </c>
      <c r="G135" s="630">
        <v>2</v>
      </c>
      <c r="H135" s="86">
        <v>2</v>
      </c>
      <c r="I135" s="86">
        <v>7</v>
      </c>
      <c r="J135" s="856">
        <v>0.09</v>
      </c>
      <c r="K135" s="857">
        <v>29</v>
      </c>
      <c r="M135" s="865">
        <v>137</v>
      </c>
      <c r="N135" s="467">
        <v>-7</v>
      </c>
      <c r="O135" s="464">
        <f t="shared" si="15"/>
        <v>3.85</v>
      </c>
    </row>
    <row r="136" spans="1:15" ht="12.75" customHeight="1" x14ac:dyDescent="0.25">
      <c r="A136" s="630">
        <v>3</v>
      </c>
      <c r="B136" s="86">
        <v>3</v>
      </c>
      <c r="C136" s="86">
        <v>8</v>
      </c>
      <c r="D136" s="856">
        <v>0.09</v>
      </c>
      <c r="E136" s="857">
        <v>46.5</v>
      </c>
      <c r="G136" s="630">
        <v>3</v>
      </c>
      <c r="H136" s="86">
        <v>3</v>
      </c>
      <c r="I136" s="86">
        <v>7</v>
      </c>
      <c r="J136" s="856">
        <v>0.09</v>
      </c>
      <c r="K136" s="857">
        <v>43.5</v>
      </c>
      <c r="M136" s="865">
        <v>138</v>
      </c>
      <c r="N136" s="467">
        <v>-7</v>
      </c>
      <c r="O136" s="464">
        <f t="shared" si="15"/>
        <v>3.9</v>
      </c>
    </row>
    <row r="137" spans="1:15" ht="12.75" customHeight="1" x14ac:dyDescent="0.25">
      <c r="A137" s="630">
        <v>4</v>
      </c>
      <c r="B137" s="86">
        <v>4</v>
      </c>
      <c r="C137" s="86">
        <v>10</v>
      </c>
      <c r="D137" s="856">
        <v>0.09</v>
      </c>
      <c r="E137" s="857">
        <v>70</v>
      </c>
      <c r="G137" s="630">
        <v>4</v>
      </c>
      <c r="H137" s="86">
        <v>4</v>
      </c>
      <c r="I137" s="86">
        <v>9</v>
      </c>
      <c r="J137" s="856">
        <v>0.09</v>
      </c>
      <c r="K137" s="857">
        <v>66</v>
      </c>
      <c r="M137" s="865">
        <v>139</v>
      </c>
      <c r="N137" s="467">
        <v>-7</v>
      </c>
      <c r="O137" s="464">
        <f t="shared" si="15"/>
        <v>3.95</v>
      </c>
    </row>
    <row r="138" spans="1:15" ht="12.75" customHeight="1" thickBot="1" x14ac:dyDescent="0.3">
      <c r="A138" s="630">
        <v>5</v>
      </c>
      <c r="B138" s="86">
        <v>6</v>
      </c>
      <c r="C138" s="86">
        <v>7</v>
      </c>
      <c r="D138" s="856">
        <v>0.09</v>
      </c>
      <c r="E138" s="857">
        <v>87</v>
      </c>
      <c r="G138" s="630">
        <v>5</v>
      </c>
      <c r="H138" s="86">
        <v>6</v>
      </c>
      <c r="I138" s="86">
        <v>6</v>
      </c>
      <c r="J138" s="856">
        <v>0.09</v>
      </c>
      <c r="K138" s="857">
        <v>81</v>
      </c>
      <c r="M138" s="12">
        <v>140</v>
      </c>
      <c r="N138" s="466">
        <v>-7</v>
      </c>
      <c r="O138" s="465">
        <f t="shared" si="15"/>
        <v>4</v>
      </c>
    </row>
    <row r="139" spans="1:15" ht="12.75" customHeight="1" x14ac:dyDescent="0.25">
      <c r="A139" s="630">
        <v>6</v>
      </c>
      <c r="B139" s="86">
        <v>8</v>
      </c>
      <c r="C139" s="86">
        <v>6</v>
      </c>
      <c r="D139" s="856">
        <v>0.09</v>
      </c>
      <c r="E139" s="857">
        <v>108</v>
      </c>
      <c r="G139" s="630">
        <v>6</v>
      </c>
      <c r="H139" s="86">
        <v>6</v>
      </c>
      <c r="I139" s="86">
        <v>10</v>
      </c>
      <c r="J139" s="856">
        <v>0.09</v>
      </c>
      <c r="K139" s="857">
        <v>105</v>
      </c>
      <c r="M139" s="534">
        <v>141</v>
      </c>
      <c r="N139" s="535">
        <v>-8</v>
      </c>
      <c r="O139" s="470">
        <f t="shared" si="15"/>
        <v>4.05</v>
      </c>
    </row>
    <row r="140" spans="1:15" ht="12.75" customHeight="1" x14ac:dyDescent="0.25">
      <c r="A140" s="630">
        <v>7</v>
      </c>
      <c r="B140" s="86">
        <v>8</v>
      </c>
      <c r="C140" s="86">
        <v>9</v>
      </c>
      <c r="D140" s="856">
        <v>0.09</v>
      </c>
      <c r="E140" s="857">
        <v>132</v>
      </c>
      <c r="G140" s="630">
        <v>7</v>
      </c>
      <c r="H140" s="86">
        <v>9</v>
      </c>
      <c r="I140" s="86">
        <v>6</v>
      </c>
      <c r="J140" s="856">
        <v>0.09</v>
      </c>
      <c r="K140" s="857">
        <v>121.5</v>
      </c>
      <c r="M140" s="865">
        <v>142</v>
      </c>
      <c r="N140" s="467">
        <v>-8</v>
      </c>
      <c r="O140" s="464">
        <f t="shared" si="15"/>
        <v>4.0999999999999996</v>
      </c>
    </row>
    <row r="141" spans="1:15" ht="12.75" customHeight="1" x14ac:dyDescent="0.25">
      <c r="A141" s="630">
        <v>8</v>
      </c>
      <c r="B141" s="86">
        <v>9</v>
      </c>
      <c r="C141" s="86">
        <v>9</v>
      </c>
      <c r="D141" s="856">
        <v>0.09</v>
      </c>
      <c r="E141" s="857">
        <v>148.5</v>
      </c>
      <c r="G141" s="630">
        <v>8</v>
      </c>
      <c r="H141" s="86">
        <v>11</v>
      </c>
      <c r="I141" s="86">
        <v>6</v>
      </c>
      <c r="J141" s="856">
        <v>0.09</v>
      </c>
      <c r="K141" s="857">
        <v>148.5</v>
      </c>
      <c r="M141" s="865">
        <v>143</v>
      </c>
      <c r="N141" s="467">
        <v>-8</v>
      </c>
      <c r="O141" s="464">
        <f t="shared" si="15"/>
        <v>4.1500000000000004</v>
      </c>
    </row>
    <row r="142" spans="1:15" ht="12.75" customHeight="1" x14ac:dyDescent="0.25">
      <c r="A142" s="630">
        <v>9</v>
      </c>
      <c r="B142" s="86">
        <v>11</v>
      </c>
      <c r="C142" s="86">
        <v>8</v>
      </c>
      <c r="D142" s="856">
        <v>0.09</v>
      </c>
      <c r="E142" s="857">
        <v>170.5</v>
      </c>
      <c r="G142" s="630">
        <v>9</v>
      </c>
      <c r="H142" s="86">
        <v>10</v>
      </c>
      <c r="I142" s="86">
        <v>10</v>
      </c>
      <c r="J142" s="856">
        <v>0.09</v>
      </c>
      <c r="K142" s="857">
        <v>175</v>
      </c>
      <c r="M142" s="865">
        <v>144</v>
      </c>
      <c r="N142" s="467">
        <v>-8</v>
      </c>
      <c r="O142" s="464">
        <f t="shared" si="15"/>
        <v>4.2</v>
      </c>
    </row>
    <row r="143" spans="1:15" ht="12.75" customHeight="1" x14ac:dyDescent="0.25">
      <c r="A143" s="630">
        <v>10</v>
      </c>
      <c r="B143" s="86">
        <v>12</v>
      </c>
      <c r="C143" s="86">
        <v>8</v>
      </c>
      <c r="D143" s="856">
        <v>0.09</v>
      </c>
      <c r="E143" s="857">
        <v>186</v>
      </c>
      <c r="G143" s="630">
        <v>10</v>
      </c>
      <c r="H143" s="86">
        <v>11</v>
      </c>
      <c r="I143" s="86">
        <v>10</v>
      </c>
      <c r="J143" s="856">
        <v>0.09</v>
      </c>
      <c r="K143" s="857">
        <v>192.5</v>
      </c>
      <c r="M143" s="865">
        <v>145</v>
      </c>
      <c r="N143" s="467">
        <v>-8</v>
      </c>
      <c r="O143" s="464">
        <f t="shared" si="15"/>
        <v>4.25</v>
      </c>
    </row>
    <row r="144" spans="1:15" ht="12.75" customHeight="1" x14ac:dyDescent="0.25">
      <c r="A144" s="630">
        <v>11</v>
      </c>
      <c r="B144" s="86">
        <v>13</v>
      </c>
      <c r="C144" s="86">
        <v>8</v>
      </c>
      <c r="D144" s="856">
        <v>0.09</v>
      </c>
      <c r="E144" s="857">
        <v>201.5</v>
      </c>
      <c r="G144" s="630">
        <v>11</v>
      </c>
      <c r="H144" s="86">
        <v>12</v>
      </c>
      <c r="I144" s="86">
        <v>10</v>
      </c>
      <c r="J144" s="856">
        <v>0.09</v>
      </c>
      <c r="K144" s="857">
        <v>210</v>
      </c>
      <c r="M144" s="865">
        <v>146</v>
      </c>
      <c r="N144" s="467">
        <v>-8</v>
      </c>
      <c r="O144" s="464">
        <f t="shared" si="15"/>
        <v>4.3</v>
      </c>
    </row>
    <row r="145" spans="1:15" ht="12.75" customHeight="1" x14ac:dyDescent="0.25">
      <c r="A145" s="630">
        <v>12</v>
      </c>
      <c r="B145" s="86">
        <v>99</v>
      </c>
      <c r="C145" s="86">
        <v>99</v>
      </c>
      <c r="D145" s="856">
        <v>0.09</v>
      </c>
      <c r="E145" s="857">
        <v>999</v>
      </c>
      <c r="G145" s="630">
        <v>12</v>
      </c>
      <c r="H145" s="86">
        <v>99</v>
      </c>
      <c r="I145" s="86">
        <v>99</v>
      </c>
      <c r="J145" s="856">
        <v>0.09</v>
      </c>
      <c r="K145" s="857">
        <v>999</v>
      </c>
      <c r="M145" s="865">
        <v>147</v>
      </c>
      <c r="N145" s="467">
        <v>-8</v>
      </c>
      <c r="O145" s="464">
        <f t="shared" si="15"/>
        <v>4.3499999999999996</v>
      </c>
    </row>
    <row r="146" spans="1:15" ht="12.75" customHeight="1" x14ac:dyDescent="0.25">
      <c r="A146" s="630">
        <v>13</v>
      </c>
      <c r="B146" s="86">
        <v>99</v>
      </c>
      <c r="C146" s="86">
        <v>99</v>
      </c>
      <c r="D146" s="856">
        <v>0.09</v>
      </c>
      <c r="E146" s="857">
        <v>999</v>
      </c>
      <c r="G146" s="630">
        <v>13</v>
      </c>
      <c r="H146" s="86">
        <v>99</v>
      </c>
      <c r="I146" s="86">
        <v>99</v>
      </c>
      <c r="J146" s="856">
        <v>0.09</v>
      </c>
      <c r="K146" s="857">
        <v>999</v>
      </c>
      <c r="M146" s="865">
        <v>148</v>
      </c>
      <c r="N146" s="467">
        <v>-8</v>
      </c>
      <c r="O146" s="464">
        <f t="shared" si="15"/>
        <v>4.4000000000000004</v>
      </c>
    </row>
    <row r="147" spans="1:15" ht="12.75" customHeight="1" x14ac:dyDescent="0.25">
      <c r="A147" s="630">
        <v>14</v>
      </c>
      <c r="B147" s="86">
        <v>99</v>
      </c>
      <c r="C147" s="86">
        <v>99</v>
      </c>
      <c r="D147" s="856">
        <v>0.09</v>
      </c>
      <c r="E147" s="857">
        <v>999</v>
      </c>
      <c r="G147" s="630">
        <v>14</v>
      </c>
      <c r="H147" s="86">
        <v>99</v>
      </c>
      <c r="I147" s="86">
        <v>99</v>
      </c>
      <c r="J147" s="856">
        <v>0.09</v>
      </c>
      <c r="K147" s="857">
        <v>999</v>
      </c>
      <c r="M147" s="865">
        <v>149</v>
      </c>
      <c r="N147" s="467">
        <v>-8</v>
      </c>
      <c r="O147" s="464">
        <f t="shared" si="15"/>
        <v>4.45</v>
      </c>
    </row>
    <row r="148" spans="1:15" ht="12.75" customHeight="1" x14ac:dyDescent="0.25">
      <c r="A148" s="630">
        <v>15</v>
      </c>
      <c r="B148" s="86">
        <v>99</v>
      </c>
      <c r="C148" s="86">
        <v>99</v>
      </c>
      <c r="D148" s="856">
        <v>0.09</v>
      </c>
      <c r="E148" s="857">
        <v>999</v>
      </c>
      <c r="G148" s="630">
        <v>15</v>
      </c>
      <c r="H148" s="86">
        <v>99</v>
      </c>
      <c r="I148" s="86">
        <v>99</v>
      </c>
      <c r="J148" s="856">
        <v>0.09</v>
      </c>
      <c r="K148" s="857">
        <v>999</v>
      </c>
      <c r="M148" s="865">
        <v>150</v>
      </c>
      <c r="N148" s="467">
        <v>-8</v>
      </c>
      <c r="O148" s="464">
        <f t="shared" si="15"/>
        <v>4.5</v>
      </c>
    </row>
    <row r="149" spans="1:15" ht="12.75" customHeight="1" x14ac:dyDescent="0.25">
      <c r="A149" s="630">
        <v>16</v>
      </c>
      <c r="B149" s="86">
        <v>99</v>
      </c>
      <c r="C149" s="86">
        <v>99</v>
      </c>
      <c r="D149" s="856">
        <v>0.09</v>
      </c>
      <c r="E149" s="857">
        <v>999</v>
      </c>
      <c r="G149" s="630">
        <v>16</v>
      </c>
      <c r="H149" s="86">
        <v>99</v>
      </c>
      <c r="I149" s="86">
        <v>99</v>
      </c>
      <c r="J149" s="856">
        <v>0.09</v>
      </c>
      <c r="K149" s="857">
        <v>999</v>
      </c>
      <c r="M149" s="865">
        <v>151</v>
      </c>
      <c r="N149" s="467">
        <v>-8</v>
      </c>
      <c r="O149" s="464">
        <f t="shared" si="15"/>
        <v>4.55</v>
      </c>
    </row>
    <row r="150" spans="1:15" ht="12.75" customHeight="1" x14ac:dyDescent="0.25">
      <c r="A150" s="630">
        <v>17</v>
      </c>
      <c r="B150" s="86">
        <v>99</v>
      </c>
      <c r="C150" s="86">
        <v>99</v>
      </c>
      <c r="D150" s="856">
        <v>0.09</v>
      </c>
      <c r="E150" s="857">
        <v>999</v>
      </c>
      <c r="G150" s="630">
        <v>17</v>
      </c>
      <c r="H150" s="86">
        <v>99</v>
      </c>
      <c r="I150" s="86">
        <v>99</v>
      </c>
      <c r="J150" s="856">
        <v>0.09</v>
      </c>
      <c r="K150" s="857">
        <v>999</v>
      </c>
      <c r="M150" s="865">
        <v>152</v>
      </c>
      <c r="N150" s="467">
        <v>-8</v>
      </c>
      <c r="O150" s="464">
        <f t="shared" si="15"/>
        <v>4.5999999999999996</v>
      </c>
    </row>
    <row r="151" spans="1:15" ht="12.75" customHeight="1" x14ac:dyDescent="0.25">
      <c r="A151" s="630">
        <v>18</v>
      </c>
      <c r="B151" s="86">
        <v>99</v>
      </c>
      <c r="C151" s="86">
        <v>99</v>
      </c>
      <c r="D151" s="856">
        <v>0.09</v>
      </c>
      <c r="E151" s="857">
        <v>999</v>
      </c>
      <c r="G151" s="630">
        <v>18</v>
      </c>
      <c r="H151" s="86">
        <v>99</v>
      </c>
      <c r="I151" s="86">
        <v>99</v>
      </c>
      <c r="J151" s="856">
        <v>0.09</v>
      </c>
      <c r="K151" s="857">
        <v>999</v>
      </c>
      <c r="M151" s="865">
        <v>153</v>
      </c>
      <c r="N151" s="467">
        <v>-8</v>
      </c>
      <c r="O151" s="464">
        <f t="shared" si="15"/>
        <v>4.6500000000000004</v>
      </c>
    </row>
    <row r="152" spans="1:15" ht="12.75" customHeight="1" x14ac:dyDescent="0.25">
      <c r="A152" s="630">
        <v>19</v>
      </c>
      <c r="B152" s="86">
        <v>99</v>
      </c>
      <c r="C152" s="86">
        <v>99</v>
      </c>
      <c r="D152" s="856">
        <v>0.09</v>
      </c>
      <c r="E152" s="857">
        <v>999</v>
      </c>
      <c r="G152" s="630">
        <v>19</v>
      </c>
      <c r="H152" s="86">
        <v>99</v>
      </c>
      <c r="I152" s="86">
        <v>99</v>
      </c>
      <c r="J152" s="856">
        <v>0.09</v>
      </c>
      <c r="K152" s="857">
        <v>999</v>
      </c>
      <c r="M152" s="865">
        <v>154</v>
      </c>
      <c r="N152" s="467">
        <v>-8</v>
      </c>
      <c r="O152" s="464">
        <f t="shared" si="15"/>
        <v>4.7</v>
      </c>
    </row>
    <row r="153" spans="1:15" ht="12.75" customHeight="1" thickBot="1" x14ac:dyDescent="0.3">
      <c r="A153" s="858">
        <v>20</v>
      </c>
      <c r="B153" s="859">
        <v>99</v>
      </c>
      <c r="C153" s="859">
        <v>99</v>
      </c>
      <c r="D153" s="860">
        <v>0.09</v>
      </c>
      <c r="E153" s="861">
        <v>999</v>
      </c>
      <c r="G153" s="858">
        <v>20</v>
      </c>
      <c r="H153" s="859">
        <v>99</v>
      </c>
      <c r="I153" s="859">
        <v>99</v>
      </c>
      <c r="J153" s="860">
        <v>0.09</v>
      </c>
      <c r="K153" s="861">
        <v>999</v>
      </c>
      <c r="M153" s="865">
        <v>155</v>
      </c>
      <c r="N153" s="467">
        <v>-8</v>
      </c>
      <c r="O153" s="464">
        <f t="shared" si="15"/>
        <v>4.75</v>
      </c>
    </row>
    <row r="154" spans="1:15" ht="12.75" customHeight="1" x14ac:dyDescent="0.25">
      <c r="A154" s="852">
        <v>1</v>
      </c>
      <c r="B154" s="853">
        <v>99</v>
      </c>
      <c r="C154" s="853">
        <v>99</v>
      </c>
      <c r="D154" s="854">
        <v>0.1</v>
      </c>
      <c r="E154" s="855">
        <v>999</v>
      </c>
      <c r="G154" s="852">
        <v>1</v>
      </c>
      <c r="H154" s="853">
        <v>1</v>
      </c>
      <c r="I154" s="853">
        <v>5</v>
      </c>
      <c r="J154" s="854">
        <v>0.1</v>
      </c>
      <c r="K154" s="855">
        <v>12.5</v>
      </c>
      <c r="M154" s="865">
        <v>156</v>
      </c>
      <c r="N154" s="467">
        <v>-8</v>
      </c>
      <c r="O154" s="464">
        <f t="shared" si="15"/>
        <v>4.8</v>
      </c>
    </row>
    <row r="155" spans="1:15" ht="12.75" customHeight="1" x14ac:dyDescent="0.25">
      <c r="A155" s="630">
        <v>2</v>
      </c>
      <c r="B155" s="86">
        <v>99</v>
      </c>
      <c r="C155" s="86">
        <v>99</v>
      </c>
      <c r="D155" s="856">
        <v>0.1</v>
      </c>
      <c r="E155" s="857">
        <v>999</v>
      </c>
      <c r="G155" s="630">
        <v>2</v>
      </c>
      <c r="H155" s="86">
        <v>2</v>
      </c>
      <c r="I155" s="86">
        <v>7</v>
      </c>
      <c r="J155" s="856">
        <v>0.1</v>
      </c>
      <c r="K155" s="857">
        <v>29</v>
      </c>
      <c r="M155" s="865">
        <v>157</v>
      </c>
      <c r="N155" s="467">
        <v>-8</v>
      </c>
      <c r="O155" s="464">
        <f t="shared" si="15"/>
        <v>4.8499999999999996</v>
      </c>
    </row>
    <row r="156" spans="1:15" ht="12.75" customHeight="1" x14ac:dyDescent="0.25">
      <c r="A156" s="630">
        <v>3</v>
      </c>
      <c r="B156" s="86">
        <v>3</v>
      </c>
      <c r="C156" s="86">
        <v>9</v>
      </c>
      <c r="D156" s="856">
        <v>0.1</v>
      </c>
      <c r="E156" s="857">
        <v>49.5</v>
      </c>
      <c r="G156" s="630">
        <v>3</v>
      </c>
      <c r="H156" s="86">
        <v>3</v>
      </c>
      <c r="I156" s="86">
        <v>7</v>
      </c>
      <c r="J156" s="856">
        <v>0.1</v>
      </c>
      <c r="K156" s="857">
        <v>43.5</v>
      </c>
      <c r="M156" s="865">
        <v>158</v>
      </c>
      <c r="N156" s="467">
        <v>-8</v>
      </c>
      <c r="O156" s="464">
        <f t="shared" ref="O156:O187" si="16">(M156-60)/20</f>
        <v>4.9000000000000004</v>
      </c>
    </row>
    <row r="157" spans="1:15" ht="12.75" customHeight="1" x14ac:dyDescent="0.25">
      <c r="A157" s="630">
        <v>4</v>
      </c>
      <c r="B157" s="86">
        <v>4</v>
      </c>
      <c r="C157" s="86">
        <v>9</v>
      </c>
      <c r="D157" s="856">
        <v>0.1</v>
      </c>
      <c r="E157" s="857">
        <v>66</v>
      </c>
      <c r="G157" s="630">
        <v>4</v>
      </c>
      <c r="H157" s="86">
        <v>4</v>
      </c>
      <c r="I157" s="86">
        <v>8</v>
      </c>
      <c r="J157" s="856">
        <v>0.1</v>
      </c>
      <c r="K157" s="857">
        <v>62</v>
      </c>
      <c r="M157" s="865">
        <v>159</v>
      </c>
      <c r="N157" s="467">
        <v>-8</v>
      </c>
      <c r="O157" s="464">
        <f t="shared" si="16"/>
        <v>4.95</v>
      </c>
    </row>
    <row r="158" spans="1:15" ht="12.75" customHeight="1" thickBot="1" x14ac:dyDescent="0.3">
      <c r="A158" s="630">
        <v>5</v>
      </c>
      <c r="B158" s="86">
        <v>5</v>
      </c>
      <c r="C158" s="86">
        <v>10</v>
      </c>
      <c r="D158" s="856">
        <v>0.1</v>
      </c>
      <c r="E158" s="857">
        <v>87.5</v>
      </c>
      <c r="G158" s="630">
        <v>5</v>
      </c>
      <c r="H158" s="86">
        <v>6</v>
      </c>
      <c r="I158" s="86">
        <v>6</v>
      </c>
      <c r="J158" s="856">
        <v>0.1</v>
      </c>
      <c r="K158" s="857">
        <v>81</v>
      </c>
      <c r="M158" s="531">
        <v>160</v>
      </c>
      <c r="N158" s="532">
        <v>-8</v>
      </c>
      <c r="O158" s="533">
        <f t="shared" si="16"/>
        <v>5</v>
      </c>
    </row>
    <row r="159" spans="1:15" ht="12.75" customHeight="1" x14ac:dyDescent="0.25">
      <c r="A159" s="630">
        <v>6</v>
      </c>
      <c r="B159" s="86">
        <v>7</v>
      </c>
      <c r="C159" s="86">
        <v>8</v>
      </c>
      <c r="D159" s="856">
        <v>0.1</v>
      </c>
      <c r="E159" s="857">
        <v>108.5</v>
      </c>
      <c r="G159" s="630">
        <v>6</v>
      </c>
      <c r="H159" s="86">
        <v>7</v>
      </c>
      <c r="I159" s="86">
        <v>7</v>
      </c>
      <c r="J159" s="856">
        <v>0.1</v>
      </c>
      <c r="K159" s="857">
        <v>101.5</v>
      </c>
      <c r="M159" s="536">
        <v>161</v>
      </c>
      <c r="N159" s="537">
        <v>-9</v>
      </c>
      <c r="O159" s="538">
        <f t="shared" si="16"/>
        <v>5.05</v>
      </c>
    </row>
    <row r="160" spans="1:15" ht="12.75" customHeight="1" x14ac:dyDescent="0.25">
      <c r="A160" s="630">
        <v>7</v>
      </c>
      <c r="B160" s="86">
        <v>8</v>
      </c>
      <c r="C160" s="86">
        <v>9</v>
      </c>
      <c r="D160" s="856">
        <v>0.1</v>
      </c>
      <c r="E160" s="857">
        <v>132</v>
      </c>
      <c r="G160" s="630">
        <v>7</v>
      </c>
      <c r="H160" s="86">
        <v>8</v>
      </c>
      <c r="I160" s="86">
        <v>7</v>
      </c>
      <c r="J160" s="856">
        <v>0.1</v>
      </c>
      <c r="K160" s="857">
        <v>116</v>
      </c>
      <c r="M160" s="865">
        <v>162</v>
      </c>
      <c r="N160" s="467">
        <v>-9</v>
      </c>
      <c r="O160" s="464">
        <f t="shared" si="16"/>
        <v>5.0999999999999996</v>
      </c>
    </row>
    <row r="161" spans="1:15" ht="12.75" customHeight="1" x14ac:dyDescent="0.25">
      <c r="A161" s="630">
        <v>8</v>
      </c>
      <c r="B161" s="86">
        <v>9</v>
      </c>
      <c r="C161" s="86">
        <v>10</v>
      </c>
      <c r="D161" s="856">
        <v>0.1</v>
      </c>
      <c r="E161" s="857">
        <v>157.5</v>
      </c>
      <c r="G161" s="630">
        <v>8</v>
      </c>
      <c r="H161" s="86">
        <v>8</v>
      </c>
      <c r="I161" s="86">
        <v>12</v>
      </c>
      <c r="J161" s="856">
        <v>0.1</v>
      </c>
      <c r="K161" s="857">
        <v>156</v>
      </c>
      <c r="M161" s="865">
        <v>163</v>
      </c>
      <c r="N161" s="467">
        <v>-9</v>
      </c>
      <c r="O161" s="464">
        <f t="shared" si="16"/>
        <v>5.15</v>
      </c>
    </row>
    <row r="162" spans="1:15" ht="12.75" customHeight="1" x14ac:dyDescent="0.25">
      <c r="A162" s="630">
        <v>9</v>
      </c>
      <c r="B162" s="86">
        <v>12</v>
      </c>
      <c r="C162" s="86">
        <v>7</v>
      </c>
      <c r="D162" s="856">
        <v>0.1</v>
      </c>
      <c r="E162" s="857">
        <v>174</v>
      </c>
      <c r="G162" s="630">
        <v>9</v>
      </c>
      <c r="H162" s="86">
        <v>9</v>
      </c>
      <c r="I162" s="86">
        <v>12</v>
      </c>
      <c r="J162" s="856">
        <v>0.1</v>
      </c>
      <c r="K162" s="857">
        <v>175.5</v>
      </c>
      <c r="M162" s="865">
        <v>164</v>
      </c>
      <c r="N162" s="467">
        <v>-9</v>
      </c>
      <c r="O162" s="464">
        <f t="shared" si="16"/>
        <v>5.2</v>
      </c>
    </row>
    <row r="163" spans="1:15" ht="12.75" customHeight="1" x14ac:dyDescent="0.25">
      <c r="A163" s="630">
        <v>10</v>
      </c>
      <c r="B163" s="86">
        <v>12</v>
      </c>
      <c r="C163" s="86">
        <v>9</v>
      </c>
      <c r="D163" s="856">
        <v>0.1</v>
      </c>
      <c r="E163" s="857">
        <v>198</v>
      </c>
      <c r="G163" s="630">
        <v>10</v>
      </c>
      <c r="H163" s="86">
        <v>99</v>
      </c>
      <c r="I163" s="86">
        <v>99</v>
      </c>
      <c r="J163" s="856">
        <v>0.1</v>
      </c>
      <c r="K163" s="857">
        <v>999</v>
      </c>
      <c r="M163" s="865">
        <v>165</v>
      </c>
      <c r="N163" s="467">
        <v>-9</v>
      </c>
      <c r="O163" s="464">
        <f t="shared" si="16"/>
        <v>5.25</v>
      </c>
    </row>
    <row r="164" spans="1:15" ht="12.75" customHeight="1" x14ac:dyDescent="0.25">
      <c r="A164" s="630">
        <v>11</v>
      </c>
      <c r="B164" s="86">
        <v>14</v>
      </c>
      <c r="C164" s="86">
        <v>8</v>
      </c>
      <c r="D164" s="856">
        <v>0.1</v>
      </c>
      <c r="E164" s="857">
        <v>217</v>
      </c>
      <c r="G164" s="630">
        <v>11</v>
      </c>
      <c r="H164" s="86">
        <v>99</v>
      </c>
      <c r="I164" s="86">
        <v>99</v>
      </c>
      <c r="J164" s="856">
        <v>0.1</v>
      </c>
      <c r="K164" s="857">
        <v>999</v>
      </c>
      <c r="M164" s="865">
        <v>166</v>
      </c>
      <c r="N164" s="467">
        <v>-9</v>
      </c>
      <c r="O164" s="464">
        <f t="shared" si="16"/>
        <v>5.3</v>
      </c>
    </row>
    <row r="165" spans="1:15" ht="12.75" customHeight="1" x14ac:dyDescent="0.25">
      <c r="A165" s="630">
        <v>12</v>
      </c>
      <c r="B165" s="86">
        <v>15</v>
      </c>
      <c r="C165" s="86">
        <v>8</v>
      </c>
      <c r="D165" s="856">
        <v>0.1</v>
      </c>
      <c r="E165" s="857">
        <v>232.5</v>
      </c>
      <c r="G165" s="630">
        <v>12</v>
      </c>
      <c r="H165" s="86">
        <v>99</v>
      </c>
      <c r="I165" s="86">
        <v>99</v>
      </c>
      <c r="J165" s="856">
        <v>0.1</v>
      </c>
      <c r="K165" s="857">
        <v>999</v>
      </c>
      <c r="M165" s="865">
        <v>167</v>
      </c>
      <c r="N165" s="467">
        <v>-9</v>
      </c>
      <c r="O165" s="464">
        <f t="shared" si="16"/>
        <v>5.35</v>
      </c>
    </row>
    <row r="166" spans="1:15" ht="12.75" customHeight="1" x14ac:dyDescent="0.25">
      <c r="A166" s="630">
        <v>13</v>
      </c>
      <c r="B166" s="86">
        <v>99</v>
      </c>
      <c r="C166" s="86">
        <v>99</v>
      </c>
      <c r="D166" s="856">
        <v>0.1</v>
      </c>
      <c r="E166" s="857">
        <v>999</v>
      </c>
      <c r="G166" s="630">
        <v>13</v>
      </c>
      <c r="H166" s="86">
        <v>99</v>
      </c>
      <c r="I166" s="86">
        <v>99</v>
      </c>
      <c r="J166" s="856">
        <v>0.1</v>
      </c>
      <c r="K166" s="857">
        <v>999</v>
      </c>
      <c r="M166" s="865">
        <v>168</v>
      </c>
      <c r="N166" s="467">
        <v>-9</v>
      </c>
      <c r="O166" s="464">
        <f t="shared" si="16"/>
        <v>5.4</v>
      </c>
    </row>
    <row r="167" spans="1:15" ht="12.75" customHeight="1" x14ac:dyDescent="0.25">
      <c r="A167" s="630">
        <v>14</v>
      </c>
      <c r="B167" s="86">
        <v>99</v>
      </c>
      <c r="C167" s="86">
        <v>99</v>
      </c>
      <c r="D167" s="856">
        <v>0.1</v>
      </c>
      <c r="E167" s="857">
        <v>999</v>
      </c>
      <c r="G167" s="630">
        <v>14</v>
      </c>
      <c r="H167" s="86">
        <v>99</v>
      </c>
      <c r="I167" s="86">
        <v>99</v>
      </c>
      <c r="J167" s="856">
        <v>0.1</v>
      </c>
      <c r="K167" s="857">
        <v>999</v>
      </c>
      <c r="M167" s="865">
        <v>169</v>
      </c>
      <c r="N167" s="467">
        <v>-9</v>
      </c>
      <c r="O167" s="464">
        <f t="shared" si="16"/>
        <v>5.45</v>
      </c>
    </row>
    <row r="168" spans="1:15" ht="12.75" customHeight="1" x14ac:dyDescent="0.25">
      <c r="A168" s="630">
        <v>15</v>
      </c>
      <c r="B168" s="86">
        <v>99</v>
      </c>
      <c r="C168" s="86">
        <v>99</v>
      </c>
      <c r="D168" s="856">
        <v>0.1</v>
      </c>
      <c r="E168" s="857">
        <v>999</v>
      </c>
      <c r="G168" s="630">
        <v>15</v>
      </c>
      <c r="H168" s="86">
        <v>99</v>
      </c>
      <c r="I168" s="86">
        <v>99</v>
      </c>
      <c r="J168" s="856">
        <v>0.1</v>
      </c>
      <c r="K168" s="857">
        <v>999</v>
      </c>
      <c r="M168" s="865">
        <v>170</v>
      </c>
      <c r="N168" s="467">
        <v>-9</v>
      </c>
      <c r="O168" s="464">
        <f t="shared" si="16"/>
        <v>5.5</v>
      </c>
    </row>
    <row r="169" spans="1:15" ht="12.75" customHeight="1" x14ac:dyDescent="0.25">
      <c r="A169" s="630">
        <v>16</v>
      </c>
      <c r="B169" s="86">
        <v>99</v>
      </c>
      <c r="C169" s="86">
        <v>99</v>
      </c>
      <c r="D169" s="856">
        <v>0.1</v>
      </c>
      <c r="E169" s="857">
        <v>999</v>
      </c>
      <c r="G169" s="630">
        <v>16</v>
      </c>
      <c r="H169" s="86">
        <v>99</v>
      </c>
      <c r="I169" s="86">
        <v>99</v>
      </c>
      <c r="J169" s="856">
        <v>0.1</v>
      </c>
      <c r="K169" s="857">
        <v>999</v>
      </c>
      <c r="M169" s="865">
        <v>171</v>
      </c>
      <c r="N169" s="467">
        <v>-9</v>
      </c>
      <c r="O169" s="464">
        <f t="shared" si="16"/>
        <v>5.55</v>
      </c>
    </row>
    <row r="170" spans="1:15" ht="12.75" customHeight="1" x14ac:dyDescent="0.25">
      <c r="A170" s="630">
        <v>17</v>
      </c>
      <c r="B170" s="86">
        <v>99</v>
      </c>
      <c r="C170" s="86">
        <v>99</v>
      </c>
      <c r="D170" s="856">
        <v>0.1</v>
      </c>
      <c r="E170" s="857">
        <v>999</v>
      </c>
      <c r="G170" s="630">
        <v>17</v>
      </c>
      <c r="H170" s="86">
        <v>99</v>
      </c>
      <c r="I170" s="86">
        <v>99</v>
      </c>
      <c r="J170" s="856">
        <v>0.1</v>
      </c>
      <c r="K170" s="857">
        <v>999</v>
      </c>
      <c r="M170" s="865">
        <v>172</v>
      </c>
      <c r="N170" s="467">
        <v>-9</v>
      </c>
      <c r="O170" s="464">
        <f t="shared" si="16"/>
        <v>5.6</v>
      </c>
    </row>
    <row r="171" spans="1:15" ht="12.75" customHeight="1" x14ac:dyDescent="0.25">
      <c r="A171" s="630">
        <v>18</v>
      </c>
      <c r="B171" s="86">
        <v>99</v>
      </c>
      <c r="C171" s="86">
        <v>99</v>
      </c>
      <c r="D171" s="856">
        <v>0.1</v>
      </c>
      <c r="E171" s="857">
        <v>999</v>
      </c>
      <c r="G171" s="630">
        <v>18</v>
      </c>
      <c r="H171" s="86">
        <v>99</v>
      </c>
      <c r="I171" s="86">
        <v>99</v>
      </c>
      <c r="J171" s="856">
        <v>0.1</v>
      </c>
      <c r="K171" s="857">
        <v>999</v>
      </c>
      <c r="M171" s="865">
        <v>173</v>
      </c>
      <c r="N171" s="467">
        <v>-9</v>
      </c>
      <c r="O171" s="464">
        <f t="shared" si="16"/>
        <v>5.65</v>
      </c>
    </row>
    <row r="172" spans="1:15" ht="12.75" customHeight="1" x14ac:dyDescent="0.25">
      <c r="A172" s="630">
        <v>19</v>
      </c>
      <c r="B172" s="86">
        <v>20</v>
      </c>
      <c r="C172" s="86">
        <v>16</v>
      </c>
      <c r="D172" s="856">
        <v>0.1</v>
      </c>
      <c r="E172" s="857">
        <v>470</v>
      </c>
      <c r="G172" s="630">
        <v>19</v>
      </c>
      <c r="H172" s="86">
        <v>20</v>
      </c>
      <c r="I172" s="86">
        <v>16</v>
      </c>
      <c r="J172" s="856">
        <v>0.1</v>
      </c>
      <c r="K172" s="857">
        <v>470</v>
      </c>
      <c r="M172" s="865">
        <v>174</v>
      </c>
      <c r="N172" s="467">
        <v>-9</v>
      </c>
      <c r="O172" s="464">
        <f t="shared" si="16"/>
        <v>5.7</v>
      </c>
    </row>
    <row r="173" spans="1:15" ht="12.75" customHeight="1" thickBot="1" x14ac:dyDescent="0.3">
      <c r="A173" s="858">
        <v>20</v>
      </c>
      <c r="B173" s="859">
        <v>99</v>
      </c>
      <c r="C173" s="859">
        <v>99</v>
      </c>
      <c r="D173" s="860">
        <v>0.1</v>
      </c>
      <c r="E173" s="861">
        <v>999</v>
      </c>
      <c r="G173" s="858">
        <v>20</v>
      </c>
      <c r="H173" s="859">
        <v>99</v>
      </c>
      <c r="I173" s="859">
        <v>99</v>
      </c>
      <c r="J173" s="860">
        <v>0.1</v>
      </c>
      <c r="K173" s="861">
        <v>999</v>
      </c>
      <c r="M173" s="865">
        <v>175</v>
      </c>
      <c r="N173" s="467">
        <v>-9</v>
      </c>
      <c r="O173" s="464">
        <f t="shared" si="16"/>
        <v>5.75</v>
      </c>
    </row>
    <row r="174" spans="1:15" ht="12.75" customHeight="1" x14ac:dyDescent="0.25">
      <c r="A174" s="852">
        <v>1</v>
      </c>
      <c r="B174" s="853">
        <v>1</v>
      </c>
      <c r="C174" s="853">
        <v>10</v>
      </c>
      <c r="D174" s="854">
        <v>0.11</v>
      </c>
      <c r="E174" s="855">
        <v>17.5</v>
      </c>
      <c r="G174" s="852">
        <v>1</v>
      </c>
      <c r="H174" s="853">
        <v>1</v>
      </c>
      <c r="I174" s="853">
        <v>8</v>
      </c>
      <c r="J174" s="854">
        <v>0.11</v>
      </c>
      <c r="K174" s="855">
        <v>15.5</v>
      </c>
      <c r="M174" s="865">
        <v>176</v>
      </c>
      <c r="N174" s="467">
        <v>-9</v>
      </c>
      <c r="O174" s="464">
        <f t="shared" si="16"/>
        <v>5.8</v>
      </c>
    </row>
    <row r="175" spans="1:15" ht="12.75" customHeight="1" x14ac:dyDescent="0.25">
      <c r="A175" s="630">
        <v>2</v>
      </c>
      <c r="B175" s="86">
        <v>2</v>
      </c>
      <c r="C175" s="86">
        <v>10</v>
      </c>
      <c r="D175" s="856">
        <v>0.11</v>
      </c>
      <c r="E175" s="857">
        <v>35</v>
      </c>
      <c r="G175" s="630">
        <v>2</v>
      </c>
      <c r="H175" s="86">
        <v>2</v>
      </c>
      <c r="I175" s="86">
        <v>11</v>
      </c>
      <c r="J175" s="856">
        <v>0.11</v>
      </c>
      <c r="K175" s="857">
        <v>37</v>
      </c>
      <c r="M175" s="865">
        <v>177</v>
      </c>
      <c r="N175" s="467">
        <v>-9</v>
      </c>
      <c r="O175" s="464">
        <f t="shared" si="16"/>
        <v>5.85</v>
      </c>
    </row>
    <row r="176" spans="1:15" ht="12.75" customHeight="1" x14ac:dyDescent="0.25">
      <c r="A176" s="630">
        <v>3</v>
      </c>
      <c r="B176" s="86">
        <v>3</v>
      </c>
      <c r="C176" s="86">
        <v>10</v>
      </c>
      <c r="D176" s="856">
        <v>0.11</v>
      </c>
      <c r="E176" s="857">
        <v>52.5</v>
      </c>
      <c r="G176" s="630">
        <v>3</v>
      </c>
      <c r="H176" s="86">
        <v>3</v>
      </c>
      <c r="I176" s="86">
        <v>9</v>
      </c>
      <c r="J176" s="856">
        <v>0.11</v>
      </c>
      <c r="K176" s="857">
        <v>49.5</v>
      </c>
      <c r="M176" s="865">
        <v>178</v>
      </c>
      <c r="N176" s="467">
        <v>-9</v>
      </c>
      <c r="O176" s="464">
        <f t="shared" si="16"/>
        <v>5.9</v>
      </c>
    </row>
    <row r="177" spans="1:15" ht="12.75" customHeight="1" x14ac:dyDescent="0.25">
      <c r="A177" s="630">
        <v>4</v>
      </c>
      <c r="B177" s="86">
        <v>4</v>
      </c>
      <c r="C177" s="86">
        <v>9</v>
      </c>
      <c r="D177" s="856">
        <v>0.11</v>
      </c>
      <c r="E177" s="857">
        <v>66</v>
      </c>
      <c r="G177" s="630">
        <v>4</v>
      </c>
      <c r="H177" s="86">
        <v>4</v>
      </c>
      <c r="I177" s="86">
        <v>9</v>
      </c>
      <c r="J177" s="856">
        <v>0.11</v>
      </c>
      <c r="K177" s="857">
        <v>66</v>
      </c>
      <c r="M177" s="865">
        <v>179</v>
      </c>
      <c r="N177" s="467">
        <v>-9</v>
      </c>
      <c r="O177" s="464">
        <f t="shared" si="16"/>
        <v>5.95</v>
      </c>
    </row>
    <row r="178" spans="1:15" ht="12.75" customHeight="1" thickBot="1" x14ac:dyDescent="0.3">
      <c r="A178" s="630">
        <v>5</v>
      </c>
      <c r="B178" s="86">
        <v>5</v>
      </c>
      <c r="C178" s="86">
        <v>10</v>
      </c>
      <c r="D178" s="856">
        <v>0.11</v>
      </c>
      <c r="E178" s="857">
        <v>87.5</v>
      </c>
      <c r="G178" s="630">
        <v>5</v>
      </c>
      <c r="H178" s="86">
        <v>6</v>
      </c>
      <c r="I178" s="86">
        <v>6</v>
      </c>
      <c r="J178" s="856">
        <v>0.11</v>
      </c>
      <c r="K178" s="857">
        <v>81</v>
      </c>
      <c r="M178" s="12">
        <v>180</v>
      </c>
      <c r="N178" s="466">
        <v>-9</v>
      </c>
      <c r="O178" s="465">
        <f t="shared" si="16"/>
        <v>6</v>
      </c>
    </row>
    <row r="179" spans="1:15" ht="12.75" customHeight="1" x14ac:dyDescent="0.25">
      <c r="A179" s="630">
        <v>6</v>
      </c>
      <c r="B179" s="86">
        <v>6</v>
      </c>
      <c r="C179" s="86">
        <v>12</v>
      </c>
      <c r="D179" s="856">
        <v>0.11</v>
      </c>
      <c r="E179" s="857">
        <v>117</v>
      </c>
      <c r="G179" s="630">
        <v>6</v>
      </c>
      <c r="H179" s="86">
        <v>7</v>
      </c>
      <c r="I179" s="86">
        <v>7</v>
      </c>
      <c r="J179" s="856">
        <v>0.11</v>
      </c>
      <c r="K179" s="857">
        <v>101.5</v>
      </c>
      <c r="M179" s="534">
        <v>181</v>
      </c>
      <c r="N179" s="535">
        <v>-10</v>
      </c>
      <c r="O179" s="470">
        <f t="shared" si="16"/>
        <v>6.05</v>
      </c>
    </row>
    <row r="180" spans="1:15" ht="12.75" customHeight="1" x14ac:dyDescent="0.25">
      <c r="A180" s="630">
        <v>7</v>
      </c>
      <c r="B180" s="86">
        <v>8</v>
      </c>
      <c r="C180" s="86">
        <v>10</v>
      </c>
      <c r="D180" s="856">
        <v>0.11</v>
      </c>
      <c r="E180" s="857">
        <v>140</v>
      </c>
      <c r="G180" s="630">
        <v>7</v>
      </c>
      <c r="H180" s="86">
        <v>8</v>
      </c>
      <c r="I180" s="86">
        <v>7</v>
      </c>
      <c r="J180" s="856">
        <v>0.11</v>
      </c>
      <c r="K180" s="857">
        <v>116</v>
      </c>
      <c r="M180" s="865">
        <v>182</v>
      </c>
      <c r="N180" s="467">
        <v>-10</v>
      </c>
      <c r="O180" s="464">
        <f t="shared" si="16"/>
        <v>6.1</v>
      </c>
    </row>
    <row r="181" spans="1:15" ht="12.75" customHeight="1" x14ac:dyDescent="0.25">
      <c r="A181" s="630">
        <v>8</v>
      </c>
      <c r="B181" s="86">
        <v>9</v>
      </c>
      <c r="C181" s="86">
        <v>9</v>
      </c>
      <c r="D181" s="856">
        <v>0.11</v>
      </c>
      <c r="E181" s="857">
        <v>148.5</v>
      </c>
      <c r="G181" s="630">
        <v>8</v>
      </c>
      <c r="H181" s="86">
        <v>8</v>
      </c>
      <c r="I181" s="86">
        <v>11</v>
      </c>
      <c r="J181" s="856">
        <v>0.11</v>
      </c>
      <c r="K181" s="857">
        <v>148</v>
      </c>
      <c r="M181" s="865">
        <v>183</v>
      </c>
      <c r="N181" s="467">
        <v>-10</v>
      </c>
      <c r="O181" s="464">
        <f t="shared" si="16"/>
        <v>6.15</v>
      </c>
    </row>
    <row r="182" spans="1:15" ht="12.75" customHeight="1" x14ac:dyDescent="0.25">
      <c r="A182" s="630">
        <v>9</v>
      </c>
      <c r="B182" s="86">
        <v>10</v>
      </c>
      <c r="C182" s="86">
        <v>10</v>
      </c>
      <c r="D182" s="856">
        <v>0.11</v>
      </c>
      <c r="E182" s="857">
        <v>175</v>
      </c>
      <c r="G182" s="630">
        <v>9</v>
      </c>
      <c r="H182" s="86">
        <v>99</v>
      </c>
      <c r="I182" s="86">
        <v>99</v>
      </c>
      <c r="J182" s="856">
        <v>0.11</v>
      </c>
      <c r="K182" s="857">
        <v>999</v>
      </c>
      <c r="M182" s="865">
        <v>184</v>
      </c>
      <c r="N182" s="467">
        <v>-10</v>
      </c>
      <c r="O182" s="464">
        <f t="shared" si="16"/>
        <v>6.2</v>
      </c>
    </row>
    <row r="183" spans="1:15" ht="12.75" customHeight="1" x14ac:dyDescent="0.25">
      <c r="A183" s="630">
        <v>10</v>
      </c>
      <c r="B183" s="86">
        <v>11</v>
      </c>
      <c r="C183" s="86">
        <v>11</v>
      </c>
      <c r="D183" s="856">
        <v>0.11</v>
      </c>
      <c r="E183" s="857">
        <v>203.5</v>
      </c>
      <c r="G183" s="630">
        <v>10</v>
      </c>
      <c r="H183" s="86">
        <v>99</v>
      </c>
      <c r="I183" s="86">
        <v>99</v>
      </c>
      <c r="J183" s="856">
        <v>0.11</v>
      </c>
      <c r="K183" s="857">
        <v>999</v>
      </c>
      <c r="M183" s="865">
        <v>185</v>
      </c>
      <c r="N183" s="467">
        <v>-10</v>
      </c>
      <c r="O183" s="464">
        <f t="shared" si="16"/>
        <v>6.25</v>
      </c>
    </row>
    <row r="184" spans="1:15" ht="12.75" customHeight="1" x14ac:dyDescent="0.25">
      <c r="A184" s="630">
        <v>11</v>
      </c>
      <c r="B184" s="86">
        <v>12</v>
      </c>
      <c r="C184" s="86">
        <v>11</v>
      </c>
      <c r="D184" s="856">
        <v>0.11</v>
      </c>
      <c r="E184" s="857">
        <v>222</v>
      </c>
      <c r="G184" s="630">
        <v>11</v>
      </c>
      <c r="H184" s="86">
        <v>99</v>
      </c>
      <c r="I184" s="86">
        <v>99</v>
      </c>
      <c r="J184" s="856">
        <v>0.11</v>
      </c>
      <c r="K184" s="857">
        <v>999</v>
      </c>
      <c r="M184" s="865">
        <v>186</v>
      </c>
      <c r="N184" s="467">
        <v>-10</v>
      </c>
      <c r="O184" s="464">
        <f t="shared" si="16"/>
        <v>6.3</v>
      </c>
    </row>
    <row r="185" spans="1:15" ht="12.75" customHeight="1" x14ac:dyDescent="0.25">
      <c r="A185" s="630">
        <v>12</v>
      </c>
      <c r="B185" s="86">
        <v>99</v>
      </c>
      <c r="C185" s="86">
        <v>99</v>
      </c>
      <c r="D185" s="856">
        <v>0.11</v>
      </c>
      <c r="E185" s="857">
        <v>999</v>
      </c>
      <c r="G185" s="630">
        <v>12</v>
      </c>
      <c r="H185" s="86">
        <v>99</v>
      </c>
      <c r="I185" s="86">
        <v>99</v>
      </c>
      <c r="J185" s="856">
        <v>0.11</v>
      </c>
      <c r="K185" s="857">
        <v>999</v>
      </c>
      <c r="M185" s="865">
        <v>187</v>
      </c>
      <c r="N185" s="467">
        <v>-10</v>
      </c>
      <c r="O185" s="464">
        <f t="shared" si="16"/>
        <v>6.35</v>
      </c>
    </row>
    <row r="186" spans="1:15" ht="12.75" customHeight="1" x14ac:dyDescent="0.25">
      <c r="A186" s="630">
        <v>13</v>
      </c>
      <c r="B186" s="86">
        <v>99</v>
      </c>
      <c r="C186" s="86">
        <v>99</v>
      </c>
      <c r="D186" s="856">
        <v>0.11</v>
      </c>
      <c r="E186" s="857">
        <v>999</v>
      </c>
      <c r="G186" s="630">
        <v>13</v>
      </c>
      <c r="H186" s="86">
        <v>99</v>
      </c>
      <c r="I186" s="86">
        <v>99</v>
      </c>
      <c r="J186" s="856">
        <v>0.11</v>
      </c>
      <c r="K186" s="857">
        <v>999</v>
      </c>
      <c r="M186" s="865">
        <v>188</v>
      </c>
      <c r="N186" s="467">
        <v>-10</v>
      </c>
      <c r="O186" s="464">
        <f t="shared" si="16"/>
        <v>6.4</v>
      </c>
    </row>
    <row r="187" spans="1:15" ht="12.75" customHeight="1" x14ac:dyDescent="0.25">
      <c r="A187" s="630">
        <v>14</v>
      </c>
      <c r="B187" s="86">
        <v>99</v>
      </c>
      <c r="C187" s="86">
        <v>99</v>
      </c>
      <c r="D187" s="856">
        <v>0.11</v>
      </c>
      <c r="E187" s="857">
        <v>999</v>
      </c>
      <c r="G187" s="630">
        <v>14</v>
      </c>
      <c r="H187" s="86">
        <v>99</v>
      </c>
      <c r="I187" s="86">
        <v>99</v>
      </c>
      <c r="J187" s="856">
        <v>0.11</v>
      </c>
      <c r="K187" s="857">
        <v>999</v>
      </c>
      <c r="M187" s="865">
        <v>189</v>
      </c>
      <c r="N187" s="467">
        <v>-10</v>
      </c>
      <c r="O187" s="464">
        <f t="shared" si="16"/>
        <v>6.45</v>
      </c>
    </row>
    <row r="188" spans="1:15" ht="12.75" customHeight="1" x14ac:dyDescent="0.25">
      <c r="A188" s="630">
        <v>15</v>
      </c>
      <c r="B188" s="86">
        <v>99</v>
      </c>
      <c r="C188" s="86">
        <v>99</v>
      </c>
      <c r="D188" s="856">
        <v>0.11</v>
      </c>
      <c r="E188" s="857">
        <v>999</v>
      </c>
      <c r="G188" s="630">
        <v>15</v>
      </c>
      <c r="H188" s="86">
        <v>99</v>
      </c>
      <c r="I188" s="86">
        <v>99</v>
      </c>
      <c r="J188" s="856">
        <v>0.11</v>
      </c>
      <c r="K188" s="857">
        <v>999</v>
      </c>
      <c r="M188" s="865">
        <v>190</v>
      </c>
      <c r="N188" s="467">
        <v>-10</v>
      </c>
      <c r="O188" s="464">
        <f t="shared" ref="O188:O207" si="17">(M188-60)/20</f>
        <v>6.5</v>
      </c>
    </row>
    <row r="189" spans="1:15" ht="12.75" customHeight="1" x14ac:dyDescent="0.25">
      <c r="A189" s="630">
        <v>16</v>
      </c>
      <c r="B189" s="86">
        <v>99</v>
      </c>
      <c r="C189" s="86">
        <v>99</v>
      </c>
      <c r="D189" s="856">
        <v>0.11</v>
      </c>
      <c r="E189" s="857">
        <v>999</v>
      </c>
      <c r="G189" s="630">
        <v>16</v>
      </c>
      <c r="H189" s="86">
        <v>99</v>
      </c>
      <c r="I189" s="86">
        <v>99</v>
      </c>
      <c r="J189" s="856">
        <v>0.11</v>
      </c>
      <c r="K189" s="857">
        <v>999</v>
      </c>
      <c r="M189" s="865">
        <v>191</v>
      </c>
      <c r="N189" s="467">
        <v>-10</v>
      </c>
      <c r="O189" s="464">
        <f t="shared" si="17"/>
        <v>6.55</v>
      </c>
    </row>
    <row r="190" spans="1:15" ht="12.75" customHeight="1" x14ac:dyDescent="0.25">
      <c r="A190" s="630">
        <v>17</v>
      </c>
      <c r="B190" s="86">
        <v>99</v>
      </c>
      <c r="C190" s="86">
        <v>99</v>
      </c>
      <c r="D190" s="856">
        <v>0.11</v>
      </c>
      <c r="E190" s="857">
        <v>999</v>
      </c>
      <c r="G190" s="630">
        <v>17</v>
      </c>
      <c r="H190" s="86">
        <v>99</v>
      </c>
      <c r="I190" s="86">
        <v>99</v>
      </c>
      <c r="J190" s="856">
        <v>0.11</v>
      </c>
      <c r="K190" s="857">
        <v>999</v>
      </c>
      <c r="M190" s="865">
        <v>192</v>
      </c>
      <c r="N190" s="467">
        <v>-10</v>
      </c>
      <c r="O190" s="464">
        <f t="shared" si="17"/>
        <v>6.6</v>
      </c>
    </row>
    <row r="191" spans="1:15" ht="12.75" customHeight="1" x14ac:dyDescent="0.25">
      <c r="A191" s="630">
        <v>18</v>
      </c>
      <c r="B191" s="86">
        <v>99</v>
      </c>
      <c r="C191" s="86">
        <v>99</v>
      </c>
      <c r="D191" s="856">
        <v>0.11</v>
      </c>
      <c r="E191" s="857">
        <v>999</v>
      </c>
      <c r="G191" s="630">
        <v>18</v>
      </c>
      <c r="H191" s="86">
        <v>99</v>
      </c>
      <c r="I191" s="86">
        <v>99</v>
      </c>
      <c r="J191" s="856">
        <v>0.11</v>
      </c>
      <c r="K191" s="857">
        <v>999</v>
      </c>
      <c r="M191" s="865">
        <v>193</v>
      </c>
      <c r="N191" s="467">
        <v>-10</v>
      </c>
      <c r="O191" s="464">
        <f t="shared" si="17"/>
        <v>6.65</v>
      </c>
    </row>
    <row r="192" spans="1:15" ht="12.75" customHeight="1" x14ac:dyDescent="0.25">
      <c r="A192" s="630">
        <v>19</v>
      </c>
      <c r="B192" s="86">
        <v>99</v>
      </c>
      <c r="C192" s="86">
        <v>99</v>
      </c>
      <c r="D192" s="856">
        <v>0.11</v>
      </c>
      <c r="E192" s="857">
        <v>999</v>
      </c>
      <c r="G192" s="630">
        <v>19</v>
      </c>
      <c r="H192" s="86">
        <v>99</v>
      </c>
      <c r="I192" s="86">
        <v>99</v>
      </c>
      <c r="J192" s="856">
        <v>0.11</v>
      </c>
      <c r="K192" s="857">
        <v>999</v>
      </c>
      <c r="M192" s="865">
        <v>194</v>
      </c>
      <c r="N192" s="467">
        <v>-10</v>
      </c>
      <c r="O192" s="464">
        <f t="shared" si="17"/>
        <v>6.7</v>
      </c>
    </row>
    <row r="193" spans="1:15" ht="12.75" customHeight="1" thickBot="1" x14ac:dyDescent="0.3">
      <c r="A193" s="858">
        <v>20</v>
      </c>
      <c r="B193" s="859">
        <v>99</v>
      </c>
      <c r="C193" s="859">
        <v>99</v>
      </c>
      <c r="D193" s="860">
        <v>0.11</v>
      </c>
      <c r="E193" s="861">
        <v>999</v>
      </c>
      <c r="G193" s="858">
        <v>20</v>
      </c>
      <c r="H193" s="859">
        <v>99</v>
      </c>
      <c r="I193" s="859">
        <v>99</v>
      </c>
      <c r="J193" s="860">
        <v>0.11</v>
      </c>
      <c r="K193" s="861">
        <v>999</v>
      </c>
      <c r="M193" s="865">
        <v>195</v>
      </c>
      <c r="N193" s="467">
        <v>-10</v>
      </c>
      <c r="O193" s="464">
        <f t="shared" si="17"/>
        <v>6.75</v>
      </c>
    </row>
    <row r="194" spans="1:15" ht="12.75" customHeight="1" x14ac:dyDescent="0.25">
      <c r="A194" s="852">
        <v>1</v>
      </c>
      <c r="B194" s="853">
        <v>99</v>
      </c>
      <c r="C194" s="853">
        <v>99</v>
      </c>
      <c r="D194" s="854">
        <v>0.12</v>
      </c>
      <c r="E194" s="855">
        <v>999</v>
      </c>
      <c r="G194" s="852">
        <v>1</v>
      </c>
      <c r="H194" s="853">
        <v>1</v>
      </c>
      <c r="I194" s="853">
        <v>8</v>
      </c>
      <c r="J194" s="854">
        <v>0.12</v>
      </c>
      <c r="K194" s="855">
        <v>15.5</v>
      </c>
      <c r="M194" s="865">
        <v>196</v>
      </c>
      <c r="N194" s="467">
        <v>-10</v>
      </c>
      <c r="O194" s="464">
        <f t="shared" si="17"/>
        <v>6.8</v>
      </c>
    </row>
    <row r="195" spans="1:15" ht="12.75" customHeight="1" x14ac:dyDescent="0.25">
      <c r="A195" s="630">
        <v>2</v>
      </c>
      <c r="B195" s="86">
        <v>2</v>
      </c>
      <c r="C195" s="86">
        <v>12</v>
      </c>
      <c r="D195" s="856">
        <v>0.12</v>
      </c>
      <c r="E195" s="857">
        <v>39</v>
      </c>
      <c r="G195" s="630">
        <v>2</v>
      </c>
      <c r="H195" s="86">
        <v>2</v>
      </c>
      <c r="I195" s="86">
        <v>11</v>
      </c>
      <c r="J195" s="856">
        <v>0.12</v>
      </c>
      <c r="K195" s="857">
        <v>37</v>
      </c>
      <c r="M195" s="865">
        <v>197</v>
      </c>
      <c r="N195" s="467">
        <v>-10</v>
      </c>
      <c r="O195" s="464">
        <f t="shared" si="17"/>
        <v>6.85</v>
      </c>
    </row>
    <row r="196" spans="1:15" ht="12.75" customHeight="1" x14ac:dyDescent="0.25">
      <c r="A196" s="630">
        <v>3</v>
      </c>
      <c r="B196" s="86">
        <v>3</v>
      </c>
      <c r="C196" s="86">
        <v>9</v>
      </c>
      <c r="D196" s="856">
        <v>0.12</v>
      </c>
      <c r="E196" s="857">
        <v>49.5</v>
      </c>
      <c r="G196" s="630">
        <v>3</v>
      </c>
      <c r="H196" s="86">
        <v>3</v>
      </c>
      <c r="I196" s="86">
        <v>11</v>
      </c>
      <c r="J196" s="856">
        <v>0.12</v>
      </c>
      <c r="K196" s="857">
        <v>55.5</v>
      </c>
      <c r="M196" s="865">
        <v>198</v>
      </c>
      <c r="N196" s="467">
        <v>-10</v>
      </c>
      <c r="O196" s="464">
        <f t="shared" si="17"/>
        <v>6.9</v>
      </c>
    </row>
    <row r="197" spans="1:15" ht="12.75" customHeight="1" x14ac:dyDescent="0.25">
      <c r="A197" s="630">
        <v>4</v>
      </c>
      <c r="B197" s="86">
        <v>4</v>
      </c>
      <c r="C197" s="86">
        <v>10</v>
      </c>
      <c r="D197" s="856">
        <v>0.12</v>
      </c>
      <c r="E197" s="857">
        <v>70</v>
      </c>
      <c r="G197" s="630">
        <v>4</v>
      </c>
      <c r="H197" s="86">
        <v>4</v>
      </c>
      <c r="I197" s="86">
        <v>9</v>
      </c>
      <c r="J197" s="856">
        <v>0.12</v>
      </c>
      <c r="K197" s="857">
        <v>66</v>
      </c>
      <c r="M197" s="865">
        <v>199</v>
      </c>
      <c r="N197" s="467">
        <v>-10</v>
      </c>
      <c r="O197" s="464">
        <f t="shared" si="17"/>
        <v>6.95</v>
      </c>
    </row>
    <row r="198" spans="1:15" ht="12.75" customHeight="1" thickBot="1" x14ac:dyDescent="0.3">
      <c r="A198" s="630">
        <v>5</v>
      </c>
      <c r="B198" s="86">
        <v>6</v>
      </c>
      <c r="C198" s="86">
        <v>7</v>
      </c>
      <c r="D198" s="856">
        <v>0.12</v>
      </c>
      <c r="E198" s="857">
        <v>87</v>
      </c>
      <c r="G198" s="630">
        <v>5</v>
      </c>
      <c r="H198" s="86">
        <v>6</v>
      </c>
      <c r="I198" s="86">
        <v>6</v>
      </c>
      <c r="J198" s="856">
        <v>0.12</v>
      </c>
      <c r="K198" s="857">
        <v>81</v>
      </c>
      <c r="M198" s="12">
        <v>200</v>
      </c>
      <c r="N198" s="466">
        <v>-10</v>
      </c>
      <c r="O198" s="465">
        <f t="shared" si="17"/>
        <v>7</v>
      </c>
    </row>
    <row r="199" spans="1:15" ht="12.75" customHeight="1" x14ac:dyDescent="0.25">
      <c r="A199" s="630">
        <v>6</v>
      </c>
      <c r="B199" s="86">
        <v>7</v>
      </c>
      <c r="C199" s="86">
        <v>8</v>
      </c>
      <c r="D199" s="856">
        <v>0.12</v>
      </c>
      <c r="E199" s="857">
        <v>108.5</v>
      </c>
      <c r="G199" s="630">
        <v>6</v>
      </c>
      <c r="H199" s="86">
        <v>7</v>
      </c>
      <c r="I199" s="86">
        <v>6</v>
      </c>
      <c r="J199" s="856">
        <v>0.12</v>
      </c>
      <c r="K199" s="857">
        <v>94.5</v>
      </c>
      <c r="M199" s="534">
        <v>201</v>
      </c>
      <c r="N199" s="535">
        <v>-11</v>
      </c>
      <c r="O199" s="470">
        <f t="shared" si="17"/>
        <v>7.05</v>
      </c>
    </row>
    <row r="200" spans="1:15" ht="12.75" customHeight="1" x14ac:dyDescent="0.25">
      <c r="A200" s="630">
        <v>7</v>
      </c>
      <c r="B200" s="86">
        <v>8</v>
      </c>
      <c r="C200" s="86">
        <v>8</v>
      </c>
      <c r="D200" s="856">
        <v>0.12</v>
      </c>
      <c r="E200" s="857">
        <v>124</v>
      </c>
      <c r="G200" s="630">
        <v>7</v>
      </c>
      <c r="H200" s="86">
        <v>9</v>
      </c>
      <c r="I200" s="86">
        <v>6</v>
      </c>
      <c r="J200" s="856">
        <v>0.12</v>
      </c>
      <c r="K200" s="857">
        <v>121.5</v>
      </c>
      <c r="M200" s="865">
        <v>202</v>
      </c>
      <c r="N200" s="467">
        <v>-11</v>
      </c>
      <c r="O200" s="464">
        <f t="shared" si="17"/>
        <v>7.1</v>
      </c>
    </row>
    <row r="201" spans="1:15" ht="12.75" customHeight="1" x14ac:dyDescent="0.25">
      <c r="A201" s="630">
        <v>8</v>
      </c>
      <c r="B201" s="86">
        <v>9</v>
      </c>
      <c r="C201" s="86">
        <v>9</v>
      </c>
      <c r="D201" s="856">
        <v>0.12</v>
      </c>
      <c r="E201" s="857">
        <v>148.5</v>
      </c>
      <c r="G201" s="630">
        <v>8</v>
      </c>
      <c r="H201" s="86">
        <v>99</v>
      </c>
      <c r="I201" s="86">
        <v>99</v>
      </c>
      <c r="J201" s="856">
        <v>0.12</v>
      </c>
      <c r="K201" s="857">
        <v>999</v>
      </c>
      <c r="M201" s="865">
        <v>203</v>
      </c>
      <c r="N201" s="467">
        <v>-11</v>
      </c>
      <c r="O201" s="464">
        <f t="shared" si="17"/>
        <v>7.15</v>
      </c>
    </row>
    <row r="202" spans="1:15" ht="12.75" customHeight="1" x14ac:dyDescent="0.25">
      <c r="A202" s="630">
        <v>9</v>
      </c>
      <c r="B202" s="86">
        <v>11</v>
      </c>
      <c r="C202" s="86">
        <v>8</v>
      </c>
      <c r="D202" s="856">
        <v>0.12</v>
      </c>
      <c r="E202" s="857">
        <v>170.5</v>
      </c>
      <c r="G202" s="630">
        <v>9</v>
      </c>
      <c r="H202" s="86">
        <v>12</v>
      </c>
      <c r="I202" s="86">
        <v>6</v>
      </c>
      <c r="J202" s="856">
        <v>0.12</v>
      </c>
      <c r="K202" s="857">
        <v>162</v>
      </c>
      <c r="M202" s="865">
        <v>204</v>
      </c>
      <c r="N202" s="467">
        <v>-11</v>
      </c>
      <c r="O202" s="464">
        <f t="shared" si="17"/>
        <v>7.2</v>
      </c>
    </row>
    <row r="203" spans="1:15" ht="12.75" customHeight="1" x14ac:dyDescent="0.25">
      <c r="A203" s="630">
        <v>10</v>
      </c>
      <c r="B203" s="86">
        <v>12</v>
      </c>
      <c r="C203" s="86">
        <v>8</v>
      </c>
      <c r="D203" s="856">
        <v>0.12</v>
      </c>
      <c r="E203" s="857">
        <v>186</v>
      </c>
      <c r="G203" s="630">
        <v>10</v>
      </c>
      <c r="H203" s="86">
        <v>99</v>
      </c>
      <c r="I203" s="86">
        <v>99</v>
      </c>
      <c r="J203" s="856">
        <v>0.12</v>
      </c>
      <c r="K203" s="857">
        <v>999</v>
      </c>
      <c r="M203" s="865">
        <v>205</v>
      </c>
      <c r="N203" s="467">
        <v>-11</v>
      </c>
      <c r="O203" s="464">
        <f t="shared" si="17"/>
        <v>7.25</v>
      </c>
    </row>
    <row r="204" spans="1:15" ht="12.75" customHeight="1" x14ac:dyDescent="0.25">
      <c r="A204" s="630">
        <v>11</v>
      </c>
      <c r="B204" s="86">
        <v>12</v>
      </c>
      <c r="C204" s="86">
        <v>10</v>
      </c>
      <c r="D204" s="856">
        <v>0.12</v>
      </c>
      <c r="E204" s="857">
        <v>210</v>
      </c>
      <c r="G204" s="630">
        <v>11</v>
      </c>
      <c r="H204" s="86">
        <v>99</v>
      </c>
      <c r="I204" s="86">
        <v>99</v>
      </c>
      <c r="J204" s="856">
        <v>0.12</v>
      </c>
      <c r="K204" s="857">
        <v>999</v>
      </c>
      <c r="M204" s="865">
        <v>206</v>
      </c>
      <c r="N204" s="467">
        <v>-11</v>
      </c>
      <c r="O204" s="464">
        <f t="shared" si="17"/>
        <v>7.3</v>
      </c>
    </row>
    <row r="205" spans="1:15" ht="12.75" customHeight="1" x14ac:dyDescent="0.25">
      <c r="A205" s="630">
        <v>12</v>
      </c>
      <c r="B205" s="86">
        <v>99</v>
      </c>
      <c r="C205" s="86">
        <v>99</v>
      </c>
      <c r="D205" s="856">
        <v>0.12</v>
      </c>
      <c r="E205" s="857">
        <v>999</v>
      </c>
      <c r="G205" s="630">
        <v>12</v>
      </c>
      <c r="H205" s="86">
        <v>99</v>
      </c>
      <c r="I205" s="86">
        <v>99</v>
      </c>
      <c r="J205" s="856">
        <v>0.12</v>
      </c>
      <c r="K205" s="857">
        <v>999</v>
      </c>
      <c r="M205" s="865">
        <v>207</v>
      </c>
      <c r="N205" s="467">
        <v>-11</v>
      </c>
      <c r="O205" s="464">
        <f t="shared" si="17"/>
        <v>7.35</v>
      </c>
    </row>
    <row r="206" spans="1:15" ht="12.75" customHeight="1" x14ac:dyDescent="0.25">
      <c r="A206" s="630">
        <v>13</v>
      </c>
      <c r="B206" s="86">
        <v>99</v>
      </c>
      <c r="C206" s="86">
        <v>99</v>
      </c>
      <c r="D206" s="856">
        <v>0.12</v>
      </c>
      <c r="E206" s="857">
        <v>999</v>
      </c>
      <c r="G206" s="630">
        <v>13</v>
      </c>
      <c r="H206" s="86">
        <v>99</v>
      </c>
      <c r="I206" s="86">
        <v>99</v>
      </c>
      <c r="J206" s="856">
        <v>0.12</v>
      </c>
      <c r="K206" s="857">
        <v>999</v>
      </c>
      <c r="M206" s="865">
        <v>208</v>
      </c>
      <c r="N206" s="467">
        <v>-11</v>
      </c>
      <c r="O206" s="464">
        <f t="shared" si="17"/>
        <v>7.4</v>
      </c>
    </row>
    <row r="207" spans="1:15" ht="12.75" customHeight="1" x14ac:dyDescent="0.25">
      <c r="A207" s="630">
        <v>14</v>
      </c>
      <c r="B207" s="86">
        <v>99</v>
      </c>
      <c r="C207" s="86">
        <v>99</v>
      </c>
      <c r="D207" s="856">
        <v>0.12</v>
      </c>
      <c r="E207" s="857">
        <v>999</v>
      </c>
      <c r="G207" s="630">
        <v>14</v>
      </c>
      <c r="H207" s="86">
        <v>99</v>
      </c>
      <c r="I207" s="86">
        <v>99</v>
      </c>
      <c r="J207" s="856">
        <v>0.12</v>
      </c>
      <c r="K207" s="857">
        <v>999</v>
      </c>
      <c r="M207" s="865">
        <v>209</v>
      </c>
      <c r="N207" s="467">
        <v>-11</v>
      </c>
      <c r="O207" s="464">
        <f t="shared" si="17"/>
        <v>7.45</v>
      </c>
    </row>
    <row r="208" spans="1:15" ht="12.75" customHeight="1" x14ac:dyDescent="0.25">
      <c r="A208" s="630">
        <v>15</v>
      </c>
      <c r="B208" s="86">
        <v>99</v>
      </c>
      <c r="C208" s="86">
        <v>99</v>
      </c>
      <c r="D208" s="856">
        <v>0.12</v>
      </c>
      <c r="E208" s="857">
        <v>999</v>
      </c>
      <c r="G208" s="630">
        <v>15</v>
      </c>
      <c r="H208" s="86">
        <v>99</v>
      </c>
      <c r="I208" s="86">
        <v>99</v>
      </c>
      <c r="J208" s="856">
        <v>0.12</v>
      </c>
      <c r="K208" s="857">
        <v>999</v>
      </c>
      <c r="M208" s="865">
        <v>210</v>
      </c>
      <c r="N208" s="467">
        <v>-11</v>
      </c>
      <c r="O208" s="464">
        <f t="shared" ref="O208:O227" si="18">(M208-60)/20</f>
        <v>7.5</v>
      </c>
    </row>
    <row r="209" spans="1:15" ht="12.75" customHeight="1" x14ac:dyDescent="0.25">
      <c r="A209" s="630">
        <v>16</v>
      </c>
      <c r="B209" s="86">
        <v>99</v>
      </c>
      <c r="C209" s="86">
        <v>99</v>
      </c>
      <c r="D209" s="856">
        <v>0.12</v>
      </c>
      <c r="E209" s="857">
        <v>999</v>
      </c>
      <c r="G209" s="630">
        <v>16</v>
      </c>
      <c r="H209" s="86">
        <v>99</v>
      </c>
      <c r="I209" s="86">
        <v>99</v>
      </c>
      <c r="J209" s="856">
        <v>0.12</v>
      </c>
      <c r="K209" s="857">
        <v>999</v>
      </c>
      <c r="M209" s="865">
        <v>211</v>
      </c>
      <c r="N209" s="467">
        <v>-11</v>
      </c>
      <c r="O209" s="464">
        <f t="shared" si="18"/>
        <v>7.55</v>
      </c>
    </row>
    <row r="210" spans="1:15" ht="12.75" customHeight="1" x14ac:dyDescent="0.25">
      <c r="A210" s="630">
        <v>17</v>
      </c>
      <c r="B210" s="86">
        <v>99</v>
      </c>
      <c r="C210" s="86">
        <v>99</v>
      </c>
      <c r="D210" s="856">
        <v>0.12</v>
      </c>
      <c r="E210" s="857">
        <v>999</v>
      </c>
      <c r="G210" s="630">
        <v>17</v>
      </c>
      <c r="H210" s="86">
        <v>99</v>
      </c>
      <c r="I210" s="86">
        <v>99</v>
      </c>
      <c r="J210" s="856">
        <v>0.12</v>
      </c>
      <c r="K210" s="857">
        <v>999</v>
      </c>
      <c r="M210" s="865">
        <v>212</v>
      </c>
      <c r="N210" s="467">
        <v>-11</v>
      </c>
      <c r="O210" s="464">
        <f t="shared" si="18"/>
        <v>7.6</v>
      </c>
    </row>
    <row r="211" spans="1:15" ht="12.75" customHeight="1" x14ac:dyDescent="0.25">
      <c r="A211" s="630">
        <v>18</v>
      </c>
      <c r="B211" s="86">
        <v>99</v>
      </c>
      <c r="C211" s="86">
        <v>99</v>
      </c>
      <c r="D211" s="856">
        <v>0.12</v>
      </c>
      <c r="E211" s="857">
        <v>999</v>
      </c>
      <c r="G211" s="630">
        <v>18</v>
      </c>
      <c r="H211" s="86">
        <v>99</v>
      </c>
      <c r="I211" s="86">
        <v>99</v>
      </c>
      <c r="J211" s="856">
        <v>0.12</v>
      </c>
      <c r="K211" s="857">
        <v>999</v>
      </c>
      <c r="M211" s="865">
        <v>213</v>
      </c>
      <c r="N211" s="467">
        <v>-11</v>
      </c>
      <c r="O211" s="464">
        <f t="shared" si="18"/>
        <v>7.65</v>
      </c>
    </row>
    <row r="212" spans="1:15" ht="12.75" customHeight="1" x14ac:dyDescent="0.25">
      <c r="A212" s="630">
        <v>19</v>
      </c>
      <c r="B212" s="86">
        <v>99</v>
      </c>
      <c r="C212" s="86">
        <v>99</v>
      </c>
      <c r="D212" s="856">
        <v>0.12</v>
      </c>
      <c r="E212" s="857">
        <v>999</v>
      </c>
      <c r="G212" s="630">
        <v>19</v>
      </c>
      <c r="H212" s="86">
        <v>99</v>
      </c>
      <c r="I212" s="86">
        <v>99</v>
      </c>
      <c r="J212" s="856">
        <v>0.12</v>
      </c>
      <c r="K212" s="857">
        <v>999</v>
      </c>
      <c r="M212" s="865">
        <v>214</v>
      </c>
      <c r="N212" s="467">
        <v>-11</v>
      </c>
      <c r="O212" s="464">
        <f t="shared" si="18"/>
        <v>7.7</v>
      </c>
    </row>
    <row r="213" spans="1:15" ht="12.75" customHeight="1" thickBot="1" x14ac:dyDescent="0.3">
      <c r="A213" s="858">
        <v>20</v>
      </c>
      <c r="B213" s="859">
        <v>99</v>
      </c>
      <c r="C213" s="859">
        <v>99</v>
      </c>
      <c r="D213" s="860">
        <v>0.12</v>
      </c>
      <c r="E213" s="861">
        <v>999</v>
      </c>
      <c r="G213" s="858">
        <v>20</v>
      </c>
      <c r="H213" s="859">
        <v>99</v>
      </c>
      <c r="I213" s="859">
        <v>99</v>
      </c>
      <c r="J213" s="860">
        <v>0.12</v>
      </c>
      <c r="K213" s="861">
        <v>999</v>
      </c>
      <c r="M213" s="865">
        <v>215</v>
      </c>
      <c r="N213" s="467">
        <v>-11</v>
      </c>
      <c r="O213" s="464">
        <f t="shared" si="18"/>
        <v>7.75</v>
      </c>
    </row>
    <row r="214" spans="1:15" ht="12.75" customHeight="1" x14ac:dyDescent="0.25">
      <c r="A214" s="852">
        <v>1</v>
      </c>
      <c r="B214" s="853">
        <v>99</v>
      </c>
      <c r="C214" s="853">
        <v>99</v>
      </c>
      <c r="D214" s="854">
        <v>0.13</v>
      </c>
      <c r="E214" s="855">
        <v>999</v>
      </c>
      <c r="G214" s="852">
        <v>1</v>
      </c>
      <c r="H214" s="853">
        <v>1</v>
      </c>
      <c r="I214" s="853">
        <v>8</v>
      </c>
      <c r="J214" s="854">
        <v>0.13</v>
      </c>
      <c r="K214" s="855">
        <v>15.5</v>
      </c>
      <c r="M214" s="865">
        <v>216</v>
      </c>
      <c r="N214" s="467">
        <v>-11</v>
      </c>
      <c r="O214" s="464">
        <f t="shared" si="18"/>
        <v>7.8</v>
      </c>
    </row>
    <row r="215" spans="1:15" ht="12.75" customHeight="1" x14ac:dyDescent="0.25">
      <c r="A215" s="630">
        <v>2</v>
      </c>
      <c r="B215" s="86">
        <v>99</v>
      </c>
      <c r="C215" s="86">
        <v>99</v>
      </c>
      <c r="D215" s="856">
        <v>0.13</v>
      </c>
      <c r="E215" s="857">
        <v>999</v>
      </c>
      <c r="G215" s="630">
        <v>2</v>
      </c>
      <c r="H215" s="86">
        <v>2</v>
      </c>
      <c r="I215" s="86">
        <v>7</v>
      </c>
      <c r="J215" s="856">
        <v>0.13</v>
      </c>
      <c r="K215" s="857">
        <v>29</v>
      </c>
      <c r="M215" s="865">
        <v>217</v>
      </c>
      <c r="N215" s="467">
        <v>-11</v>
      </c>
      <c r="O215" s="464">
        <f t="shared" si="18"/>
        <v>7.85</v>
      </c>
    </row>
    <row r="216" spans="1:15" ht="12.75" customHeight="1" x14ac:dyDescent="0.25">
      <c r="A216" s="630">
        <v>3</v>
      </c>
      <c r="B216" s="86">
        <v>3</v>
      </c>
      <c r="C216" s="86">
        <v>10</v>
      </c>
      <c r="D216" s="856">
        <v>0.13</v>
      </c>
      <c r="E216" s="857">
        <v>52.5</v>
      </c>
      <c r="G216" s="630">
        <v>3</v>
      </c>
      <c r="H216" s="86">
        <v>3</v>
      </c>
      <c r="I216" s="86">
        <v>8</v>
      </c>
      <c r="J216" s="856">
        <v>0.13</v>
      </c>
      <c r="K216" s="857">
        <v>46.5</v>
      </c>
      <c r="M216" s="865">
        <v>218</v>
      </c>
      <c r="N216" s="467">
        <v>-11</v>
      </c>
      <c r="O216" s="464">
        <f t="shared" si="18"/>
        <v>7.9</v>
      </c>
    </row>
    <row r="217" spans="1:15" ht="12.75" customHeight="1" x14ac:dyDescent="0.25">
      <c r="A217" s="630">
        <v>4</v>
      </c>
      <c r="B217" s="86">
        <v>4</v>
      </c>
      <c r="C217" s="86">
        <v>11</v>
      </c>
      <c r="D217" s="856">
        <v>0.13</v>
      </c>
      <c r="E217" s="857">
        <v>74</v>
      </c>
      <c r="G217" s="630">
        <v>4</v>
      </c>
      <c r="H217" s="86">
        <v>4</v>
      </c>
      <c r="I217" s="86">
        <v>8</v>
      </c>
      <c r="J217" s="856">
        <v>0.13</v>
      </c>
      <c r="K217" s="857">
        <v>62</v>
      </c>
      <c r="M217" s="865">
        <v>219</v>
      </c>
      <c r="N217" s="467">
        <v>-11</v>
      </c>
      <c r="O217" s="464">
        <f t="shared" si="18"/>
        <v>7.95</v>
      </c>
    </row>
    <row r="218" spans="1:15" ht="12.75" customHeight="1" thickBot="1" x14ac:dyDescent="0.3">
      <c r="A218" s="630">
        <v>5</v>
      </c>
      <c r="B218" s="86">
        <v>5</v>
      </c>
      <c r="C218" s="86">
        <v>11</v>
      </c>
      <c r="D218" s="856">
        <v>0.13</v>
      </c>
      <c r="E218" s="857">
        <v>92.5</v>
      </c>
      <c r="G218" s="630">
        <v>5</v>
      </c>
      <c r="H218" s="86">
        <v>6</v>
      </c>
      <c r="I218" s="86">
        <v>6</v>
      </c>
      <c r="J218" s="856">
        <v>0.13</v>
      </c>
      <c r="K218" s="857">
        <v>81</v>
      </c>
      <c r="M218" s="12">
        <v>220</v>
      </c>
      <c r="N218" s="466">
        <v>-11</v>
      </c>
      <c r="O218" s="465">
        <f t="shared" si="18"/>
        <v>8</v>
      </c>
    </row>
    <row r="219" spans="1:15" ht="12.75" customHeight="1" x14ac:dyDescent="0.25">
      <c r="A219" s="630">
        <v>6</v>
      </c>
      <c r="B219" s="86">
        <v>6</v>
      </c>
      <c r="C219" s="86">
        <v>11</v>
      </c>
      <c r="D219" s="856">
        <v>0.13</v>
      </c>
      <c r="E219" s="857">
        <v>111</v>
      </c>
      <c r="G219" s="630">
        <v>6</v>
      </c>
      <c r="H219" s="86">
        <v>8</v>
      </c>
      <c r="I219" s="86">
        <v>6</v>
      </c>
      <c r="J219" s="856">
        <v>0.13</v>
      </c>
      <c r="K219" s="857">
        <v>108</v>
      </c>
      <c r="M219" s="534">
        <v>221</v>
      </c>
      <c r="N219" s="535">
        <v>-12</v>
      </c>
      <c r="O219" s="470">
        <f t="shared" si="18"/>
        <v>8.0500000000000007</v>
      </c>
    </row>
    <row r="220" spans="1:15" ht="12.75" customHeight="1" x14ac:dyDescent="0.25">
      <c r="A220" s="630">
        <v>7</v>
      </c>
      <c r="B220" s="86">
        <v>8</v>
      </c>
      <c r="C220" s="86">
        <v>8</v>
      </c>
      <c r="D220" s="856">
        <v>0.13</v>
      </c>
      <c r="E220" s="857">
        <v>124</v>
      </c>
      <c r="G220" s="630">
        <v>7</v>
      </c>
      <c r="H220" s="86">
        <v>99</v>
      </c>
      <c r="I220" s="86">
        <v>99</v>
      </c>
      <c r="J220" s="856">
        <v>0.13</v>
      </c>
      <c r="K220" s="857">
        <v>999</v>
      </c>
      <c r="M220" s="865">
        <v>222</v>
      </c>
      <c r="N220" s="467">
        <v>-12</v>
      </c>
      <c r="O220" s="464">
        <f t="shared" si="18"/>
        <v>8.1</v>
      </c>
    </row>
    <row r="221" spans="1:15" ht="12.75" customHeight="1" x14ac:dyDescent="0.25">
      <c r="A221" s="630">
        <v>8</v>
      </c>
      <c r="B221" s="86">
        <v>10</v>
      </c>
      <c r="C221" s="86">
        <v>7</v>
      </c>
      <c r="D221" s="856">
        <v>0.13</v>
      </c>
      <c r="E221" s="857">
        <v>145</v>
      </c>
      <c r="G221" s="630">
        <v>8</v>
      </c>
      <c r="H221" s="86">
        <v>10</v>
      </c>
      <c r="I221" s="86">
        <v>7</v>
      </c>
      <c r="J221" s="856">
        <v>0.13</v>
      </c>
      <c r="K221" s="857">
        <v>145</v>
      </c>
      <c r="M221" s="865">
        <v>223</v>
      </c>
      <c r="N221" s="467">
        <v>-12</v>
      </c>
      <c r="O221" s="464">
        <f t="shared" si="18"/>
        <v>8.15</v>
      </c>
    </row>
    <row r="222" spans="1:15" ht="12.75" customHeight="1" x14ac:dyDescent="0.25">
      <c r="A222" s="630">
        <v>9</v>
      </c>
      <c r="B222" s="86">
        <v>11</v>
      </c>
      <c r="C222" s="86">
        <v>8</v>
      </c>
      <c r="D222" s="856">
        <v>0.13</v>
      </c>
      <c r="E222" s="857">
        <v>170.5</v>
      </c>
      <c r="G222" s="630">
        <v>9</v>
      </c>
      <c r="H222" s="86">
        <v>99</v>
      </c>
      <c r="I222" s="86">
        <v>99</v>
      </c>
      <c r="J222" s="856">
        <v>0.13</v>
      </c>
      <c r="K222" s="857">
        <v>999</v>
      </c>
      <c r="M222" s="865">
        <v>224</v>
      </c>
      <c r="N222" s="467">
        <v>-12</v>
      </c>
      <c r="O222" s="464">
        <f t="shared" si="18"/>
        <v>8.1999999999999993</v>
      </c>
    </row>
    <row r="223" spans="1:15" ht="12.75" customHeight="1" x14ac:dyDescent="0.25">
      <c r="A223" s="630">
        <v>10</v>
      </c>
      <c r="B223" s="86">
        <v>12</v>
      </c>
      <c r="C223" s="86">
        <v>8</v>
      </c>
      <c r="D223" s="856">
        <v>0.13</v>
      </c>
      <c r="E223" s="857">
        <v>186</v>
      </c>
      <c r="G223" s="630">
        <v>10</v>
      </c>
      <c r="H223" s="86">
        <v>99</v>
      </c>
      <c r="I223" s="86">
        <v>99</v>
      </c>
      <c r="J223" s="856">
        <v>0.13</v>
      </c>
      <c r="K223" s="857">
        <v>999</v>
      </c>
      <c r="M223" s="865">
        <v>225</v>
      </c>
      <c r="N223" s="467">
        <v>-12</v>
      </c>
      <c r="O223" s="464">
        <f t="shared" si="18"/>
        <v>8.25</v>
      </c>
    </row>
    <row r="224" spans="1:15" ht="12.75" customHeight="1" x14ac:dyDescent="0.25">
      <c r="A224" s="630">
        <v>11</v>
      </c>
      <c r="B224" s="86">
        <v>13</v>
      </c>
      <c r="C224" s="86">
        <v>8</v>
      </c>
      <c r="D224" s="856">
        <v>0.13</v>
      </c>
      <c r="E224" s="857">
        <v>201.5</v>
      </c>
      <c r="G224" s="630">
        <v>11</v>
      </c>
      <c r="H224" s="86">
        <v>99</v>
      </c>
      <c r="I224" s="86">
        <v>99</v>
      </c>
      <c r="J224" s="856">
        <v>0.13</v>
      </c>
      <c r="K224" s="857">
        <v>999</v>
      </c>
      <c r="M224" s="865">
        <v>226</v>
      </c>
      <c r="N224" s="467">
        <v>-12</v>
      </c>
      <c r="O224" s="464">
        <f t="shared" si="18"/>
        <v>8.3000000000000007</v>
      </c>
    </row>
    <row r="225" spans="1:15" ht="12.75" customHeight="1" x14ac:dyDescent="0.25">
      <c r="A225" s="630">
        <v>12</v>
      </c>
      <c r="B225" s="86">
        <v>13</v>
      </c>
      <c r="C225" s="86">
        <v>13</v>
      </c>
      <c r="D225" s="856">
        <v>0.13</v>
      </c>
      <c r="E225" s="857">
        <v>266.5</v>
      </c>
      <c r="G225" s="630">
        <v>12</v>
      </c>
      <c r="H225" s="86">
        <v>99</v>
      </c>
      <c r="I225" s="86">
        <v>99</v>
      </c>
      <c r="J225" s="856">
        <v>0.13</v>
      </c>
      <c r="K225" s="857">
        <v>999</v>
      </c>
      <c r="M225" s="865">
        <v>227</v>
      </c>
      <c r="N225" s="467">
        <v>-12</v>
      </c>
      <c r="O225" s="464">
        <f t="shared" si="18"/>
        <v>8.35</v>
      </c>
    </row>
    <row r="226" spans="1:15" ht="12.75" customHeight="1" x14ac:dyDescent="0.25">
      <c r="A226" s="630">
        <v>13</v>
      </c>
      <c r="B226" s="86">
        <v>99</v>
      </c>
      <c r="C226" s="86">
        <v>99</v>
      </c>
      <c r="D226" s="856">
        <v>0.13</v>
      </c>
      <c r="E226" s="857">
        <v>999</v>
      </c>
      <c r="G226" s="630">
        <v>13</v>
      </c>
      <c r="H226" s="86">
        <v>99</v>
      </c>
      <c r="I226" s="86">
        <v>99</v>
      </c>
      <c r="J226" s="856">
        <v>0.13</v>
      </c>
      <c r="K226" s="857">
        <v>999</v>
      </c>
      <c r="M226" s="865">
        <v>228</v>
      </c>
      <c r="N226" s="467">
        <v>-12</v>
      </c>
      <c r="O226" s="464">
        <f t="shared" si="18"/>
        <v>8.4</v>
      </c>
    </row>
    <row r="227" spans="1:15" ht="12.75" customHeight="1" x14ac:dyDescent="0.25">
      <c r="A227" s="630">
        <v>14</v>
      </c>
      <c r="B227" s="86">
        <v>99</v>
      </c>
      <c r="C227" s="86">
        <v>99</v>
      </c>
      <c r="D227" s="856">
        <v>0.13</v>
      </c>
      <c r="E227" s="857">
        <v>999</v>
      </c>
      <c r="G227" s="630">
        <v>14</v>
      </c>
      <c r="H227" s="86">
        <v>99</v>
      </c>
      <c r="I227" s="86">
        <v>99</v>
      </c>
      <c r="J227" s="856">
        <v>0.13</v>
      </c>
      <c r="K227" s="857">
        <v>999</v>
      </c>
      <c r="M227" s="865">
        <v>229</v>
      </c>
      <c r="N227" s="467">
        <v>-12</v>
      </c>
      <c r="O227" s="464">
        <f t="shared" si="18"/>
        <v>8.4499999999999993</v>
      </c>
    </row>
    <row r="228" spans="1:15" ht="12.75" customHeight="1" x14ac:dyDescent="0.25">
      <c r="A228" s="630">
        <v>15</v>
      </c>
      <c r="B228" s="86">
        <v>99</v>
      </c>
      <c r="C228" s="86">
        <v>99</v>
      </c>
      <c r="D228" s="856">
        <v>0.13</v>
      </c>
      <c r="E228" s="857">
        <v>999</v>
      </c>
      <c r="G228" s="630">
        <v>15</v>
      </c>
      <c r="H228" s="86">
        <v>99</v>
      </c>
      <c r="I228" s="86">
        <v>99</v>
      </c>
      <c r="J228" s="856">
        <v>0.13</v>
      </c>
      <c r="K228" s="857">
        <v>999</v>
      </c>
      <c r="M228" s="865">
        <v>230</v>
      </c>
      <c r="N228" s="467">
        <v>-12</v>
      </c>
      <c r="O228" s="464">
        <f t="shared" ref="O228:O258" si="19">(M228-60)/20</f>
        <v>8.5</v>
      </c>
    </row>
    <row r="229" spans="1:15" ht="12.75" customHeight="1" x14ac:dyDescent="0.25">
      <c r="A229" s="630">
        <v>16</v>
      </c>
      <c r="B229" s="86">
        <v>99</v>
      </c>
      <c r="C229" s="86">
        <v>99</v>
      </c>
      <c r="D229" s="856">
        <v>0.13</v>
      </c>
      <c r="E229" s="857">
        <v>999</v>
      </c>
      <c r="G229" s="630">
        <v>16</v>
      </c>
      <c r="H229" s="86">
        <v>99</v>
      </c>
      <c r="I229" s="86">
        <v>99</v>
      </c>
      <c r="J229" s="856">
        <v>0.13</v>
      </c>
      <c r="K229" s="857">
        <v>999</v>
      </c>
      <c r="M229" s="865">
        <v>231</v>
      </c>
      <c r="N229" s="467">
        <v>-12</v>
      </c>
      <c r="O229" s="464">
        <f t="shared" si="19"/>
        <v>8.5500000000000007</v>
      </c>
    </row>
    <row r="230" spans="1:15" ht="12.75" customHeight="1" x14ac:dyDescent="0.25">
      <c r="A230" s="630">
        <v>17</v>
      </c>
      <c r="B230" s="86">
        <v>99</v>
      </c>
      <c r="C230" s="86">
        <v>99</v>
      </c>
      <c r="D230" s="856">
        <v>0.13</v>
      </c>
      <c r="E230" s="857">
        <v>999</v>
      </c>
      <c r="G230" s="630">
        <v>17</v>
      </c>
      <c r="H230" s="86">
        <v>99</v>
      </c>
      <c r="I230" s="86">
        <v>99</v>
      </c>
      <c r="J230" s="856">
        <v>0.13</v>
      </c>
      <c r="K230" s="857">
        <v>999</v>
      </c>
      <c r="M230" s="865">
        <v>232</v>
      </c>
      <c r="N230" s="467">
        <v>-12</v>
      </c>
      <c r="O230" s="464">
        <f t="shared" si="19"/>
        <v>8.6</v>
      </c>
    </row>
    <row r="231" spans="1:15" ht="12.75" customHeight="1" x14ac:dyDescent="0.25">
      <c r="A231" s="630">
        <v>18</v>
      </c>
      <c r="B231" s="86">
        <v>99</v>
      </c>
      <c r="C231" s="86">
        <v>99</v>
      </c>
      <c r="D231" s="856">
        <v>0.13</v>
      </c>
      <c r="E231" s="857">
        <v>999</v>
      </c>
      <c r="G231" s="630">
        <v>18</v>
      </c>
      <c r="H231" s="86">
        <v>99</v>
      </c>
      <c r="I231" s="86">
        <v>99</v>
      </c>
      <c r="J231" s="856">
        <v>0.13</v>
      </c>
      <c r="K231" s="857">
        <v>999</v>
      </c>
      <c r="M231" s="865">
        <v>233</v>
      </c>
      <c r="N231" s="467">
        <v>-12</v>
      </c>
      <c r="O231" s="464">
        <f t="shared" si="19"/>
        <v>8.65</v>
      </c>
    </row>
    <row r="232" spans="1:15" ht="12.75" customHeight="1" x14ac:dyDescent="0.25">
      <c r="A232" s="630">
        <v>19</v>
      </c>
      <c r="B232" s="86">
        <v>99</v>
      </c>
      <c r="C232" s="86">
        <v>99</v>
      </c>
      <c r="D232" s="856">
        <v>0.13</v>
      </c>
      <c r="E232" s="857">
        <v>999</v>
      </c>
      <c r="G232" s="630">
        <v>19</v>
      </c>
      <c r="H232" s="86">
        <v>99</v>
      </c>
      <c r="I232" s="86">
        <v>99</v>
      </c>
      <c r="J232" s="856">
        <v>0.13</v>
      </c>
      <c r="K232" s="857">
        <v>999</v>
      </c>
      <c r="M232" s="865">
        <v>234</v>
      </c>
      <c r="N232" s="467">
        <v>-12</v>
      </c>
      <c r="O232" s="464">
        <f t="shared" si="19"/>
        <v>8.6999999999999993</v>
      </c>
    </row>
    <row r="233" spans="1:15" ht="12.75" customHeight="1" thickBot="1" x14ac:dyDescent="0.3">
      <c r="A233" s="858">
        <v>20</v>
      </c>
      <c r="B233" s="859">
        <v>99</v>
      </c>
      <c r="C233" s="859">
        <v>99</v>
      </c>
      <c r="D233" s="860">
        <v>0.13</v>
      </c>
      <c r="E233" s="861">
        <v>999</v>
      </c>
      <c r="G233" s="858">
        <v>20</v>
      </c>
      <c r="H233" s="859">
        <v>99</v>
      </c>
      <c r="I233" s="859">
        <v>99</v>
      </c>
      <c r="J233" s="860">
        <v>0.13</v>
      </c>
      <c r="K233" s="861">
        <v>999</v>
      </c>
      <c r="M233" s="865">
        <v>235</v>
      </c>
      <c r="N233" s="467">
        <v>-12</v>
      </c>
      <c r="O233" s="464">
        <f t="shared" si="19"/>
        <v>8.75</v>
      </c>
    </row>
    <row r="234" spans="1:15" ht="12.75" customHeight="1" x14ac:dyDescent="0.25">
      <c r="A234" s="852">
        <v>1</v>
      </c>
      <c r="B234" s="853">
        <v>99</v>
      </c>
      <c r="C234" s="853">
        <v>99</v>
      </c>
      <c r="D234" s="854">
        <v>0.14000000000000001</v>
      </c>
      <c r="E234" s="855">
        <v>999</v>
      </c>
      <c r="G234" s="852">
        <v>1</v>
      </c>
      <c r="H234" s="853">
        <v>1</v>
      </c>
      <c r="I234" s="853">
        <v>8</v>
      </c>
      <c r="J234" s="854">
        <v>0.14000000000000001</v>
      </c>
      <c r="K234" s="855">
        <v>15.5</v>
      </c>
      <c r="M234" s="865">
        <v>236</v>
      </c>
      <c r="N234" s="467">
        <v>-12</v>
      </c>
      <c r="O234" s="464">
        <f t="shared" si="19"/>
        <v>8.8000000000000007</v>
      </c>
    </row>
    <row r="235" spans="1:15" ht="12.75" customHeight="1" x14ac:dyDescent="0.25">
      <c r="A235" s="630">
        <v>2</v>
      </c>
      <c r="B235" s="86">
        <v>99</v>
      </c>
      <c r="C235" s="86">
        <v>99</v>
      </c>
      <c r="D235" s="856">
        <v>0.14000000000000001</v>
      </c>
      <c r="E235" s="857">
        <v>999</v>
      </c>
      <c r="G235" s="630">
        <v>2</v>
      </c>
      <c r="H235" s="86">
        <v>99</v>
      </c>
      <c r="I235" s="86">
        <v>99</v>
      </c>
      <c r="J235" s="856">
        <v>0.14000000000000001</v>
      </c>
      <c r="K235" s="857">
        <v>999</v>
      </c>
      <c r="M235" s="865">
        <v>237</v>
      </c>
      <c r="N235" s="467">
        <v>-12</v>
      </c>
      <c r="O235" s="464">
        <f t="shared" si="19"/>
        <v>8.85</v>
      </c>
    </row>
    <row r="236" spans="1:15" ht="12.75" customHeight="1" x14ac:dyDescent="0.25">
      <c r="A236" s="630">
        <v>3</v>
      </c>
      <c r="B236" s="86">
        <v>3</v>
      </c>
      <c r="C236" s="86">
        <v>10</v>
      </c>
      <c r="D236" s="856">
        <v>0.14000000000000001</v>
      </c>
      <c r="E236" s="857">
        <v>52.5</v>
      </c>
      <c r="G236" s="630">
        <v>3</v>
      </c>
      <c r="H236" s="86">
        <v>99</v>
      </c>
      <c r="I236" s="86">
        <v>99</v>
      </c>
      <c r="J236" s="856">
        <v>0.14000000000000001</v>
      </c>
      <c r="K236" s="857">
        <v>999</v>
      </c>
      <c r="M236" s="865">
        <v>238</v>
      </c>
      <c r="N236" s="467">
        <v>-12</v>
      </c>
      <c r="O236" s="464">
        <f t="shared" si="19"/>
        <v>8.9</v>
      </c>
    </row>
    <row r="237" spans="1:15" ht="12.75" customHeight="1" x14ac:dyDescent="0.25">
      <c r="A237" s="630">
        <v>4</v>
      </c>
      <c r="B237" s="86">
        <v>99</v>
      </c>
      <c r="C237" s="86">
        <v>99</v>
      </c>
      <c r="D237" s="856">
        <v>0.14000000000000001</v>
      </c>
      <c r="E237" s="857">
        <v>999</v>
      </c>
      <c r="G237" s="630">
        <v>4</v>
      </c>
      <c r="H237" s="86">
        <v>5</v>
      </c>
      <c r="I237" s="86">
        <v>9</v>
      </c>
      <c r="J237" s="856">
        <v>0.14000000000000001</v>
      </c>
      <c r="K237" s="857">
        <v>82.5</v>
      </c>
      <c r="M237" s="865">
        <v>239</v>
      </c>
      <c r="N237" s="467">
        <v>-12</v>
      </c>
      <c r="O237" s="464">
        <f t="shared" si="19"/>
        <v>8.9499999999999993</v>
      </c>
    </row>
    <row r="238" spans="1:15" ht="12.75" customHeight="1" thickBot="1" x14ac:dyDescent="0.3">
      <c r="A238" s="630">
        <v>5</v>
      </c>
      <c r="B238" s="86">
        <v>6</v>
      </c>
      <c r="C238" s="86">
        <v>7</v>
      </c>
      <c r="D238" s="856">
        <v>0.14000000000000001</v>
      </c>
      <c r="E238" s="857">
        <v>87</v>
      </c>
      <c r="G238" s="630">
        <v>5</v>
      </c>
      <c r="H238" s="86">
        <v>6</v>
      </c>
      <c r="I238" s="86">
        <v>6</v>
      </c>
      <c r="J238" s="856">
        <v>0.14000000000000001</v>
      </c>
      <c r="K238" s="857">
        <v>81</v>
      </c>
      <c r="M238" s="12">
        <v>240</v>
      </c>
      <c r="N238" s="466">
        <v>-12</v>
      </c>
      <c r="O238" s="465">
        <f t="shared" si="19"/>
        <v>9</v>
      </c>
    </row>
    <row r="239" spans="1:15" ht="12.75" customHeight="1" x14ac:dyDescent="0.25">
      <c r="A239" s="630">
        <v>6</v>
      </c>
      <c r="B239" s="86">
        <v>7</v>
      </c>
      <c r="C239" s="86">
        <v>8</v>
      </c>
      <c r="D239" s="856">
        <v>0.14000000000000001</v>
      </c>
      <c r="E239" s="857">
        <v>108.5</v>
      </c>
      <c r="G239" s="630">
        <v>6</v>
      </c>
      <c r="H239" s="86">
        <v>7</v>
      </c>
      <c r="I239" s="86">
        <v>7</v>
      </c>
      <c r="J239" s="856">
        <v>0.14000000000000001</v>
      </c>
      <c r="K239" s="857">
        <v>101.5</v>
      </c>
      <c r="M239" s="534">
        <v>241</v>
      </c>
      <c r="N239" s="535">
        <v>-13</v>
      </c>
      <c r="O239" s="470">
        <f t="shared" si="19"/>
        <v>9.0500000000000007</v>
      </c>
    </row>
    <row r="240" spans="1:15" ht="12.75" customHeight="1" x14ac:dyDescent="0.25">
      <c r="A240" s="630">
        <v>7</v>
      </c>
      <c r="B240" s="86">
        <v>8</v>
      </c>
      <c r="C240" s="86">
        <v>8</v>
      </c>
      <c r="D240" s="856">
        <v>0.14000000000000001</v>
      </c>
      <c r="E240" s="857">
        <v>124</v>
      </c>
      <c r="G240" s="630">
        <v>7</v>
      </c>
      <c r="H240" s="86">
        <v>8</v>
      </c>
      <c r="I240" s="86">
        <v>7</v>
      </c>
      <c r="J240" s="856">
        <v>0.14000000000000001</v>
      </c>
      <c r="K240" s="857">
        <v>116</v>
      </c>
      <c r="M240" s="865">
        <v>242</v>
      </c>
      <c r="N240" s="467">
        <v>-13</v>
      </c>
      <c r="O240" s="464">
        <f t="shared" si="19"/>
        <v>9.1</v>
      </c>
    </row>
    <row r="241" spans="1:15" ht="12.75" customHeight="1" x14ac:dyDescent="0.25">
      <c r="A241" s="630">
        <v>8</v>
      </c>
      <c r="B241" s="86">
        <v>9</v>
      </c>
      <c r="C241" s="86">
        <v>9</v>
      </c>
      <c r="D241" s="856">
        <v>0.14000000000000001</v>
      </c>
      <c r="E241" s="857">
        <v>148.5</v>
      </c>
      <c r="G241" s="630">
        <v>8</v>
      </c>
      <c r="H241" s="86">
        <v>10</v>
      </c>
      <c r="I241" s="86">
        <v>6</v>
      </c>
      <c r="J241" s="856">
        <v>0.14000000000000001</v>
      </c>
      <c r="K241" s="857">
        <v>135</v>
      </c>
      <c r="M241" s="865">
        <v>243</v>
      </c>
      <c r="N241" s="467">
        <v>-13</v>
      </c>
      <c r="O241" s="464">
        <f t="shared" si="19"/>
        <v>9.15</v>
      </c>
    </row>
    <row r="242" spans="1:15" ht="12.75" customHeight="1" x14ac:dyDescent="0.25">
      <c r="A242" s="630">
        <v>9</v>
      </c>
      <c r="B242" s="86">
        <v>10</v>
      </c>
      <c r="C242" s="86">
        <v>9</v>
      </c>
      <c r="D242" s="856">
        <v>0.14000000000000001</v>
      </c>
      <c r="E242" s="857">
        <v>165</v>
      </c>
      <c r="G242" s="630">
        <v>9</v>
      </c>
      <c r="H242" s="86">
        <v>9</v>
      </c>
      <c r="I242" s="86">
        <v>12</v>
      </c>
      <c r="J242" s="856">
        <v>0.14000000000000001</v>
      </c>
      <c r="K242" s="857">
        <v>175.5</v>
      </c>
      <c r="M242" s="865">
        <v>244</v>
      </c>
      <c r="N242" s="467">
        <v>-13</v>
      </c>
      <c r="O242" s="464">
        <f t="shared" si="19"/>
        <v>9.1999999999999993</v>
      </c>
    </row>
    <row r="243" spans="1:15" ht="12.75" customHeight="1" x14ac:dyDescent="0.25">
      <c r="A243" s="630">
        <v>10</v>
      </c>
      <c r="B243" s="86">
        <v>11</v>
      </c>
      <c r="C243" s="86">
        <v>10</v>
      </c>
      <c r="D243" s="856">
        <v>0.14000000000000001</v>
      </c>
      <c r="E243" s="857">
        <v>192.5</v>
      </c>
      <c r="G243" s="630">
        <v>10</v>
      </c>
      <c r="H243" s="86">
        <v>99</v>
      </c>
      <c r="I243" s="86">
        <v>99</v>
      </c>
      <c r="J243" s="856">
        <v>0.14000000000000001</v>
      </c>
      <c r="K243" s="857">
        <v>999</v>
      </c>
      <c r="M243" s="865">
        <v>245</v>
      </c>
      <c r="N243" s="467">
        <v>-13</v>
      </c>
      <c r="O243" s="464">
        <f t="shared" si="19"/>
        <v>9.25</v>
      </c>
    </row>
    <row r="244" spans="1:15" ht="12.75" customHeight="1" x14ac:dyDescent="0.25">
      <c r="A244" s="630">
        <v>11</v>
      </c>
      <c r="B244" s="86">
        <v>99</v>
      </c>
      <c r="C244" s="86">
        <v>99</v>
      </c>
      <c r="D244" s="856">
        <v>0.14000000000000001</v>
      </c>
      <c r="E244" s="857">
        <v>999</v>
      </c>
      <c r="G244" s="630">
        <v>11</v>
      </c>
      <c r="H244" s="86">
        <v>99</v>
      </c>
      <c r="I244" s="86">
        <v>99</v>
      </c>
      <c r="J244" s="856">
        <v>0.14000000000000001</v>
      </c>
      <c r="K244" s="857">
        <v>999</v>
      </c>
      <c r="M244" s="865">
        <v>246</v>
      </c>
      <c r="N244" s="467">
        <v>-13</v>
      </c>
      <c r="O244" s="464">
        <f t="shared" si="19"/>
        <v>9.3000000000000007</v>
      </c>
    </row>
    <row r="245" spans="1:15" ht="12.75" customHeight="1" x14ac:dyDescent="0.25">
      <c r="A245" s="630">
        <v>12</v>
      </c>
      <c r="B245" s="86">
        <v>99</v>
      </c>
      <c r="C245" s="86">
        <v>99</v>
      </c>
      <c r="D245" s="856">
        <v>0.14000000000000001</v>
      </c>
      <c r="E245" s="857">
        <v>999</v>
      </c>
      <c r="G245" s="630">
        <v>12</v>
      </c>
      <c r="H245" s="86">
        <v>99</v>
      </c>
      <c r="I245" s="86">
        <v>99</v>
      </c>
      <c r="J245" s="856">
        <v>0.14000000000000001</v>
      </c>
      <c r="K245" s="857">
        <v>999</v>
      </c>
      <c r="M245" s="865">
        <v>247</v>
      </c>
      <c r="N245" s="467">
        <v>-13</v>
      </c>
      <c r="O245" s="464">
        <f t="shared" si="19"/>
        <v>9.35</v>
      </c>
    </row>
    <row r="246" spans="1:15" ht="12.75" customHeight="1" x14ac:dyDescent="0.25">
      <c r="A246" s="630">
        <v>13</v>
      </c>
      <c r="B246" s="86">
        <v>99</v>
      </c>
      <c r="C246" s="86">
        <v>99</v>
      </c>
      <c r="D246" s="856">
        <v>0.14000000000000001</v>
      </c>
      <c r="E246" s="857">
        <v>999</v>
      </c>
      <c r="G246" s="630">
        <v>13</v>
      </c>
      <c r="H246" s="86">
        <v>99</v>
      </c>
      <c r="I246" s="86">
        <v>99</v>
      </c>
      <c r="J246" s="856">
        <v>0.14000000000000001</v>
      </c>
      <c r="K246" s="857">
        <v>999</v>
      </c>
      <c r="M246" s="865">
        <v>248</v>
      </c>
      <c r="N246" s="467">
        <v>-13</v>
      </c>
      <c r="O246" s="464">
        <f t="shared" si="19"/>
        <v>9.4</v>
      </c>
    </row>
    <row r="247" spans="1:15" ht="12.75" customHeight="1" x14ac:dyDescent="0.25">
      <c r="A247" s="630">
        <v>14</v>
      </c>
      <c r="B247" s="86">
        <v>99</v>
      </c>
      <c r="C247" s="86">
        <v>99</v>
      </c>
      <c r="D247" s="856">
        <v>0.14000000000000001</v>
      </c>
      <c r="E247" s="857">
        <v>999</v>
      </c>
      <c r="G247" s="630">
        <v>14</v>
      </c>
      <c r="H247" s="86">
        <v>99</v>
      </c>
      <c r="I247" s="86">
        <v>99</v>
      </c>
      <c r="J247" s="856">
        <v>0.14000000000000001</v>
      </c>
      <c r="K247" s="857">
        <v>999</v>
      </c>
      <c r="M247" s="865">
        <v>249</v>
      </c>
      <c r="N247" s="467">
        <v>-13</v>
      </c>
      <c r="O247" s="464">
        <f t="shared" si="19"/>
        <v>9.4499999999999993</v>
      </c>
    </row>
    <row r="248" spans="1:15" ht="12.75" customHeight="1" x14ac:dyDescent="0.25">
      <c r="A248" s="630">
        <v>15</v>
      </c>
      <c r="B248" s="86">
        <v>99</v>
      </c>
      <c r="C248" s="86">
        <v>99</v>
      </c>
      <c r="D248" s="856">
        <v>0.14000000000000001</v>
      </c>
      <c r="E248" s="857">
        <v>999</v>
      </c>
      <c r="G248" s="630">
        <v>15</v>
      </c>
      <c r="H248" s="86">
        <v>99</v>
      </c>
      <c r="I248" s="86">
        <v>99</v>
      </c>
      <c r="J248" s="856">
        <v>0.14000000000000001</v>
      </c>
      <c r="K248" s="857">
        <v>999</v>
      </c>
      <c r="M248" s="865">
        <v>250</v>
      </c>
      <c r="N248" s="467">
        <v>-13</v>
      </c>
      <c r="O248" s="464">
        <f t="shared" si="19"/>
        <v>9.5</v>
      </c>
    </row>
    <row r="249" spans="1:15" ht="12.75" customHeight="1" x14ac:dyDescent="0.25">
      <c r="A249" s="630">
        <v>16</v>
      </c>
      <c r="B249" s="86">
        <v>99</v>
      </c>
      <c r="C249" s="86">
        <v>99</v>
      </c>
      <c r="D249" s="856">
        <v>0.14000000000000001</v>
      </c>
      <c r="E249" s="857">
        <v>999</v>
      </c>
      <c r="G249" s="630">
        <v>16</v>
      </c>
      <c r="H249" s="86">
        <v>99</v>
      </c>
      <c r="I249" s="86">
        <v>99</v>
      </c>
      <c r="J249" s="856">
        <v>0.14000000000000001</v>
      </c>
      <c r="K249" s="857">
        <v>999</v>
      </c>
      <c r="M249" s="865">
        <v>251</v>
      </c>
      <c r="N249" s="467">
        <v>-13</v>
      </c>
      <c r="O249" s="464">
        <f t="shared" si="19"/>
        <v>9.5500000000000007</v>
      </c>
    </row>
    <row r="250" spans="1:15" ht="12.75" customHeight="1" x14ac:dyDescent="0.25">
      <c r="A250" s="630">
        <v>17</v>
      </c>
      <c r="B250" s="86">
        <v>99</v>
      </c>
      <c r="C250" s="86">
        <v>99</v>
      </c>
      <c r="D250" s="856">
        <v>0.14000000000000001</v>
      </c>
      <c r="E250" s="857">
        <v>999</v>
      </c>
      <c r="G250" s="630">
        <v>17</v>
      </c>
      <c r="H250" s="86">
        <v>99</v>
      </c>
      <c r="I250" s="86">
        <v>99</v>
      </c>
      <c r="J250" s="856">
        <v>0.14000000000000001</v>
      </c>
      <c r="K250" s="857">
        <v>999</v>
      </c>
      <c r="M250" s="865">
        <v>252</v>
      </c>
      <c r="N250" s="467">
        <v>-13</v>
      </c>
      <c r="O250" s="464">
        <f t="shared" si="19"/>
        <v>9.6</v>
      </c>
    </row>
    <row r="251" spans="1:15" ht="12.75" customHeight="1" x14ac:dyDescent="0.25">
      <c r="A251" s="630">
        <v>18</v>
      </c>
      <c r="B251" s="86">
        <v>99</v>
      </c>
      <c r="C251" s="86">
        <v>99</v>
      </c>
      <c r="D251" s="856">
        <v>0.14000000000000001</v>
      </c>
      <c r="E251" s="857">
        <v>999</v>
      </c>
      <c r="G251" s="630">
        <v>18</v>
      </c>
      <c r="H251" s="86">
        <v>99</v>
      </c>
      <c r="I251" s="86">
        <v>99</v>
      </c>
      <c r="J251" s="856">
        <v>0.14000000000000001</v>
      </c>
      <c r="K251" s="857">
        <v>999</v>
      </c>
      <c r="M251" s="865">
        <v>253</v>
      </c>
      <c r="N251" s="467">
        <v>-13</v>
      </c>
      <c r="O251" s="464">
        <f t="shared" si="19"/>
        <v>9.65</v>
      </c>
    </row>
    <row r="252" spans="1:15" ht="12.75" customHeight="1" x14ac:dyDescent="0.25">
      <c r="A252" s="630">
        <v>19</v>
      </c>
      <c r="B252" s="86">
        <v>99</v>
      </c>
      <c r="C252" s="86">
        <v>99</v>
      </c>
      <c r="D252" s="856">
        <v>0.14000000000000001</v>
      </c>
      <c r="E252" s="857">
        <v>999</v>
      </c>
      <c r="G252" s="630">
        <v>19</v>
      </c>
      <c r="H252" s="86">
        <v>99</v>
      </c>
      <c r="I252" s="86">
        <v>99</v>
      </c>
      <c r="J252" s="856">
        <v>0.14000000000000001</v>
      </c>
      <c r="K252" s="857">
        <v>999</v>
      </c>
      <c r="M252" s="865">
        <v>254</v>
      </c>
      <c r="N252" s="467">
        <v>-13</v>
      </c>
      <c r="O252" s="464">
        <f t="shared" si="19"/>
        <v>9.6999999999999993</v>
      </c>
    </row>
    <row r="253" spans="1:15" ht="12.75" customHeight="1" thickBot="1" x14ac:dyDescent="0.3">
      <c r="A253" s="858">
        <v>20</v>
      </c>
      <c r="B253" s="859">
        <v>99</v>
      </c>
      <c r="C253" s="859">
        <v>99</v>
      </c>
      <c r="D253" s="860">
        <v>0.14000000000000001</v>
      </c>
      <c r="E253" s="861">
        <v>999</v>
      </c>
      <c r="G253" s="858">
        <v>20</v>
      </c>
      <c r="H253" s="859">
        <v>99</v>
      </c>
      <c r="I253" s="859">
        <v>99</v>
      </c>
      <c r="J253" s="860">
        <v>0.14000000000000001</v>
      </c>
      <c r="K253" s="861">
        <v>999</v>
      </c>
      <c r="M253" s="865">
        <v>255</v>
      </c>
      <c r="N253" s="467">
        <v>-13</v>
      </c>
      <c r="O253" s="464">
        <f t="shared" si="19"/>
        <v>9.75</v>
      </c>
    </row>
    <row r="254" spans="1:15" ht="12.75" customHeight="1" x14ac:dyDescent="0.25">
      <c r="A254" s="852">
        <v>1</v>
      </c>
      <c r="B254" s="853">
        <v>99</v>
      </c>
      <c r="C254" s="853">
        <v>99</v>
      </c>
      <c r="D254" s="854">
        <v>0.15</v>
      </c>
      <c r="E254" s="855">
        <v>999</v>
      </c>
      <c r="G254" s="852">
        <v>1</v>
      </c>
      <c r="H254" s="853">
        <v>1</v>
      </c>
      <c r="I254" s="853">
        <v>8</v>
      </c>
      <c r="J254" s="854">
        <v>0.15</v>
      </c>
      <c r="K254" s="855">
        <v>15.5</v>
      </c>
      <c r="M254" s="865">
        <v>256</v>
      </c>
      <c r="N254" s="467">
        <v>-13</v>
      </c>
      <c r="O254" s="464">
        <f t="shared" si="19"/>
        <v>9.8000000000000007</v>
      </c>
    </row>
    <row r="255" spans="1:15" ht="12.75" customHeight="1" x14ac:dyDescent="0.25">
      <c r="A255" s="630">
        <v>2</v>
      </c>
      <c r="B255" s="86">
        <v>99</v>
      </c>
      <c r="C255" s="86">
        <v>99</v>
      </c>
      <c r="D255" s="856">
        <v>0.15</v>
      </c>
      <c r="E255" s="857">
        <v>999</v>
      </c>
      <c r="G255" s="630">
        <v>2</v>
      </c>
      <c r="H255" s="86">
        <v>2</v>
      </c>
      <c r="I255" s="86">
        <v>8</v>
      </c>
      <c r="J255" s="856">
        <v>0.15</v>
      </c>
      <c r="K255" s="857">
        <v>31</v>
      </c>
      <c r="M255" s="865">
        <v>257</v>
      </c>
      <c r="N255" s="467">
        <v>-13</v>
      </c>
      <c r="O255" s="464">
        <f t="shared" si="19"/>
        <v>9.85</v>
      </c>
    </row>
    <row r="256" spans="1:15" ht="12.75" customHeight="1" x14ac:dyDescent="0.25">
      <c r="A256" s="630">
        <v>3</v>
      </c>
      <c r="B256" s="86">
        <v>3</v>
      </c>
      <c r="C256" s="86">
        <v>10</v>
      </c>
      <c r="D256" s="856">
        <v>0.15</v>
      </c>
      <c r="E256" s="857">
        <v>52.5</v>
      </c>
      <c r="G256" s="630">
        <v>3</v>
      </c>
      <c r="H256" s="86">
        <v>3</v>
      </c>
      <c r="I256" s="86">
        <v>8</v>
      </c>
      <c r="J256" s="856">
        <v>0.15</v>
      </c>
      <c r="K256" s="857">
        <v>46.5</v>
      </c>
      <c r="M256" s="865">
        <v>258</v>
      </c>
      <c r="N256" s="467">
        <v>-13</v>
      </c>
      <c r="O256" s="464">
        <f t="shared" si="19"/>
        <v>9.9</v>
      </c>
    </row>
    <row r="257" spans="1:15" ht="12.75" customHeight="1" x14ac:dyDescent="0.25">
      <c r="A257" s="630">
        <v>4</v>
      </c>
      <c r="B257" s="86">
        <v>99</v>
      </c>
      <c r="C257" s="86">
        <v>99</v>
      </c>
      <c r="D257" s="856">
        <v>0.15</v>
      </c>
      <c r="E257" s="857">
        <v>999</v>
      </c>
      <c r="G257" s="630">
        <v>4</v>
      </c>
      <c r="H257" s="86">
        <v>4</v>
      </c>
      <c r="I257" s="86">
        <v>8</v>
      </c>
      <c r="J257" s="856">
        <v>0.15</v>
      </c>
      <c r="K257" s="857">
        <v>62</v>
      </c>
      <c r="M257" s="865">
        <v>259</v>
      </c>
      <c r="N257" s="467">
        <v>-13</v>
      </c>
      <c r="O257" s="464">
        <f t="shared" si="19"/>
        <v>9.9499999999999993</v>
      </c>
    </row>
    <row r="258" spans="1:15" ht="12.75" customHeight="1" thickBot="1" x14ac:dyDescent="0.3">
      <c r="A258" s="630">
        <v>5</v>
      </c>
      <c r="B258" s="86">
        <v>99</v>
      </c>
      <c r="C258" s="86">
        <v>99</v>
      </c>
      <c r="D258" s="856">
        <v>0.15</v>
      </c>
      <c r="E258" s="857">
        <v>999</v>
      </c>
      <c r="G258" s="630">
        <v>5</v>
      </c>
      <c r="H258" s="86">
        <v>6</v>
      </c>
      <c r="I258" s="86">
        <v>6</v>
      </c>
      <c r="J258" s="856">
        <v>0.15</v>
      </c>
      <c r="K258" s="857">
        <v>81</v>
      </c>
      <c r="M258" s="12">
        <v>260</v>
      </c>
      <c r="N258" s="466">
        <v>-13</v>
      </c>
      <c r="O258" s="465">
        <f t="shared" si="19"/>
        <v>10</v>
      </c>
    </row>
    <row r="259" spans="1:15" ht="12.75" customHeight="1" thickBot="1" x14ac:dyDescent="0.3">
      <c r="A259" s="630">
        <v>6</v>
      </c>
      <c r="B259" s="86">
        <v>8</v>
      </c>
      <c r="C259" s="86">
        <v>7</v>
      </c>
      <c r="D259" s="856">
        <v>0.15</v>
      </c>
      <c r="E259" s="857">
        <v>116</v>
      </c>
      <c r="G259" s="630">
        <v>6</v>
      </c>
      <c r="H259" s="86">
        <v>8</v>
      </c>
      <c r="I259" s="86">
        <v>6</v>
      </c>
      <c r="J259" s="856">
        <v>0.15</v>
      </c>
      <c r="K259" s="857">
        <v>108</v>
      </c>
    </row>
    <row r="260" spans="1:15" ht="12.75" customHeight="1" x14ac:dyDescent="0.25">
      <c r="A260" s="630">
        <v>7</v>
      </c>
      <c r="B260" s="86">
        <v>8</v>
      </c>
      <c r="C260" s="86">
        <v>8</v>
      </c>
      <c r="D260" s="856">
        <v>0.15</v>
      </c>
      <c r="E260" s="857">
        <v>124</v>
      </c>
      <c r="G260" s="630">
        <v>7</v>
      </c>
      <c r="H260" s="86">
        <v>9</v>
      </c>
      <c r="I260" s="86">
        <v>6</v>
      </c>
      <c r="J260" s="856">
        <v>0.15</v>
      </c>
      <c r="K260" s="857">
        <v>121.5</v>
      </c>
      <c r="M260" s="1100" t="str">
        <f>Lang!$A$285</f>
        <v>Premium materials quality</v>
      </c>
      <c r="N260" s="1101"/>
      <c r="O260" s="1102"/>
    </row>
    <row r="261" spans="1:15" ht="12.75" customHeight="1" x14ac:dyDescent="0.25">
      <c r="A261" s="630">
        <v>8</v>
      </c>
      <c r="B261" s="86">
        <v>9</v>
      </c>
      <c r="C261" s="86">
        <v>9</v>
      </c>
      <c r="D261" s="856">
        <v>0.15</v>
      </c>
      <c r="E261" s="857">
        <v>148.5</v>
      </c>
      <c r="G261" s="630">
        <v>8</v>
      </c>
      <c r="H261" s="86">
        <v>10</v>
      </c>
      <c r="I261" s="86">
        <v>6</v>
      </c>
      <c r="J261" s="856">
        <v>0.15</v>
      </c>
      <c r="K261" s="857">
        <v>135</v>
      </c>
      <c r="M261" s="865">
        <v>0</v>
      </c>
      <c r="N261" s="467">
        <v>-4</v>
      </c>
      <c r="O261" s="464">
        <f>(M261-60)/20</f>
        <v>-3</v>
      </c>
    </row>
    <row r="262" spans="1:15" ht="12.75" customHeight="1" x14ac:dyDescent="0.25">
      <c r="A262" s="630">
        <v>9</v>
      </c>
      <c r="B262" s="86">
        <v>10</v>
      </c>
      <c r="C262" s="86">
        <v>9</v>
      </c>
      <c r="D262" s="856">
        <v>0.15</v>
      </c>
      <c r="E262" s="857">
        <v>165</v>
      </c>
      <c r="G262" s="630">
        <v>9</v>
      </c>
      <c r="H262" s="86">
        <v>12</v>
      </c>
      <c r="I262" s="86">
        <v>6</v>
      </c>
      <c r="J262" s="856">
        <v>0.15</v>
      </c>
      <c r="K262" s="857">
        <v>162</v>
      </c>
      <c r="M262" s="865">
        <v>1</v>
      </c>
      <c r="N262" s="467">
        <v>-4</v>
      </c>
      <c r="O262" s="464">
        <f t="shared" ref="O262:O281" si="20">(M262-60)/20</f>
        <v>-2.95</v>
      </c>
    </row>
    <row r="263" spans="1:15" ht="12.75" customHeight="1" x14ac:dyDescent="0.25">
      <c r="A263" s="630">
        <v>10</v>
      </c>
      <c r="B263" s="86">
        <v>12</v>
      </c>
      <c r="C263" s="86">
        <v>8</v>
      </c>
      <c r="D263" s="856">
        <v>0.15</v>
      </c>
      <c r="E263" s="857">
        <v>186</v>
      </c>
      <c r="G263" s="630">
        <v>10</v>
      </c>
      <c r="H263" s="86">
        <v>99</v>
      </c>
      <c r="I263" s="86">
        <v>99</v>
      </c>
      <c r="J263" s="856">
        <v>0.15</v>
      </c>
      <c r="K263" s="857">
        <v>999</v>
      </c>
      <c r="M263" s="865">
        <v>2</v>
      </c>
      <c r="N263" s="467">
        <v>-4</v>
      </c>
      <c r="O263" s="464">
        <f t="shared" si="20"/>
        <v>-2.9</v>
      </c>
    </row>
    <row r="264" spans="1:15" ht="12.75" customHeight="1" x14ac:dyDescent="0.25">
      <c r="A264" s="630">
        <v>11</v>
      </c>
      <c r="B264" s="86">
        <v>13</v>
      </c>
      <c r="C264" s="86">
        <v>9</v>
      </c>
      <c r="D264" s="856">
        <v>0.15</v>
      </c>
      <c r="E264" s="857">
        <v>214.5</v>
      </c>
      <c r="G264" s="630">
        <v>11</v>
      </c>
      <c r="H264" s="86">
        <v>99</v>
      </c>
      <c r="I264" s="86">
        <v>99</v>
      </c>
      <c r="J264" s="856">
        <v>0.15</v>
      </c>
      <c r="K264" s="857">
        <v>999</v>
      </c>
      <c r="M264" s="865">
        <v>3</v>
      </c>
      <c r="N264" s="467">
        <v>-4</v>
      </c>
      <c r="O264" s="464">
        <f t="shared" si="20"/>
        <v>-2.85</v>
      </c>
    </row>
    <row r="265" spans="1:15" ht="12.75" customHeight="1" x14ac:dyDescent="0.25">
      <c r="A265" s="630">
        <v>12</v>
      </c>
      <c r="B265" s="86">
        <v>16</v>
      </c>
      <c r="C265" s="86">
        <v>7</v>
      </c>
      <c r="D265" s="856">
        <v>0.15</v>
      </c>
      <c r="E265" s="857">
        <v>232</v>
      </c>
      <c r="G265" s="630">
        <v>12</v>
      </c>
      <c r="H265" s="86">
        <v>99</v>
      </c>
      <c r="I265" s="86">
        <v>99</v>
      </c>
      <c r="J265" s="856">
        <v>0.15</v>
      </c>
      <c r="K265" s="857">
        <v>999</v>
      </c>
      <c r="M265" s="865">
        <v>4</v>
      </c>
      <c r="N265" s="467">
        <v>-4</v>
      </c>
      <c r="O265" s="464">
        <f t="shared" si="20"/>
        <v>-2.8</v>
      </c>
    </row>
    <row r="266" spans="1:15" ht="12.75" customHeight="1" x14ac:dyDescent="0.25">
      <c r="A266" s="630">
        <v>13</v>
      </c>
      <c r="B266" s="86">
        <v>99</v>
      </c>
      <c r="C266" s="86">
        <v>99</v>
      </c>
      <c r="D266" s="856">
        <v>0.15</v>
      </c>
      <c r="E266" s="857">
        <v>999</v>
      </c>
      <c r="G266" s="630">
        <v>13</v>
      </c>
      <c r="H266" s="86">
        <v>99</v>
      </c>
      <c r="I266" s="86">
        <v>99</v>
      </c>
      <c r="J266" s="856">
        <v>0.15</v>
      </c>
      <c r="K266" s="857">
        <v>999</v>
      </c>
      <c r="M266" s="865">
        <v>5</v>
      </c>
      <c r="N266" s="467">
        <v>-4</v>
      </c>
      <c r="O266" s="464">
        <f t="shared" si="20"/>
        <v>-2.75</v>
      </c>
    </row>
    <row r="267" spans="1:15" ht="12.75" customHeight="1" x14ac:dyDescent="0.25">
      <c r="A267" s="630">
        <v>14</v>
      </c>
      <c r="B267" s="86">
        <v>15</v>
      </c>
      <c r="C267" s="86">
        <v>15</v>
      </c>
      <c r="D267" s="856">
        <v>0.15</v>
      </c>
      <c r="E267" s="857">
        <v>337.5</v>
      </c>
      <c r="G267" s="630">
        <v>14</v>
      </c>
      <c r="H267" s="86">
        <v>99</v>
      </c>
      <c r="I267" s="86">
        <v>99</v>
      </c>
      <c r="J267" s="856">
        <v>0.15</v>
      </c>
      <c r="K267" s="857">
        <v>999</v>
      </c>
      <c r="M267" s="865">
        <v>6</v>
      </c>
      <c r="N267" s="467">
        <v>-4</v>
      </c>
      <c r="O267" s="464">
        <f t="shared" si="20"/>
        <v>-2.7</v>
      </c>
    </row>
    <row r="268" spans="1:15" ht="12.75" customHeight="1" x14ac:dyDescent="0.25">
      <c r="A268" s="630">
        <v>15</v>
      </c>
      <c r="B268" s="86">
        <v>99</v>
      </c>
      <c r="C268" s="86">
        <v>99</v>
      </c>
      <c r="D268" s="856">
        <v>0.15</v>
      </c>
      <c r="E268" s="857">
        <v>999</v>
      </c>
      <c r="G268" s="630">
        <v>15</v>
      </c>
      <c r="H268" s="86">
        <v>15</v>
      </c>
      <c r="I268" s="86">
        <v>15</v>
      </c>
      <c r="J268" s="856">
        <v>0.15</v>
      </c>
      <c r="K268" s="857">
        <v>337.5</v>
      </c>
      <c r="M268" s="865">
        <v>7</v>
      </c>
      <c r="N268" s="467">
        <v>-4</v>
      </c>
      <c r="O268" s="464">
        <f t="shared" si="20"/>
        <v>-2.65</v>
      </c>
    </row>
    <row r="269" spans="1:15" ht="12.75" customHeight="1" x14ac:dyDescent="0.25">
      <c r="A269" s="630">
        <v>16</v>
      </c>
      <c r="B269" s="86">
        <v>99</v>
      </c>
      <c r="C269" s="86">
        <v>99</v>
      </c>
      <c r="D269" s="856">
        <v>0.15</v>
      </c>
      <c r="E269" s="857">
        <v>999</v>
      </c>
      <c r="G269" s="630">
        <v>16</v>
      </c>
      <c r="H269" s="86">
        <v>99</v>
      </c>
      <c r="I269" s="86">
        <v>99</v>
      </c>
      <c r="J269" s="856">
        <v>0.15</v>
      </c>
      <c r="K269" s="857">
        <v>999</v>
      </c>
      <c r="M269" s="865">
        <v>8</v>
      </c>
      <c r="N269" s="467">
        <v>-4</v>
      </c>
      <c r="O269" s="464">
        <f t="shared" si="20"/>
        <v>-2.6</v>
      </c>
    </row>
    <row r="270" spans="1:15" ht="12.75" customHeight="1" x14ac:dyDescent="0.25">
      <c r="A270" s="630">
        <v>17</v>
      </c>
      <c r="B270" s="86">
        <v>99</v>
      </c>
      <c r="C270" s="86">
        <v>99</v>
      </c>
      <c r="D270" s="856">
        <v>0.15</v>
      </c>
      <c r="E270" s="857">
        <v>999</v>
      </c>
      <c r="G270" s="630">
        <v>17</v>
      </c>
      <c r="H270" s="86">
        <v>99</v>
      </c>
      <c r="I270" s="86">
        <v>99</v>
      </c>
      <c r="J270" s="856">
        <v>0.15</v>
      </c>
      <c r="K270" s="857">
        <v>999</v>
      </c>
      <c r="M270" s="865">
        <v>9</v>
      </c>
      <c r="N270" s="467">
        <v>-4</v>
      </c>
      <c r="O270" s="464">
        <f t="shared" si="20"/>
        <v>-2.5499999999999998</v>
      </c>
    </row>
    <row r="271" spans="1:15" ht="12.75" customHeight="1" x14ac:dyDescent="0.25">
      <c r="A271" s="630">
        <v>18</v>
      </c>
      <c r="B271" s="86">
        <v>99</v>
      </c>
      <c r="C271" s="86">
        <v>99</v>
      </c>
      <c r="D271" s="856">
        <v>0.15</v>
      </c>
      <c r="E271" s="857">
        <v>999</v>
      </c>
      <c r="G271" s="630">
        <v>18</v>
      </c>
      <c r="H271" s="86">
        <v>99</v>
      </c>
      <c r="I271" s="86">
        <v>99</v>
      </c>
      <c r="J271" s="856">
        <v>0.15</v>
      </c>
      <c r="K271" s="857">
        <v>999</v>
      </c>
      <c r="M271" s="865">
        <v>10</v>
      </c>
      <c r="N271" s="467">
        <v>-4</v>
      </c>
      <c r="O271" s="464">
        <f t="shared" si="20"/>
        <v>-2.5</v>
      </c>
    </row>
    <row r="272" spans="1:15" ht="12.75" customHeight="1" x14ac:dyDescent="0.25">
      <c r="A272" s="630">
        <v>19</v>
      </c>
      <c r="B272" s="86">
        <v>99</v>
      </c>
      <c r="C272" s="86">
        <v>99</v>
      </c>
      <c r="D272" s="856">
        <v>0.15</v>
      </c>
      <c r="E272" s="857">
        <v>999</v>
      </c>
      <c r="G272" s="630">
        <v>19</v>
      </c>
      <c r="H272" s="86">
        <v>99</v>
      </c>
      <c r="I272" s="86">
        <v>99</v>
      </c>
      <c r="J272" s="856">
        <v>0.15</v>
      </c>
      <c r="K272" s="857">
        <v>999</v>
      </c>
      <c r="M272" s="865">
        <v>11</v>
      </c>
      <c r="N272" s="467">
        <v>-4</v>
      </c>
      <c r="O272" s="464">
        <f t="shared" si="20"/>
        <v>-2.4500000000000002</v>
      </c>
    </row>
    <row r="273" spans="1:15" ht="12.75" customHeight="1" thickBot="1" x14ac:dyDescent="0.3">
      <c r="A273" s="858">
        <v>20</v>
      </c>
      <c r="B273" s="859">
        <v>99</v>
      </c>
      <c r="C273" s="859">
        <v>99</v>
      </c>
      <c r="D273" s="860">
        <v>0.15</v>
      </c>
      <c r="E273" s="861">
        <v>999</v>
      </c>
      <c r="G273" s="858">
        <v>20</v>
      </c>
      <c r="H273" s="859">
        <v>99</v>
      </c>
      <c r="I273" s="859">
        <v>99</v>
      </c>
      <c r="J273" s="860">
        <v>0.15</v>
      </c>
      <c r="K273" s="861">
        <v>999</v>
      </c>
      <c r="M273" s="865">
        <v>12</v>
      </c>
      <c r="N273" s="467">
        <v>-4</v>
      </c>
      <c r="O273" s="464">
        <f t="shared" si="20"/>
        <v>-2.4</v>
      </c>
    </row>
    <row r="274" spans="1:15" ht="12.75" customHeight="1" x14ac:dyDescent="0.25">
      <c r="A274" s="852">
        <v>1</v>
      </c>
      <c r="B274" s="853">
        <v>99</v>
      </c>
      <c r="C274" s="853">
        <v>99</v>
      </c>
      <c r="D274" s="854">
        <v>0.16</v>
      </c>
      <c r="E274" s="855">
        <v>999</v>
      </c>
      <c r="G274" s="852">
        <v>1</v>
      </c>
      <c r="H274" s="853">
        <v>1</v>
      </c>
      <c r="I274" s="853">
        <v>8</v>
      </c>
      <c r="J274" s="854">
        <v>0.16</v>
      </c>
      <c r="K274" s="855">
        <v>15.5</v>
      </c>
      <c r="M274" s="865">
        <v>13</v>
      </c>
      <c r="N274" s="467">
        <v>-4</v>
      </c>
      <c r="O274" s="464">
        <f>(M274-60)/20</f>
        <v>-2.35</v>
      </c>
    </row>
    <row r="275" spans="1:15" ht="12.75" customHeight="1" x14ac:dyDescent="0.25">
      <c r="A275" s="630">
        <v>2</v>
      </c>
      <c r="B275" s="86">
        <v>99</v>
      </c>
      <c r="C275" s="86">
        <v>99</v>
      </c>
      <c r="D275" s="856">
        <v>0.16</v>
      </c>
      <c r="E275" s="857">
        <v>999</v>
      </c>
      <c r="G275" s="630">
        <v>2</v>
      </c>
      <c r="H275" s="86">
        <v>99</v>
      </c>
      <c r="I275" s="86">
        <v>99</v>
      </c>
      <c r="J275" s="856">
        <v>0.16</v>
      </c>
      <c r="K275" s="857">
        <v>999</v>
      </c>
      <c r="M275" s="865">
        <v>14</v>
      </c>
      <c r="N275" s="467">
        <v>-4</v>
      </c>
      <c r="O275" s="464">
        <f t="shared" si="20"/>
        <v>-2.2999999999999998</v>
      </c>
    </row>
    <row r="276" spans="1:15" ht="12.75" customHeight="1" x14ac:dyDescent="0.25">
      <c r="A276" s="630">
        <v>3</v>
      </c>
      <c r="B276" s="86">
        <v>99</v>
      </c>
      <c r="C276" s="86">
        <v>99</v>
      </c>
      <c r="D276" s="856">
        <v>0.16</v>
      </c>
      <c r="E276" s="857">
        <v>999</v>
      </c>
      <c r="G276" s="630">
        <v>3</v>
      </c>
      <c r="H276" s="86">
        <v>99</v>
      </c>
      <c r="I276" s="86">
        <v>99</v>
      </c>
      <c r="J276" s="856">
        <v>0.16</v>
      </c>
      <c r="K276" s="857">
        <v>999</v>
      </c>
      <c r="M276" s="865">
        <v>15</v>
      </c>
      <c r="N276" s="467">
        <v>-4</v>
      </c>
      <c r="O276" s="464">
        <f t="shared" si="20"/>
        <v>-2.25</v>
      </c>
    </row>
    <row r="277" spans="1:15" ht="12.75" customHeight="1" x14ac:dyDescent="0.25">
      <c r="A277" s="630">
        <v>4</v>
      </c>
      <c r="B277" s="86">
        <v>6</v>
      </c>
      <c r="C277" s="86">
        <v>6</v>
      </c>
      <c r="D277" s="856">
        <v>0.16</v>
      </c>
      <c r="E277" s="857">
        <v>81</v>
      </c>
      <c r="G277" s="630">
        <v>4</v>
      </c>
      <c r="H277" s="86">
        <v>99</v>
      </c>
      <c r="I277" s="86">
        <v>99</v>
      </c>
      <c r="J277" s="856">
        <v>0.16</v>
      </c>
      <c r="K277" s="857">
        <v>999</v>
      </c>
      <c r="M277" s="865">
        <v>16</v>
      </c>
      <c r="N277" s="467">
        <v>-4</v>
      </c>
      <c r="O277" s="464">
        <f t="shared" si="20"/>
        <v>-2.2000000000000002</v>
      </c>
    </row>
    <row r="278" spans="1:15" ht="12.75" customHeight="1" x14ac:dyDescent="0.25">
      <c r="A278" s="630">
        <v>5</v>
      </c>
      <c r="B278" s="86">
        <v>99</v>
      </c>
      <c r="C278" s="86">
        <v>99</v>
      </c>
      <c r="D278" s="856">
        <v>0.16</v>
      </c>
      <c r="E278" s="857">
        <v>999</v>
      </c>
      <c r="G278" s="630">
        <v>5</v>
      </c>
      <c r="H278" s="86">
        <v>99</v>
      </c>
      <c r="I278" s="86">
        <v>99</v>
      </c>
      <c r="J278" s="856">
        <v>0.16</v>
      </c>
      <c r="K278" s="857">
        <v>999</v>
      </c>
      <c r="M278" s="865">
        <v>17</v>
      </c>
      <c r="N278" s="467">
        <v>-4</v>
      </c>
      <c r="O278" s="464">
        <f t="shared" si="20"/>
        <v>-2.15</v>
      </c>
    </row>
    <row r="279" spans="1:15" ht="12.75" customHeight="1" x14ac:dyDescent="0.25">
      <c r="A279" s="630">
        <v>6</v>
      </c>
      <c r="B279" s="86">
        <v>99</v>
      </c>
      <c r="C279" s="86">
        <v>99</v>
      </c>
      <c r="D279" s="856">
        <v>0.16</v>
      </c>
      <c r="E279" s="857">
        <v>999</v>
      </c>
      <c r="G279" s="630">
        <v>6</v>
      </c>
      <c r="H279" s="86">
        <v>99</v>
      </c>
      <c r="I279" s="86">
        <v>99</v>
      </c>
      <c r="J279" s="856">
        <v>0.16</v>
      </c>
      <c r="K279" s="857">
        <v>999</v>
      </c>
      <c r="M279" s="865">
        <v>18</v>
      </c>
      <c r="N279" s="467">
        <v>-4</v>
      </c>
      <c r="O279" s="464">
        <f t="shared" si="20"/>
        <v>-2.1</v>
      </c>
    </row>
    <row r="280" spans="1:15" ht="12.75" customHeight="1" x14ac:dyDescent="0.25">
      <c r="A280" s="630">
        <v>7</v>
      </c>
      <c r="B280" s="86">
        <v>99</v>
      </c>
      <c r="C280" s="86">
        <v>99</v>
      </c>
      <c r="D280" s="856">
        <v>0.16</v>
      </c>
      <c r="E280" s="857">
        <v>999</v>
      </c>
      <c r="G280" s="630">
        <v>7</v>
      </c>
      <c r="H280" s="86">
        <v>99</v>
      </c>
      <c r="I280" s="86">
        <v>99</v>
      </c>
      <c r="J280" s="856">
        <v>0.16</v>
      </c>
      <c r="K280" s="857">
        <v>999</v>
      </c>
      <c r="M280" s="865">
        <v>19</v>
      </c>
      <c r="N280" s="467">
        <v>-4</v>
      </c>
      <c r="O280" s="464">
        <f t="shared" si="20"/>
        <v>-2.0499999999999998</v>
      </c>
    </row>
    <row r="281" spans="1:15" ht="12.75" customHeight="1" x14ac:dyDescent="0.25">
      <c r="A281" s="630">
        <v>8</v>
      </c>
      <c r="B281" s="86">
        <v>99</v>
      </c>
      <c r="C281" s="86">
        <v>99</v>
      </c>
      <c r="D281" s="856">
        <v>0.16</v>
      </c>
      <c r="E281" s="857">
        <v>999</v>
      </c>
      <c r="G281" s="630">
        <v>8</v>
      </c>
      <c r="H281" s="86">
        <v>99</v>
      </c>
      <c r="I281" s="86">
        <v>99</v>
      </c>
      <c r="J281" s="856">
        <v>0.16</v>
      </c>
      <c r="K281" s="857">
        <v>999</v>
      </c>
      <c r="M281" s="534">
        <v>20</v>
      </c>
      <c r="N281" s="535">
        <v>-5</v>
      </c>
      <c r="O281" s="470">
        <f t="shared" si="20"/>
        <v>-2</v>
      </c>
    </row>
    <row r="282" spans="1:15" ht="12.75" customHeight="1" x14ac:dyDescent="0.25">
      <c r="A282" s="630">
        <v>9</v>
      </c>
      <c r="B282" s="86">
        <v>99</v>
      </c>
      <c r="C282" s="86">
        <v>99</v>
      </c>
      <c r="D282" s="856">
        <v>0.16</v>
      </c>
      <c r="E282" s="857">
        <v>999</v>
      </c>
      <c r="G282" s="630">
        <v>9</v>
      </c>
      <c r="H282" s="86">
        <v>99</v>
      </c>
      <c r="I282" s="86">
        <v>99</v>
      </c>
      <c r="J282" s="856">
        <v>0.16</v>
      </c>
      <c r="K282" s="857">
        <v>999</v>
      </c>
      <c r="M282" s="865">
        <v>21</v>
      </c>
      <c r="N282" s="467">
        <v>-5</v>
      </c>
      <c r="O282" s="464">
        <f>(M282-60)/20</f>
        <v>-1.95</v>
      </c>
    </row>
    <row r="283" spans="1:15" ht="12.75" customHeight="1" x14ac:dyDescent="0.25">
      <c r="A283" s="630">
        <v>10</v>
      </c>
      <c r="B283" s="86">
        <v>99</v>
      </c>
      <c r="C283" s="86">
        <v>99</v>
      </c>
      <c r="D283" s="856">
        <v>0.16</v>
      </c>
      <c r="E283" s="857">
        <v>999</v>
      </c>
      <c r="G283" s="630">
        <v>10</v>
      </c>
      <c r="H283" s="86">
        <v>99</v>
      </c>
      <c r="I283" s="86">
        <v>99</v>
      </c>
      <c r="J283" s="856">
        <v>0.16</v>
      </c>
      <c r="K283" s="857">
        <v>999</v>
      </c>
      <c r="M283" s="865">
        <v>22</v>
      </c>
      <c r="N283" s="467">
        <v>-5</v>
      </c>
      <c r="O283" s="464">
        <f t="shared" ref="O283:O299" si="21">(M283-60)/20</f>
        <v>-1.9</v>
      </c>
    </row>
    <row r="284" spans="1:15" ht="12.75" customHeight="1" x14ac:dyDescent="0.25">
      <c r="A284" s="630">
        <v>11</v>
      </c>
      <c r="B284" s="86">
        <v>99</v>
      </c>
      <c r="C284" s="86">
        <v>99</v>
      </c>
      <c r="D284" s="856">
        <v>0.16</v>
      </c>
      <c r="E284" s="857">
        <v>999</v>
      </c>
      <c r="G284" s="630">
        <v>11</v>
      </c>
      <c r="H284" s="86">
        <v>99</v>
      </c>
      <c r="I284" s="86">
        <v>99</v>
      </c>
      <c r="J284" s="856">
        <v>0.16</v>
      </c>
      <c r="K284" s="857">
        <v>999</v>
      </c>
      <c r="M284" s="865">
        <v>23</v>
      </c>
      <c r="N284" s="467">
        <v>-5</v>
      </c>
      <c r="O284" s="464">
        <f t="shared" si="21"/>
        <v>-1.85</v>
      </c>
    </row>
    <row r="285" spans="1:15" ht="12.75" customHeight="1" x14ac:dyDescent="0.25">
      <c r="A285" s="630">
        <v>12</v>
      </c>
      <c r="B285" s="86">
        <v>99</v>
      </c>
      <c r="C285" s="86">
        <v>99</v>
      </c>
      <c r="D285" s="856">
        <v>0.16</v>
      </c>
      <c r="E285" s="857">
        <v>999</v>
      </c>
      <c r="G285" s="630">
        <v>12</v>
      </c>
      <c r="H285" s="86">
        <v>99</v>
      </c>
      <c r="I285" s="86">
        <v>99</v>
      </c>
      <c r="J285" s="856">
        <v>0.16</v>
      </c>
      <c r="K285" s="857">
        <v>999</v>
      </c>
      <c r="M285" s="865">
        <v>24</v>
      </c>
      <c r="N285" s="467">
        <v>-5</v>
      </c>
      <c r="O285" s="464">
        <f t="shared" si="21"/>
        <v>-1.8</v>
      </c>
    </row>
    <row r="286" spans="1:15" ht="12.75" customHeight="1" x14ac:dyDescent="0.25">
      <c r="A286" s="630">
        <v>13</v>
      </c>
      <c r="B286" s="86">
        <v>99</v>
      </c>
      <c r="C286" s="86">
        <v>99</v>
      </c>
      <c r="D286" s="856">
        <v>0.16</v>
      </c>
      <c r="E286" s="857">
        <v>999</v>
      </c>
      <c r="G286" s="630">
        <v>13</v>
      </c>
      <c r="H286" s="86">
        <v>99</v>
      </c>
      <c r="I286" s="86">
        <v>99</v>
      </c>
      <c r="J286" s="856">
        <v>0.16</v>
      </c>
      <c r="K286" s="857">
        <v>999</v>
      </c>
      <c r="M286" s="865">
        <v>25</v>
      </c>
      <c r="N286" s="467">
        <v>-5</v>
      </c>
      <c r="O286" s="464">
        <f t="shared" si="21"/>
        <v>-1.75</v>
      </c>
    </row>
    <row r="287" spans="1:15" ht="12.75" customHeight="1" x14ac:dyDescent="0.25">
      <c r="A287" s="630">
        <v>14</v>
      </c>
      <c r="B287" s="86">
        <v>99</v>
      </c>
      <c r="C287" s="86">
        <v>99</v>
      </c>
      <c r="D287" s="856">
        <v>0.16</v>
      </c>
      <c r="E287" s="857">
        <v>999</v>
      </c>
      <c r="G287" s="630">
        <v>14</v>
      </c>
      <c r="H287" s="86">
        <v>99</v>
      </c>
      <c r="I287" s="86">
        <v>99</v>
      </c>
      <c r="J287" s="856">
        <v>0.16</v>
      </c>
      <c r="K287" s="857">
        <v>999</v>
      </c>
      <c r="M287" s="865">
        <v>26</v>
      </c>
      <c r="N287" s="467">
        <v>-5</v>
      </c>
      <c r="O287" s="464">
        <f t="shared" si="21"/>
        <v>-1.7</v>
      </c>
    </row>
    <row r="288" spans="1:15" ht="12.75" customHeight="1" x14ac:dyDescent="0.25">
      <c r="A288" s="630">
        <v>15</v>
      </c>
      <c r="B288" s="86">
        <v>99</v>
      </c>
      <c r="C288" s="86">
        <v>99</v>
      </c>
      <c r="D288" s="856">
        <v>0.16</v>
      </c>
      <c r="E288" s="857">
        <v>999</v>
      </c>
      <c r="G288" s="630">
        <v>15</v>
      </c>
      <c r="H288" s="86">
        <v>99</v>
      </c>
      <c r="I288" s="86">
        <v>99</v>
      </c>
      <c r="J288" s="856">
        <v>0.16</v>
      </c>
      <c r="K288" s="857">
        <v>999</v>
      </c>
      <c r="M288" s="865">
        <v>27</v>
      </c>
      <c r="N288" s="467">
        <v>-5</v>
      </c>
      <c r="O288" s="464">
        <f t="shared" si="21"/>
        <v>-1.65</v>
      </c>
    </row>
    <row r="289" spans="1:15" ht="12.75" customHeight="1" x14ac:dyDescent="0.25">
      <c r="A289" s="630">
        <v>16</v>
      </c>
      <c r="B289" s="86">
        <v>99</v>
      </c>
      <c r="C289" s="86">
        <v>99</v>
      </c>
      <c r="D289" s="856">
        <v>0.16</v>
      </c>
      <c r="E289" s="857">
        <v>999</v>
      </c>
      <c r="G289" s="630">
        <v>16</v>
      </c>
      <c r="H289" s="86">
        <v>99</v>
      </c>
      <c r="I289" s="86">
        <v>99</v>
      </c>
      <c r="J289" s="856">
        <v>0.16</v>
      </c>
      <c r="K289" s="857">
        <v>999</v>
      </c>
      <c r="M289" s="865">
        <v>28</v>
      </c>
      <c r="N289" s="467">
        <v>-5</v>
      </c>
      <c r="O289" s="464">
        <f t="shared" si="21"/>
        <v>-1.6</v>
      </c>
    </row>
    <row r="290" spans="1:15" ht="12.75" customHeight="1" x14ac:dyDescent="0.25">
      <c r="A290" s="630">
        <v>17</v>
      </c>
      <c r="B290" s="86">
        <v>99</v>
      </c>
      <c r="C290" s="86">
        <v>99</v>
      </c>
      <c r="D290" s="856">
        <v>0.16</v>
      </c>
      <c r="E290" s="857">
        <v>999</v>
      </c>
      <c r="G290" s="630">
        <v>17</v>
      </c>
      <c r="H290" s="86">
        <v>99</v>
      </c>
      <c r="I290" s="86">
        <v>99</v>
      </c>
      <c r="J290" s="856">
        <v>0.16</v>
      </c>
      <c r="K290" s="857">
        <v>999</v>
      </c>
      <c r="M290" s="865">
        <v>29</v>
      </c>
      <c r="N290" s="467">
        <v>-5</v>
      </c>
      <c r="O290" s="464">
        <f t="shared" si="21"/>
        <v>-1.55</v>
      </c>
    </row>
    <row r="291" spans="1:15" ht="12.75" customHeight="1" x14ac:dyDescent="0.25">
      <c r="A291" s="630">
        <v>18</v>
      </c>
      <c r="B291" s="86">
        <v>99</v>
      </c>
      <c r="C291" s="86">
        <v>99</v>
      </c>
      <c r="D291" s="856">
        <v>0.16</v>
      </c>
      <c r="E291" s="857">
        <v>999</v>
      </c>
      <c r="G291" s="630">
        <v>18</v>
      </c>
      <c r="H291" s="86">
        <v>99</v>
      </c>
      <c r="I291" s="86">
        <v>99</v>
      </c>
      <c r="J291" s="856">
        <v>0.16</v>
      </c>
      <c r="K291" s="857">
        <v>999</v>
      </c>
      <c r="M291" s="865">
        <v>30</v>
      </c>
      <c r="N291" s="467">
        <v>-5</v>
      </c>
      <c r="O291" s="464">
        <f t="shared" si="21"/>
        <v>-1.5</v>
      </c>
    </row>
    <row r="292" spans="1:15" ht="12.75" customHeight="1" x14ac:dyDescent="0.25">
      <c r="A292" s="630">
        <v>19</v>
      </c>
      <c r="B292" s="86">
        <v>99</v>
      </c>
      <c r="C292" s="86">
        <v>99</v>
      </c>
      <c r="D292" s="856">
        <v>0.16</v>
      </c>
      <c r="E292" s="857">
        <v>999</v>
      </c>
      <c r="G292" s="630">
        <v>19</v>
      </c>
      <c r="H292" s="86">
        <v>99</v>
      </c>
      <c r="I292" s="86">
        <v>99</v>
      </c>
      <c r="J292" s="856">
        <v>0.16</v>
      </c>
      <c r="K292" s="857">
        <v>999</v>
      </c>
      <c r="M292" s="865">
        <v>31</v>
      </c>
      <c r="N292" s="467">
        <v>-5</v>
      </c>
      <c r="O292" s="464">
        <f t="shared" si="21"/>
        <v>-1.45</v>
      </c>
    </row>
    <row r="293" spans="1:15" ht="12.75" customHeight="1" thickBot="1" x14ac:dyDescent="0.3">
      <c r="A293" s="858">
        <v>20</v>
      </c>
      <c r="B293" s="859">
        <v>99</v>
      </c>
      <c r="C293" s="859">
        <v>99</v>
      </c>
      <c r="D293" s="860">
        <v>0.16</v>
      </c>
      <c r="E293" s="861">
        <v>999</v>
      </c>
      <c r="G293" s="858">
        <v>20</v>
      </c>
      <c r="H293" s="859">
        <v>99</v>
      </c>
      <c r="I293" s="859">
        <v>99</v>
      </c>
      <c r="J293" s="860">
        <v>0.16</v>
      </c>
      <c r="K293" s="861">
        <v>999</v>
      </c>
      <c r="M293" s="865">
        <v>32</v>
      </c>
      <c r="N293" s="467">
        <v>-5</v>
      </c>
      <c r="O293" s="464">
        <f t="shared" si="21"/>
        <v>-1.4</v>
      </c>
    </row>
    <row r="294" spans="1:15" ht="12.75" customHeight="1" x14ac:dyDescent="0.25">
      <c r="A294" s="852">
        <v>1</v>
      </c>
      <c r="B294" s="853">
        <v>99</v>
      </c>
      <c r="C294" s="853">
        <v>99</v>
      </c>
      <c r="D294" s="854">
        <v>0.17</v>
      </c>
      <c r="E294" s="855">
        <v>999</v>
      </c>
      <c r="G294" s="852">
        <v>1</v>
      </c>
      <c r="H294" s="853">
        <v>1</v>
      </c>
      <c r="I294" s="853">
        <v>8</v>
      </c>
      <c r="J294" s="854">
        <v>0.17</v>
      </c>
      <c r="K294" s="855">
        <v>15.5</v>
      </c>
      <c r="M294" s="865">
        <v>33</v>
      </c>
      <c r="N294" s="467">
        <v>-5</v>
      </c>
      <c r="O294" s="464">
        <f t="shared" si="21"/>
        <v>-1.35</v>
      </c>
    </row>
    <row r="295" spans="1:15" ht="12.75" customHeight="1" x14ac:dyDescent="0.25">
      <c r="A295" s="630">
        <v>2</v>
      </c>
      <c r="B295" s="86">
        <v>99</v>
      </c>
      <c r="C295" s="86">
        <v>99</v>
      </c>
      <c r="D295" s="856">
        <v>0.17</v>
      </c>
      <c r="E295" s="857">
        <v>999</v>
      </c>
      <c r="G295" s="630">
        <v>2</v>
      </c>
      <c r="H295" s="86">
        <v>99</v>
      </c>
      <c r="I295" s="86">
        <v>99</v>
      </c>
      <c r="J295" s="856">
        <v>0.17</v>
      </c>
      <c r="K295" s="857">
        <v>999</v>
      </c>
      <c r="M295" s="865">
        <v>34</v>
      </c>
      <c r="N295" s="467">
        <v>-5</v>
      </c>
      <c r="O295" s="464">
        <f t="shared" si="21"/>
        <v>-1.3</v>
      </c>
    </row>
    <row r="296" spans="1:15" ht="12.75" customHeight="1" x14ac:dyDescent="0.25">
      <c r="A296" s="630">
        <v>3</v>
      </c>
      <c r="B296" s="86">
        <v>99</v>
      </c>
      <c r="C296" s="86">
        <v>99</v>
      </c>
      <c r="D296" s="856">
        <v>0.17</v>
      </c>
      <c r="E296" s="857">
        <v>999</v>
      </c>
      <c r="G296" s="630">
        <v>3</v>
      </c>
      <c r="H296" s="86">
        <v>99</v>
      </c>
      <c r="I296" s="86">
        <v>99</v>
      </c>
      <c r="J296" s="856">
        <v>0.17</v>
      </c>
      <c r="K296" s="857">
        <v>999</v>
      </c>
      <c r="M296" s="865">
        <v>35</v>
      </c>
      <c r="N296" s="467">
        <v>-5</v>
      </c>
      <c r="O296" s="464">
        <f t="shared" si="21"/>
        <v>-1.25</v>
      </c>
    </row>
    <row r="297" spans="1:15" ht="12.75" customHeight="1" x14ac:dyDescent="0.25">
      <c r="A297" s="630">
        <v>4</v>
      </c>
      <c r="B297" s="86">
        <v>99</v>
      </c>
      <c r="C297" s="86">
        <v>99</v>
      </c>
      <c r="D297" s="856">
        <v>0.17</v>
      </c>
      <c r="E297" s="857">
        <v>999</v>
      </c>
      <c r="G297" s="630">
        <v>4</v>
      </c>
      <c r="H297" s="86">
        <v>99</v>
      </c>
      <c r="I297" s="86">
        <v>99</v>
      </c>
      <c r="J297" s="856">
        <v>0.17</v>
      </c>
      <c r="K297" s="857">
        <v>999</v>
      </c>
      <c r="M297" s="865">
        <v>36</v>
      </c>
      <c r="N297" s="467">
        <v>-5</v>
      </c>
      <c r="O297" s="464">
        <f t="shared" si="21"/>
        <v>-1.2</v>
      </c>
    </row>
    <row r="298" spans="1:15" ht="12.75" customHeight="1" x14ac:dyDescent="0.25">
      <c r="A298" s="630">
        <v>5</v>
      </c>
      <c r="B298" s="86">
        <v>6</v>
      </c>
      <c r="C298" s="86">
        <v>8</v>
      </c>
      <c r="D298" s="856">
        <v>0.17</v>
      </c>
      <c r="E298" s="857">
        <v>93</v>
      </c>
      <c r="G298" s="630">
        <v>5</v>
      </c>
      <c r="H298" s="86">
        <v>6</v>
      </c>
      <c r="I298" s="86">
        <v>6</v>
      </c>
      <c r="J298" s="856">
        <v>0.17</v>
      </c>
      <c r="K298" s="857">
        <v>81</v>
      </c>
      <c r="M298" s="865">
        <v>37</v>
      </c>
      <c r="N298" s="467">
        <v>-5</v>
      </c>
      <c r="O298" s="464">
        <f t="shared" si="21"/>
        <v>-1.1499999999999999</v>
      </c>
    </row>
    <row r="299" spans="1:15" ht="12.75" customHeight="1" x14ac:dyDescent="0.25">
      <c r="A299" s="630">
        <v>6</v>
      </c>
      <c r="B299" s="86">
        <v>7</v>
      </c>
      <c r="C299" s="86">
        <v>8</v>
      </c>
      <c r="D299" s="856">
        <v>0.17</v>
      </c>
      <c r="E299" s="857">
        <v>108.5</v>
      </c>
      <c r="G299" s="630">
        <v>6</v>
      </c>
      <c r="H299" s="86">
        <v>99</v>
      </c>
      <c r="I299" s="86">
        <v>99</v>
      </c>
      <c r="J299" s="856">
        <v>0.17</v>
      </c>
      <c r="K299" s="857">
        <v>999</v>
      </c>
      <c r="M299" s="865">
        <v>38</v>
      </c>
      <c r="N299" s="467">
        <v>-5</v>
      </c>
      <c r="O299" s="464">
        <f t="shared" si="21"/>
        <v>-1.1000000000000001</v>
      </c>
    </row>
    <row r="300" spans="1:15" ht="12.75" customHeight="1" x14ac:dyDescent="0.25">
      <c r="A300" s="630">
        <v>7</v>
      </c>
      <c r="B300" s="86">
        <v>99</v>
      </c>
      <c r="C300" s="86">
        <v>99</v>
      </c>
      <c r="D300" s="856">
        <v>0.17</v>
      </c>
      <c r="E300" s="857">
        <v>999</v>
      </c>
      <c r="G300" s="630">
        <v>7</v>
      </c>
      <c r="H300" s="86">
        <v>99</v>
      </c>
      <c r="I300" s="86">
        <v>99</v>
      </c>
      <c r="J300" s="856">
        <v>0.17</v>
      </c>
      <c r="K300" s="857">
        <v>999</v>
      </c>
      <c r="M300" s="865">
        <v>39</v>
      </c>
      <c r="N300" s="467">
        <v>-5</v>
      </c>
      <c r="O300" s="464">
        <f>(M300-60)/20</f>
        <v>-1.05</v>
      </c>
    </row>
    <row r="301" spans="1:15" ht="12.75" customHeight="1" x14ac:dyDescent="0.25">
      <c r="A301" s="630">
        <v>8</v>
      </c>
      <c r="B301" s="86">
        <v>99</v>
      </c>
      <c r="C301" s="86">
        <v>99</v>
      </c>
      <c r="D301" s="856">
        <v>0.17</v>
      </c>
      <c r="E301" s="857">
        <v>999</v>
      </c>
      <c r="G301" s="630">
        <v>8</v>
      </c>
      <c r="H301" s="86">
        <v>99</v>
      </c>
      <c r="I301" s="86">
        <v>99</v>
      </c>
      <c r="J301" s="856">
        <v>0.17</v>
      </c>
      <c r="K301" s="857">
        <v>999</v>
      </c>
      <c r="M301" s="534">
        <v>40</v>
      </c>
      <c r="N301" s="535">
        <v>-6</v>
      </c>
      <c r="O301" s="470">
        <f t="shared" ref="O301:O320" si="22">(M301-60)/20</f>
        <v>-1</v>
      </c>
    </row>
    <row r="302" spans="1:15" ht="12.75" customHeight="1" x14ac:dyDescent="0.25">
      <c r="A302" s="630">
        <v>9</v>
      </c>
      <c r="B302" s="86">
        <v>99</v>
      </c>
      <c r="C302" s="86">
        <v>99</v>
      </c>
      <c r="D302" s="856">
        <v>0.17</v>
      </c>
      <c r="E302" s="857">
        <v>999</v>
      </c>
      <c r="G302" s="630">
        <v>9</v>
      </c>
      <c r="H302" s="86">
        <v>99</v>
      </c>
      <c r="I302" s="86">
        <v>99</v>
      </c>
      <c r="J302" s="856">
        <v>0.17</v>
      </c>
      <c r="K302" s="857">
        <v>999</v>
      </c>
      <c r="M302" s="865">
        <v>41</v>
      </c>
      <c r="N302" s="467">
        <v>-6</v>
      </c>
      <c r="O302" s="464">
        <f t="shared" si="22"/>
        <v>-0.95</v>
      </c>
    </row>
    <row r="303" spans="1:15" ht="12.75" customHeight="1" x14ac:dyDescent="0.25">
      <c r="A303" s="630">
        <v>10</v>
      </c>
      <c r="B303" s="86">
        <v>99</v>
      </c>
      <c r="C303" s="86">
        <v>99</v>
      </c>
      <c r="D303" s="856">
        <v>0.17</v>
      </c>
      <c r="E303" s="857">
        <v>999</v>
      </c>
      <c r="G303" s="630">
        <v>10</v>
      </c>
      <c r="H303" s="86">
        <v>99</v>
      </c>
      <c r="I303" s="86">
        <v>99</v>
      </c>
      <c r="J303" s="856">
        <v>0.17</v>
      </c>
      <c r="K303" s="857">
        <v>999</v>
      </c>
      <c r="M303" s="865">
        <v>42</v>
      </c>
      <c r="N303" s="467">
        <v>-6</v>
      </c>
      <c r="O303" s="464">
        <f t="shared" si="22"/>
        <v>-0.9</v>
      </c>
    </row>
    <row r="304" spans="1:15" ht="12.75" customHeight="1" x14ac:dyDescent="0.25">
      <c r="A304" s="630">
        <v>11</v>
      </c>
      <c r="B304" s="86">
        <v>99</v>
      </c>
      <c r="C304" s="86">
        <v>99</v>
      </c>
      <c r="D304" s="856">
        <v>0.17</v>
      </c>
      <c r="E304" s="857">
        <v>999</v>
      </c>
      <c r="G304" s="630">
        <v>11</v>
      </c>
      <c r="H304" s="86">
        <v>99</v>
      </c>
      <c r="I304" s="86">
        <v>99</v>
      </c>
      <c r="J304" s="856">
        <v>0.17</v>
      </c>
      <c r="K304" s="857">
        <v>999</v>
      </c>
      <c r="M304" s="865">
        <v>43</v>
      </c>
      <c r="N304" s="467">
        <v>-6</v>
      </c>
      <c r="O304" s="464">
        <f t="shared" si="22"/>
        <v>-0.85</v>
      </c>
    </row>
    <row r="305" spans="1:15" ht="12.75" customHeight="1" x14ac:dyDescent="0.25">
      <c r="A305" s="630">
        <v>12</v>
      </c>
      <c r="B305" s="86">
        <v>99</v>
      </c>
      <c r="C305" s="86">
        <v>99</v>
      </c>
      <c r="D305" s="856">
        <v>0.17</v>
      </c>
      <c r="E305" s="857">
        <v>999</v>
      </c>
      <c r="G305" s="630">
        <v>12</v>
      </c>
      <c r="H305" s="86">
        <v>99</v>
      </c>
      <c r="I305" s="86">
        <v>99</v>
      </c>
      <c r="J305" s="856">
        <v>0.17</v>
      </c>
      <c r="K305" s="857">
        <v>999</v>
      </c>
      <c r="M305" s="865">
        <v>44</v>
      </c>
      <c r="N305" s="467">
        <v>-6</v>
      </c>
      <c r="O305" s="464">
        <f t="shared" si="22"/>
        <v>-0.8</v>
      </c>
    </row>
    <row r="306" spans="1:15" ht="12.75" customHeight="1" x14ac:dyDescent="0.25">
      <c r="A306" s="630">
        <v>13</v>
      </c>
      <c r="B306" s="86">
        <v>99</v>
      </c>
      <c r="C306" s="86">
        <v>99</v>
      </c>
      <c r="D306" s="856">
        <v>0.17</v>
      </c>
      <c r="E306" s="857">
        <v>999</v>
      </c>
      <c r="G306" s="630">
        <v>13</v>
      </c>
      <c r="H306" s="86">
        <v>99</v>
      </c>
      <c r="I306" s="86">
        <v>99</v>
      </c>
      <c r="J306" s="856">
        <v>0.17</v>
      </c>
      <c r="K306" s="857">
        <v>999</v>
      </c>
      <c r="M306" s="865">
        <v>45</v>
      </c>
      <c r="N306" s="467">
        <v>-6</v>
      </c>
      <c r="O306" s="464">
        <f t="shared" si="22"/>
        <v>-0.75</v>
      </c>
    </row>
    <row r="307" spans="1:15" ht="12.75" customHeight="1" x14ac:dyDescent="0.25">
      <c r="A307" s="630">
        <v>14</v>
      </c>
      <c r="B307" s="86">
        <v>99</v>
      </c>
      <c r="C307" s="86">
        <v>99</v>
      </c>
      <c r="D307" s="856">
        <v>0.17</v>
      </c>
      <c r="E307" s="857">
        <v>999</v>
      </c>
      <c r="G307" s="630">
        <v>14</v>
      </c>
      <c r="H307" s="86">
        <v>99</v>
      </c>
      <c r="I307" s="86">
        <v>99</v>
      </c>
      <c r="J307" s="856">
        <v>0.17</v>
      </c>
      <c r="K307" s="857">
        <v>999</v>
      </c>
      <c r="M307" s="865">
        <v>46</v>
      </c>
      <c r="N307" s="467">
        <v>-6</v>
      </c>
      <c r="O307" s="464">
        <f t="shared" si="22"/>
        <v>-0.7</v>
      </c>
    </row>
    <row r="308" spans="1:15" ht="12.75" customHeight="1" x14ac:dyDescent="0.25">
      <c r="A308" s="630">
        <v>15</v>
      </c>
      <c r="B308" s="86">
        <v>99</v>
      </c>
      <c r="C308" s="86">
        <v>99</v>
      </c>
      <c r="D308" s="856">
        <v>0.17</v>
      </c>
      <c r="E308" s="857">
        <v>999</v>
      </c>
      <c r="G308" s="630">
        <v>15</v>
      </c>
      <c r="H308" s="86">
        <v>99</v>
      </c>
      <c r="I308" s="86">
        <v>99</v>
      </c>
      <c r="J308" s="856">
        <v>0.17</v>
      </c>
      <c r="K308" s="857">
        <v>999</v>
      </c>
      <c r="M308" s="865">
        <v>47</v>
      </c>
      <c r="N308" s="467">
        <v>-6</v>
      </c>
      <c r="O308" s="464">
        <f t="shared" si="22"/>
        <v>-0.65</v>
      </c>
    </row>
    <row r="309" spans="1:15" ht="12.75" customHeight="1" x14ac:dyDescent="0.25">
      <c r="A309" s="630">
        <v>16</v>
      </c>
      <c r="B309" s="86">
        <v>99</v>
      </c>
      <c r="C309" s="86">
        <v>99</v>
      </c>
      <c r="D309" s="856">
        <v>0.17</v>
      </c>
      <c r="E309" s="857">
        <v>999</v>
      </c>
      <c r="G309" s="630">
        <v>16</v>
      </c>
      <c r="H309" s="86">
        <v>99</v>
      </c>
      <c r="I309" s="86">
        <v>99</v>
      </c>
      <c r="J309" s="856">
        <v>0.17</v>
      </c>
      <c r="K309" s="857">
        <v>999</v>
      </c>
      <c r="M309" s="865">
        <v>48</v>
      </c>
      <c r="N309" s="467">
        <v>-6</v>
      </c>
      <c r="O309" s="464">
        <f t="shared" si="22"/>
        <v>-0.6</v>
      </c>
    </row>
    <row r="310" spans="1:15" ht="12.75" customHeight="1" x14ac:dyDescent="0.25">
      <c r="A310" s="630">
        <v>17</v>
      </c>
      <c r="B310" s="86">
        <v>99</v>
      </c>
      <c r="C310" s="86">
        <v>99</v>
      </c>
      <c r="D310" s="856">
        <v>0.17</v>
      </c>
      <c r="E310" s="857">
        <v>999</v>
      </c>
      <c r="G310" s="630">
        <v>17</v>
      </c>
      <c r="H310" s="86">
        <v>99</v>
      </c>
      <c r="I310" s="86">
        <v>99</v>
      </c>
      <c r="J310" s="856">
        <v>0.17</v>
      </c>
      <c r="K310" s="857">
        <v>999</v>
      </c>
      <c r="M310" s="865">
        <v>49</v>
      </c>
      <c r="N310" s="467">
        <v>-6</v>
      </c>
      <c r="O310" s="464">
        <f t="shared" si="22"/>
        <v>-0.55000000000000004</v>
      </c>
    </row>
    <row r="311" spans="1:15" ht="12.75" customHeight="1" x14ac:dyDescent="0.25">
      <c r="A311" s="630">
        <v>18</v>
      </c>
      <c r="B311" s="86">
        <v>99</v>
      </c>
      <c r="C311" s="86">
        <v>99</v>
      </c>
      <c r="D311" s="856">
        <v>0.17</v>
      </c>
      <c r="E311" s="857">
        <v>999</v>
      </c>
      <c r="G311" s="630">
        <v>18</v>
      </c>
      <c r="H311" s="86">
        <v>99</v>
      </c>
      <c r="I311" s="86">
        <v>99</v>
      </c>
      <c r="J311" s="856">
        <v>0.17</v>
      </c>
      <c r="K311" s="857">
        <v>999</v>
      </c>
      <c r="M311" s="865">
        <v>50</v>
      </c>
      <c r="N311" s="467">
        <v>-6</v>
      </c>
      <c r="O311" s="464">
        <f t="shared" si="22"/>
        <v>-0.5</v>
      </c>
    </row>
    <row r="312" spans="1:15" ht="12.75" customHeight="1" x14ac:dyDescent="0.25">
      <c r="A312" s="630">
        <v>19</v>
      </c>
      <c r="B312" s="86">
        <v>99</v>
      </c>
      <c r="C312" s="86">
        <v>99</v>
      </c>
      <c r="D312" s="856">
        <v>0.17</v>
      </c>
      <c r="E312" s="857">
        <v>999</v>
      </c>
      <c r="G312" s="630">
        <v>19</v>
      </c>
      <c r="H312" s="86">
        <v>99</v>
      </c>
      <c r="I312" s="86">
        <v>99</v>
      </c>
      <c r="J312" s="856">
        <v>0.17</v>
      </c>
      <c r="K312" s="857">
        <v>999</v>
      </c>
      <c r="M312" s="865">
        <v>51</v>
      </c>
      <c r="N312" s="467">
        <v>-6</v>
      </c>
      <c r="O312" s="464">
        <f t="shared" si="22"/>
        <v>-0.45</v>
      </c>
    </row>
    <row r="313" spans="1:15" ht="12.75" customHeight="1" thickBot="1" x14ac:dyDescent="0.3">
      <c r="A313" s="858">
        <v>20</v>
      </c>
      <c r="B313" s="859">
        <v>99</v>
      </c>
      <c r="C313" s="859">
        <v>99</v>
      </c>
      <c r="D313" s="860">
        <v>0.17</v>
      </c>
      <c r="E313" s="861">
        <v>999</v>
      </c>
      <c r="G313" s="858">
        <v>20</v>
      </c>
      <c r="H313" s="859">
        <v>99</v>
      </c>
      <c r="I313" s="859">
        <v>99</v>
      </c>
      <c r="J313" s="860">
        <v>0.17</v>
      </c>
      <c r="K313" s="861">
        <v>999</v>
      </c>
      <c r="M313" s="865">
        <v>52</v>
      </c>
      <c r="N313" s="467">
        <v>-6</v>
      </c>
      <c r="O313" s="464">
        <f t="shared" si="22"/>
        <v>-0.4</v>
      </c>
    </row>
    <row r="314" spans="1:15" ht="12.75" customHeight="1" x14ac:dyDescent="0.25">
      <c r="A314" s="852">
        <v>1</v>
      </c>
      <c r="B314" s="853">
        <v>99</v>
      </c>
      <c r="C314" s="853">
        <v>99</v>
      </c>
      <c r="D314" s="854">
        <v>0.18</v>
      </c>
      <c r="E314" s="855">
        <v>999</v>
      </c>
      <c r="G314" s="852">
        <v>1</v>
      </c>
      <c r="H314" s="853">
        <v>99</v>
      </c>
      <c r="I314" s="853">
        <v>99</v>
      </c>
      <c r="J314" s="854">
        <v>0.18</v>
      </c>
      <c r="K314" s="855">
        <v>999</v>
      </c>
      <c r="M314" s="865">
        <v>53</v>
      </c>
      <c r="N314" s="467">
        <v>-6</v>
      </c>
      <c r="O314" s="464">
        <f t="shared" si="22"/>
        <v>-0.35</v>
      </c>
    </row>
    <row r="315" spans="1:15" ht="12.75" customHeight="1" x14ac:dyDescent="0.25">
      <c r="A315" s="630">
        <v>2</v>
      </c>
      <c r="B315" s="86">
        <v>99</v>
      </c>
      <c r="C315" s="86">
        <v>99</v>
      </c>
      <c r="D315" s="856">
        <v>0.18</v>
      </c>
      <c r="E315" s="857">
        <v>999</v>
      </c>
      <c r="G315" s="630">
        <v>2</v>
      </c>
      <c r="H315" s="86">
        <v>99</v>
      </c>
      <c r="I315" s="86">
        <v>99</v>
      </c>
      <c r="J315" s="856">
        <v>0.18</v>
      </c>
      <c r="K315" s="857">
        <v>999</v>
      </c>
      <c r="M315" s="865">
        <v>54</v>
      </c>
      <c r="N315" s="467">
        <v>-6</v>
      </c>
      <c r="O315" s="464">
        <f t="shared" si="22"/>
        <v>-0.3</v>
      </c>
    </row>
    <row r="316" spans="1:15" ht="12.75" customHeight="1" x14ac:dyDescent="0.25">
      <c r="A316" s="630">
        <v>3</v>
      </c>
      <c r="B316" s="86">
        <v>99</v>
      </c>
      <c r="C316" s="86">
        <v>99</v>
      </c>
      <c r="D316" s="856">
        <v>0.18</v>
      </c>
      <c r="E316" s="857">
        <v>999</v>
      </c>
      <c r="G316" s="630">
        <v>3</v>
      </c>
      <c r="H316" s="86">
        <v>99</v>
      </c>
      <c r="I316" s="86">
        <v>99</v>
      </c>
      <c r="J316" s="856">
        <v>0.18</v>
      </c>
      <c r="K316" s="857">
        <v>999</v>
      </c>
      <c r="M316" s="865">
        <v>55</v>
      </c>
      <c r="N316" s="467">
        <v>-6</v>
      </c>
      <c r="O316" s="464">
        <f t="shared" si="22"/>
        <v>-0.25</v>
      </c>
    </row>
    <row r="317" spans="1:15" ht="12.75" customHeight="1" x14ac:dyDescent="0.25">
      <c r="A317" s="630">
        <v>4</v>
      </c>
      <c r="B317" s="86">
        <v>99</v>
      </c>
      <c r="C317" s="86">
        <v>99</v>
      </c>
      <c r="D317" s="856">
        <v>0.18</v>
      </c>
      <c r="E317" s="857">
        <v>999</v>
      </c>
      <c r="G317" s="630">
        <v>4</v>
      </c>
      <c r="H317" s="86">
        <v>99</v>
      </c>
      <c r="I317" s="86">
        <v>99</v>
      </c>
      <c r="J317" s="856">
        <v>0.18</v>
      </c>
      <c r="K317" s="857">
        <v>999</v>
      </c>
      <c r="M317" s="865">
        <v>56</v>
      </c>
      <c r="N317" s="467">
        <v>-6</v>
      </c>
      <c r="O317" s="464">
        <f t="shared" si="22"/>
        <v>-0.2</v>
      </c>
    </row>
    <row r="318" spans="1:15" ht="12.75" customHeight="1" x14ac:dyDescent="0.25">
      <c r="A318" s="630">
        <v>5</v>
      </c>
      <c r="B318" s="86">
        <v>99</v>
      </c>
      <c r="C318" s="86">
        <v>99</v>
      </c>
      <c r="D318" s="856">
        <v>0.18</v>
      </c>
      <c r="E318" s="857">
        <v>999</v>
      </c>
      <c r="G318" s="630">
        <v>5</v>
      </c>
      <c r="H318" s="86">
        <v>6</v>
      </c>
      <c r="I318" s="86">
        <v>6</v>
      </c>
      <c r="J318" s="856">
        <v>0.18</v>
      </c>
      <c r="K318" s="857">
        <v>81</v>
      </c>
      <c r="M318" s="865">
        <v>57</v>
      </c>
      <c r="N318" s="467">
        <v>-6</v>
      </c>
      <c r="O318" s="464">
        <f t="shared" si="22"/>
        <v>-0.15</v>
      </c>
    </row>
    <row r="319" spans="1:15" ht="12.75" customHeight="1" x14ac:dyDescent="0.25">
      <c r="A319" s="630">
        <v>6</v>
      </c>
      <c r="B319" s="86">
        <v>8</v>
      </c>
      <c r="C319" s="86">
        <v>6</v>
      </c>
      <c r="D319" s="856">
        <v>0.18</v>
      </c>
      <c r="E319" s="857">
        <v>108</v>
      </c>
      <c r="G319" s="630">
        <v>6</v>
      </c>
      <c r="H319" s="86">
        <v>7</v>
      </c>
      <c r="I319" s="86">
        <v>6</v>
      </c>
      <c r="J319" s="856">
        <v>0.18</v>
      </c>
      <c r="K319" s="857">
        <v>94.5</v>
      </c>
      <c r="M319" s="865">
        <v>58</v>
      </c>
      <c r="N319" s="467">
        <v>-6</v>
      </c>
      <c r="O319" s="464">
        <f t="shared" si="22"/>
        <v>-0.1</v>
      </c>
    </row>
    <row r="320" spans="1:15" ht="12.75" customHeight="1" x14ac:dyDescent="0.25">
      <c r="A320" s="630">
        <v>7</v>
      </c>
      <c r="B320" s="86">
        <v>99</v>
      </c>
      <c r="C320" s="86">
        <v>99</v>
      </c>
      <c r="D320" s="856">
        <v>0.18</v>
      </c>
      <c r="E320" s="857">
        <v>999</v>
      </c>
      <c r="G320" s="630">
        <v>7</v>
      </c>
      <c r="H320" s="86">
        <v>99</v>
      </c>
      <c r="I320" s="86">
        <v>99</v>
      </c>
      <c r="J320" s="856">
        <v>0.18</v>
      </c>
      <c r="K320" s="857">
        <v>999</v>
      </c>
      <c r="M320" s="531">
        <v>59</v>
      </c>
      <c r="N320" s="532">
        <v>-6</v>
      </c>
      <c r="O320" s="533">
        <f t="shared" si="22"/>
        <v>-0.05</v>
      </c>
    </row>
    <row r="321" spans="1:15" ht="12.75" customHeight="1" x14ac:dyDescent="0.25">
      <c r="A321" s="630">
        <v>8</v>
      </c>
      <c r="B321" s="86">
        <v>99</v>
      </c>
      <c r="C321" s="86">
        <v>99</v>
      </c>
      <c r="D321" s="856">
        <v>0.18</v>
      </c>
      <c r="E321" s="857">
        <v>999</v>
      </c>
      <c r="G321" s="630">
        <v>8</v>
      </c>
      <c r="H321" s="86">
        <v>99</v>
      </c>
      <c r="I321" s="86">
        <v>99</v>
      </c>
      <c r="J321" s="856">
        <v>0.18</v>
      </c>
      <c r="K321" s="857">
        <v>999</v>
      </c>
      <c r="M321" s="865">
        <v>60</v>
      </c>
      <c r="N321" s="467">
        <v>-6</v>
      </c>
      <c r="O321" s="464">
        <f t="shared" ref="O321:O349" si="23">(M321-60)/20</f>
        <v>0</v>
      </c>
    </row>
    <row r="322" spans="1:15" ht="12.75" customHeight="1" x14ac:dyDescent="0.25">
      <c r="A322" s="630">
        <v>9</v>
      </c>
      <c r="B322" s="86">
        <v>99</v>
      </c>
      <c r="C322" s="86">
        <v>99</v>
      </c>
      <c r="D322" s="856">
        <v>0.18</v>
      </c>
      <c r="E322" s="857">
        <v>999</v>
      </c>
      <c r="G322" s="630">
        <v>9</v>
      </c>
      <c r="H322" s="86">
        <v>99</v>
      </c>
      <c r="I322" s="86">
        <v>99</v>
      </c>
      <c r="J322" s="856">
        <v>0.18</v>
      </c>
      <c r="K322" s="857">
        <v>999</v>
      </c>
      <c r="M322" s="865">
        <v>61</v>
      </c>
      <c r="N322" s="467">
        <v>-6</v>
      </c>
      <c r="O322" s="464">
        <f t="shared" si="23"/>
        <v>0.05</v>
      </c>
    </row>
    <row r="323" spans="1:15" ht="12.75" customHeight="1" x14ac:dyDescent="0.25">
      <c r="A323" s="630">
        <v>10</v>
      </c>
      <c r="B323" s="86">
        <v>99</v>
      </c>
      <c r="C323" s="86">
        <v>99</v>
      </c>
      <c r="D323" s="856">
        <v>0.18</v>
      </c>
      <c r="E323" s="857">
        <v>999</v>
      </c>
      <c r="G323" s="630">
        <v>10</v>
      </c>
      <c r="H323" s="86">
        <v>99</v>
      </c>
      <c r="I323" s="86">
        <v>99</v>
      </c>
      <c r="J323" s="856">
        <v>0.18</v>
      </c>
      <c r="K323" s="857">
        <v>999</v>
      </c>
      <c r="M323" s="531">
        <v>62</v>
      </c>
      <c r="N323" s="532">
        <v>-6</v>
      </c>
      <c r="O323" s="533">
        <f t="shared" si="23"/>
        <v>0.1</v>
      </c>
    </row>
    <row r="324" spans="1:15" ht="12.75" customHeight="1" x14ac:dyDescent="0.25">
      <c r="A324" s="630">
        <v>11</v>
      </c>
      <c r="B324" s="86">
        <v>99</v>
      </c>
      <c r="C324" s="86">
        <v>99</v>
      </c>
      <c r="D324" s="856">
        <v>0.18</v>
      </c>
      <c r="E324" s="857">
        <v>999</v>
      </c>
      <c r="G324" s="630">
        <v>11</v>
      </c>
      <c r="H324" s="86">
        <v>99</v>
      </c>
      <c r="I324" s="86">
        <v>99</v>
      </c>
      <c r="J324" s="856">
        <v>0.18</v>
      </c>
      <c r="K324" s="857">
        <v>999</v>
      </c>
      <c r="M324" s="865">
        <v>63</v>
      </c>
      <c r="N324" s="467">
        <v>-6</v>
      </c>
      <c r="O324" s="464">
        <f t="shared" si="23"/>
        <v>0.15</v>
      </c>
    </row>
    <row r="325" spans="1:15" ht="12.75" customHeight="1" x14ac:dyDescent="0.25">
      <c r="A325" s="630">
        <v>12</v>
      </c>
      <c r="B325" s="86">
        <v>99</v>
      </c>
      <c r="C325" s="86">
        <v>99</v>
      </c>
      <c r="D325" s="856">
        <v>0.18</v>
      </c>
      <c r="E325" s="857">
        <v>999</v>
      </c>
      <c r="G325" s="630">
        <v>12</v>
      </c>
      <c r="H325" s="86">
        <v>99</v>
      </c>
      <c r="I325" s="86">
        <v>99</v>
      </c>
      <c r="J325" s="856">
        <v>0.18</v>
      </c>
      <c r="K325" s="857">
        <v>999</v>
      </c>
      <c r="M325" s="865">
        <v>64</v>
      </c>
      <c r="N325" s="467">
        <v>-6</v>
      </c>
      <c r="O325" s="464">
        <f t="shared" si="23"/>
        <v>0.2</v>
      </c>
    </row>
    <row r="326" spans="1:15" ht="12.75" customHeight="1" x14ac:dyDescent="0.25">
      <c r="A326" s="630">
        <v>13</v>
      </c>
      <c r="B326" s="86">
        <v>99</v>
      </c>
      <c r="C326" s="86">
        <v>99</v>
      </c>
      <c r="D326" s="856">
        <v>0.18</v>
      </c>
      <c r="E326" s="857">
        <v>999</v>
      </c>
      <c r="G326" s="630">
        <v>13</v>
      </c>
      <c r="H326" s="86">
        <v>99</v>
      </c>
      <c r="I326" s="86">
        <v>99</v>
      </c>
      <c r="J326" s="856">
        <v>0.18</v>
      </c>
      <c r="K326" s="857">
        <v>999</v>
      </c>
      <c r="M326" s="531">
        <v>65</v>
      </c>
      <c r="N326" s="532">
        <v>-6</v>
      </c>
      <c r="O326" s="533">
        <f t="shared" si="23"/>
        <v>0.25</v>
      </c>
    </row>
    <row r="327" spans="1:15" ht="12.75" customHeight="1" x14ac:dyDescent="0.25">
      <c r="A327" s="630">
        <v>14</v>
      </c>
      <c r="B327" s="86">
        <v>99</v>
      </c>
      <c r="C327" s="86">
        <v>99</v>
      </c>
      <c r="D327" s="856">
        <v>0.18</v>
      </c>
      <c r="E327" s="857">
        <v>999</v>
      </c>
      <c r="G327" s="630">
        <v>14</v>
      </c>
      <c r="H327" s="86">
        <v>99</v>
      </c>
      <c r="I327" s="86">
        <v>99</v>
      </c>
      <c r="J327" s="856">
        <v>0.18</v>
      </c>
      <c r="K327" s="857">
        <v>999</v>
      </c>
      <c r="M327" s="865">
        <v>66</v>
      </c>
      <c r="N327" s="467">
        <v>-6</v>
      </c>
      <c r="O327" s="464">
        <f t="shared" si="23"/>
        <v>0.3</v>
      </c>
    </row>
    <row r="328" spans="1:15" ht="12.75" customHeight="1" x14ac:dyDescent="0.25">
      <c r="A328" s="630">
        <v>15</v>
      </c>
      <c r="B328" s="86">
        <v>99</v>
      </c>
      <c r="C328" s="86">
        <v>99</v>
      </c>
      <c r="D328" s="856">
        <v>0.18</v>
      </c>
      <c r="E328" s="857">
        <v>999</v>
      </c>
      <c r="G328" s="630">
        <v>15</v>
      </c>
      <c r="H328" s="86">
        <v>99</v>
      </c>
      <c r="I328" s="86">
        <v>99</v>
      </c>
      <c r="J328" s="856">
        <v>0.18</v>
      </c>
      <c r="K328" s="857">
        <v>999</v>
      </c>
      <c r="M328" s="865">
        <v>67</v>
      </c>
      <c r="N328" s="467">
        <v>-6</v>
      </c>
      <c r="O328" s="464">
        <f t="shared" si="23"/>
        <v>0.35</v>
      </c>
    </row>
    <row r="329" spans="1:15" ht="12.75" customHeight="1" x14ac:dyDescent="0.25">
      <c r="A329" s="630">
        <v>16</v>
      </c>
      <c r="B329" s="86">
        <v>99</v>
      </c>
      <c r="C329" s="86">
        <v>99</v>
      </c>
      <c r="D329" s="856">
        <v>0.18</v>
      </c>
      <c r="E329" s="857">
        <v>999</v>
      </c>
      <c r="G329" s="630">
        <v>16</v>
      </c>
      <c r="H329" s="86">
        <v>99</v>
      </c>
      <c r="I329" s="86">
        <v>99</v>
      </c>
      <c r="J329" s="856">
        <v>0.18</v>
      </c>
      <c r="K329" s="857">
        <v>999</v>
      </c>
      <c r="M329" s="531">
        <v>68</v>
      </c>
      <c r="N329" s="532">
        <v>-6</v>
      </c>
      <c r="O329" s="533">
        <f t="shared" si="23"/>
        <v>0.4</v>
      </c>
    </row>
    <row r="330" spans="1:15" ht="12.75" customHeight="1" x14ac:dyDescent="0.25">
      <c r="A330" s="630">
        <v>17</v>
      </c>
      <c r="B330" s="86">
        <v>99</v>
      </c>
      <c r="C330" s="86">
        <v>99</v>
      </c>
      <c r="D330" s="856">
        <v>0.18</v>
      </c>
      <c r="E330" s="857">
        <v>999</v>
      </c>
      <c r="G330" s="630">
        <v>17</v>
      </c>
      <c r="H330" s="86">
        <v>99</v>
      </c>
      <c r="I330" s="86">
        <v>99</v>
      </c>
      <c r="J330" s="856">
        <v>0.18</v>
      </c>
      <c r="K330" s="857">
        <v>999</v>
      </c>
      <c r="M330" s="865">
        <v>69</v>
      </c>
      <c r="N330" s="467">
        <v>-6</v>
      </c>
      <c r="O330" s="464">
        <f t="shared" si="23"/>
        <v>0.45</v>
      </c>
    </row>
    <row r="331" spans="1:15" ht="12.75" customHeight="1" x14ac:dyDescent="0.25">
      <c r="A331" s="630">
        <v>18</v>
      </c>
      <c r="B331" s="86">
        <v>99</v>
      </c>
      <c r="C331" s="86">
        <v>99</v>
      </c>
      <c r="D331" s="856">
        <v>0.18</v>
      </c>
      <c r="E331" s="857">
        <v>999</v>
      </c>
      <c r="G331" s="630">
        <v>18</v>
      </c>
      <c r="H331" s="86">
        <v>99</v>
      </c>
      <c r="I331" s="86">
        <v>99</v>
      </c>
      <c r="J331" s="856">
        <v>0.18</v>
      </c>
      <c r="K331" s="857">
        <v>999</v>
      </c>
      <c r="M331" s="865">
        <v>70</v>
      </c>
      <c r="N331" s="467">
        <v>-6</v>
      </c>
      <c r="O331" s="464">
        <f t="shared" si="23"/>
        <v>0.5</v>
      </c>
    </row>
    <row r="332" spans="1:15" ht="12.75" customHeight="1" x14ac:dyDescent="0.25">
      <c r="A332" s="630">
        <v>19</v>
      </c>
      <c r="B332" s="86">
        <v>99</v>
      </c>
      <c r="C332" s="86">
        <v>99</v>
      </c>
      <c r="D332" s="856">
        <v>0.18</v>
      </c>
      <c r="E332" s="857">
        <v>999</v>
      </c>
      <c r="G332" s="630">
        <v>19</v>
      </c>
      <c r="H332" s="86">
        <v>99</v>
      </c>
      <c r="I332" s="86">
        <v>99</v>
      </c>
      <c r="J332" s="856">
        <v>0.18</v>
      </c>
      <c r="K332" s="857">
        <v>999</v>
      </c>
      <c r="M332" s="531">
        <v>71</v>
      </c>
      <c r="N332" s="532">
        <v>-6</v>
      </c>
      <c r="O332" s="533">
        <f t="shared" si="23"/>
        <v>0.55000000000000004</v>
      </c>
    </row>
    <row r="333" spans="1:15" ht="12.75" customHeight="1" thickBot="1" x14ac:dyDescent="0.3">
      <c r="A333" s="858">
        <v>20</v>
      </c>
      <c r="B333" s="859">
        <v>99</v>
      </c>
      <c r="C333" s="859">
        <v>99</v>
      </c>
      <c r="D333" s="860">
        <v>0.18</v>
      </c>
      <c r="E333" s="861">
        <v>999</v>
      </c>
      <c r="G333" s="858">
        <v>20</v>
      </c>
      <c r="H333" s="859">
        <v>99</v>
      </c>
      <c r="I333" s="859">
        <v>99</v>
      </c>
      <c r="J333" s="860">
        <v>0.18</v>
      </c>
      <c r="K333" s="861">
        <v>999</v>
      </c>
      <c r="M333" s="865">
        <v>72</v>
      </c>
      <c r="N333" s="467">
        <v>-6</v>
      </c>
      <c r="O333" s="464">
        <f t="shared" si="23"/>
        <v>0.6</v>
      </c>
    </row>
    <row r="334" spans="1:15" ht="12.75" customHeight="1" x14ac:dyDescent="0.25">
      <c r="A334" s="852">
        <v>1</v>
      </c>
      <c r="B334" s="853">
        <v>99</v>
      </c>
      <c r="C334" s="853">
        <v>99</v>
      </c>
      <c r="D334" s="854">
        <v>0.19</v>
      </c>
      <c r="E334" s="855">
        <v>999</v>
      </c>
      <c r="G334" s="852">
        <v>1</v>
      </c>
      <c r="H334" s="853">
        <v>99</v>
      </c>
      <c r="I334" s="853">
        <v>99</v>
      </c>
      <c r="J334" s="854">
        <v>0.19</v>
      </c>
      <c r="K334" s="855">
        <v>999</v>
      </c>
      <c r="M334" s="865">
        <v>73</v>
      </c>
      <c r="N334" s="467">
        <v>-6</v>
      </c>
      <c r="O334" s="464">
        <f t="shared" si="23"/>
        <v>0.65</v>
      </c>
    </row>
    <row r="335" spans="1:15" ht="12.75" customHeight="1" x14ac:dyDescent="0.25">
      <c r="A335" s="630">
        <v>2</v>
      </c>
      <c r="B335" s="86">
        <v>99</v>
      </c>
      <c r="C335" s="86">
        <v>99</v>
      </c>
      <c r="D335" s="856">
        <v>0.19</v>
      </c>
      <c r="E335" s="857">
        <v>999</v>
      </c>
      <c r="G335" s="630">
        <v>2</v>
      </c>
      <c r="H335" s="86">
        <v>99</v>
      </c>
      <c r="I335" s="86">
        <v>99</v>
      </c>
      <c r="J335" s="856">
        <v>0.19</v>
      </c>
      <c r="K335" s="857">
        <v>999</v>
      </c>
      <c r="M335" s="531">
        <v>74</v>
      </c>
      <c r="N335" s="532">
        <v>-6</v>
      </c>
      <c r="O335" s="533">
        <f t="shared" si="23"/>
        <v>0.7</v>
      </c>
    </row>
    <row r="336" spans="1:15" ht="12.75" customHeight="1" x14ac:dyDescent="0.25">
      <c r="A336" s="630">
        <v>3</v>
      </c>
      <c r="B336" s="86">
        <v>99</v>
      </c>
      <c r="C336" s="86">
        <v>99</v>
      </c>
      <c r="D336" s="856">
        <v>0.19</v>
      </c>
      <c r="E336" s="857">
        <v>999</v>
      </c>
      <c r="G336" s="630">
        <v>3</v>
      </c>
      <c r="H336" s="86">
        <v>99</v>
      </c>
      <c r="I336" s="86">
        <v>99</v>
      </c>
      <c r="J336" s="856">
        <v>0.19</v>
      </c>
      <c r="K336" s="857">
        <v>999</v>
      </c>
      <c r="M336" s="865">
        <v>75</v>
      </c>
      <c r="N336" s="467">
        <v>-6</v>
      </c>
      <c r="O336" s="464">
        <f t="shared" si="23"/>
        <v>0.75</v>
      </c>
    </row>
    <row r="337" spans="1:15" ht="12.75" customHeight="1" x14ac:dyDescent="0.25">
      <c r="A337" s="630">
        <v>4</v>
      </c>
      <c r="B337" s="86">
        <v>99</v>
      </c>
      <c r="C337" s="86">
        <v>99</v>
      </c>
      <c r="D337" s="856">
        <v>0.19</v>
      </c>
      <c r="E337" s="857">
        <v>999</v>
      </c>
      <c r="G337" s="630">
        <v>4</v>
      </c>
      <c r="H337" s="86">
        <v>99</v>
      </c>
      <c r="I337" s="86">
        <v>99</v>
      </c>
      <c r="J337" s="856">
        <v>0.19</v>
      </c>
      <c r="K337" s="857">
        <v>999</v>
      </c>
      <c r="M337" s="865">
        <v>76</v>
      </c>
      <c r="N337" s="467">
        <v>-6</v>
      </c>
      <c r="O337" s="464">
        <f t="shared" si="23"/>
        <v>0.8</v>
      </c>
    </row>
    <row r="338" spans="1:15" ht="12.75" customHeight="1" x14ac:dyDescent="0.25">
      <c r="A338" s="630">
        <v>5</v>
      </c>
      <c r="B338" s="86">
        <v>99</v>
      </c>
      <c r="C338" s="86">
        <v>99</v>
      </c>
      <c r="D338" s="856">
        <v>0.19</v>
      </c>
      <c r="E338" s="857">
        <v>999</v>
      </c>
      <c r="G338" s="630">
        <v>5</v>
      </c>
      <c r="H338" s="86">
        <v>99</v>
      </c>
      <c r="I338" s="86">
        <v>99</v>
      </c>
      <c r="J338" s="856">
        <v>0.19</v>
      </c>
      <c r="K338" s="857">
        <v>999</v>
      </c>
      <c r="M338" s="531">
        <v>77</v>
      </c>
      <c r="N338" s="532">
        <v>-6</v>
      </c>
      <c r="O338" s="533">
        <f t="shared" si="23"/>
        <v>0.85</v>
      </c>
    </row>
    <row r="339" spans="1:15" ht="12.75" customHeight="1" x14ac:dyDescent="0.25">
      <c r="A339" s="630">
        <v>6</v>
      </c>
      <c r="B339" s="86">
        <v>99</v>
      </c>
      <c r="C339" s="86">
        <v>99</v>
      </c>
      <c r="D339" s="856">
        <v>0.19</v>
      </c>
      <c r="E339" s="857">
        <v>999</v>
      </c>
      <c r="G339" s="630">
        <v>6</v>
      </c>
      <c r="H339" s="86">
        <v>99</v>
      </c>
      <c r="I339" s="86">
        <v>99</v>
      </c>
      <c r="J339" s="856">
        <v>0.19</v>
      </c>
      <c r="K339" s="857">
        <v>999</v>
      </c>
      <c r="M339" s="865">
        <v>78</v>
      </c>
      <c r="N339" s="467">
        <v>-6</v>
      </c>
      <c r="O339" s="464">
        <f t="shared" si="23"/>
        <v>0.9</v>
      </c>
    </row>
    <row r="340" spans="1:15" ht="12.75" customHeight="1" x14ac:dyDescent="0.25">
      <c r="A340" s="630">
        <v>7</v>
      </c>
      <c r="B340" s="86">
        <v>99</v>
      </c>
      <c r="C340" s="86">
        <v>99</v>
      </c>
      <c r="D340" s="856">
        <v>0.19</v>
      </c>
      <c r="E340" s="857">
        <v>999</v>
      </c>
      <c r="G340" s="630">
        <v>7</v>
      </c>
      <c r="H340" s="86">
        <v>99</v>
      </c>
      <c r="I340" s="86">
        <v>99</v>
      </c>
      <c r="J340" s="856">
        <v>0.19</v>
      </c>
      <c r="K340" s="857">
        <v>999</v>
      </c>
      <c r="M340" s="865">
        <v>79</v>
      </c>
      <c r="N340" s="467">
        <v>-6</v>
      </c>
      <c r="O340" s="464">
        <f t="shared" si="23"/>
        <v>0.95</v>
      </c>
    </row>
    <row r="341" spans="1:15" ht="12.75" customHeight="1" x14ac:dyDescent="0.25">
      <c r="A341" s="630">
        <v>8</v>
      </c>
      <c r="B341" s="86">
        <v>99</v>
      </c>
      <c r="C341" s="86">
        <v>99</v>
      </c>
      <c r="D341" s="856">
        <v>0.19</v>
      </c>
      <c r="E341" s="857">
        <v>999</v>
      </c>
      <c r="G341" s="630">
        <v>8</v>
      </c>
      <c r="H341" s="86">
        <v>99</v>
      </c>
      <c r="I341" s="86">
        <v>99</v>
      </c>
      <c r="J341" s="856">
        <v>0.19</v>
      </c>
      <c r="K341" s="857">
        <v>999</v>
      </c>
      <c r="M341" s="531">
        <v>80</v>
      </c>
      <c r="N341" s="532">
        <v>-6</v>
      </c>
      <c r="O341" s="533">
        <f t="shared" si="23"/>
        <v>1</v>
      </c>
    </row>
    <row r="342" spans="1:15" ht="12.75" customHeight="1" x14ac:dyDescent="0.25">
      <c r="A342" s="630">
        <v>9</v>
      </c>
      <c r="B342" s="86">
        <v>99</v>
      </c>
      <c r="C342" s="86">
        <v>99</v>
      </c>
      <c r="D342" s="856">
        <v>0.19</v>
      </c>
      <c r="E342" s="857">
        <v>999</v>
      </c>
      <c r="G342" s="630">
        <v>9</v>
      </c>
      <c r="H342" s="86">
        <v>99</v>
      </c>
      <c r="I342" s="86">
        <v>99</v>
      </c>
      <c r="J342" s="856">
        <v>0.19</v>
      </c>
      <c r="K342" s="857">
        <v>999</v>
      </c>
      <c r="M342" s="865">
        <v>81</v>
      </c>
      <c r="N342" s="467">
        <v>-6</v>
      </c>
      <c r="O342" s="464">
        <f t="shared" si="23"/>
        <v>1.05</v>
      </c>
    </row>
    <row r="343" spans="1:15" ht="12.75" customHeight="1" x14ac:dyDescent="0.25">
      <c r="A343" s="630">
        <v>10</v>
      </c>
      <c r="B343" s="86">
        <v>99</v>
      </c>
      <c r="C343" s="86">
        <v>99</v>
      </c>
      <c r="D343" s="856">
        <v>0.19</v>
      </c>
      <c r="E343" s="857">
        <v>999</v>
      </c>
      <c r="G343" s="630">
        <v>10</v>
      </c>
      <c r="H343" s="86">
        <v>99</v>
      </c>
      <c r="I343" s="86">
        <v>99</v>
      </c>
      <c r="J343" s="856">
        <v>0.19</v>
      </c>
      <c r="K343" s="857">
        <v>999</v>
      </c>
      <c r="M343" s="865">
        <v>82</v>
      </c>
      <c r="N343" s="467">
        <v>-6</v>
      </c>
      <c r="O343" s="464">
        <f t="shared" si="23"/>
        <v>1.1000000000000001</v>
      </c>
    </row>
    <row r="344" spans="1:15" ht="12.75" customHeight="1" x14ac:dyDescent="0.25">
      <c r="A344" s="630">
        <v>11</v>
      </c>
      <c r="B344" s="86">
        <v>99</v>
      </c>
      <c r="C344" s="86">
        <v>99</v>
      </c>
      <c r="D344" s="856">
        <v>0.19</v>
      </c>
      <c r="E344" s="857">
        <v>999</v>
      </c>
      <c r="G344" s="630">
        <v>11</v>
      </c>
      <c r="H344" s="86">
        <v>99</v>
      </c>
      <c r="I344" s="86">
        <v>99</v>
      </c>
      <c r="J344" s="856">
        <v>0.19</v>
      </c>
      <c r="K344" s="857">
        <v>999</v>
      </c>
      <c r="M344" s="531">
        <v>83</v>
      </c>
      <c r="N344" s="532">
        <v>-6</v>
      </c>
      <c r="O344" s="533">
        <f t="shared" si="23"/>
        <v>1.1499999999999999</v>
      </c>
    </row>
    <row r="345" spans="1:15" ht="12.75" customHeight="1" x14ac:dyDescent="0.25">
      <c r="A345" s="630">
        <v>12</v>
      </c>
      <c r="B345" s="86">
        <v>99</v>
      </c>
      <c r="C345" s="86">
        <v>99</v>
      </c>
      <c r="D345" s="856">
        <v>0.19</v>
      </c>
      <c r="E345" s="857">
        <v>999</v>
      </c>
      <c r="G345" s="630">
        <v>12</v>
      </c>
      <c r="H345" s="86">
        <v>99</v>
      </c>
      <c r="I345" s="86">
        <v>99</v>
      </c>
      <c r="J345" s="856">
        <v>0.19</v>
      </c>
      <c r="K345" s="857">
        <v>999</v>
      </c>
      <c r="M345" s="865">
        <v>84</v>
      </c>
      <c r="N345" s="467">
        <v>-6</v>
      </c>
      <c r="O345" s="464">
        <f t="shared" si="23"/>
        <v>1.2</v>
      </c>
    </row>
    <row r="346" spans="1:15" ht="12.75" customHeight="1" x14ac:dyDescent="0.25">
      <c r="A346" s="630">
        <v>13</v>
      </c>
      <c r="B346" s="86">
        <v>99</v>
      </c>
      <c r="C346" s="86">
        <v>99</v>
      </c>
      <c r="D346" s="856">
        <v>0.19</v>
      </c>
      <c r="E346" s="857">
        <v>999</v>
      </c>
      <c r="G346" s="630">
        <v>13</v>
      </c>
      <c r="H346" s="86">
        <v>99</v>
      </c>
      <c r="I346" s="86">
        <v>99</v>
      </c>
      <c r="J346" s="856">
        <v>0.19</v>
      </c>
      <c r="K346" s="857">
        <v>999</v>
      </c>
      <c r="M346" s="865">
        <v>85</v>
      </c>
      <c r="N346" s="467">
        <v>-6</v>
      </c>
      <c r="O346" s="464">
        <f t="shared" si="23"/>
        <v>1.25</v>
      </c>
    </row>
    <row r="347" spans="1:15" ht="12.75" customHeight="1" x14ac:dyDescent="0.25">
      <c r="A347" s="630">
        <v>14</v>
      </c>
      <c r="B347" s="86">
        <v>99</v>
      </c>
      <c r="C347" s="86">
        <v>99</v>
      </c>
      <c r="D347" s="856">
        <v>0.19</v>
      </c>
      <c r="E347" s="857">
        <v>999</v>
      </c>
      <c r="G347" s="630">
        <v>14</v>
      </c>
      <c r="H347" s="86">
        <v>99</v>
      </c>
      <c r="I347" s="86">
        <v>99</v>
      </c>
      <c r="J347" s="856">
        <v>0.19</v>
      </c>
      <c r="K347" s="857">
        <v>999</v>
      </c>
      <c r="M347" s="865">
        <v>86</v>
      </c>
      <c r="N347" s="467">
        <v>-6</v>
      </c>
      <c r="O347" s="464">
        <f t="shared" si="23"/>
        <v>1.3</v>
      </c>
    </row>
    <row r="348" spans="1:15" ht="12.75" customHeight="1" x14ac:dyDescent="0.25">
      <c r="A348" s="630">
        <v>15</v>
      </c>
      <c r="B348" s="86">
        <v>99</v>
      </c>
      <c r="C348" s="86">
        <v>99</v>
      </c>
      <c r="D348" s="856">
        <v>0.19</v>
      </c>
      <c r="E348" s="857">
        <v>999</v>
      </c>
      <c r="G348" s="630">
        <v>15</v>
      </c>
      <c r="H348" s="86">
        <v>99</v>
      </c>
      <c r="I348" s="86">
        <v>99</v>
      </c>
      <c r="J348" s="856">
        <v>0.19</v>
      </c>
      <c r="K348" s="857">
        <v>999</v>
      </c>
      <c r="M348" s="865">
        <v>87</v>
      </c>
      <c r="N348" s="467">
        <v>-6</v>
      </c>
      <c r="O348" s="464">
        <f t="shared" si="23"/>
        <v>1.35</v>
      </c>
    </row>
    <row r="349" spans="1:15" ht="12.75" customHeight="1" x14ac:dyDescent="0.25">
      <c r="A349" s="630">
        <v>16</v>
      </c>
      <c r="B349" s="86">
        <v>99</v>
      </c>
      <c r="C349" s="86">
        <v>99</v>
      </c>
      <c r="D349" s="856">
        <v>0.19</v>
      </c>
      <c r="E349" s="857">
        <v>999</v>
      </c>
      <c r="G349" s="630">
        <v>16</v>
      </c>
      <c r="H349" s="86">
        <v>99</v>
      </c>
      <c r="I349" s="86">
        <v>99</v>
      </c>
      <c r="J349" s="856">
        <v>0.19</v>
      </c>
      <c r="K349" s="857">
        <v>999</v>
      </c>
      <c r="M349" s="531">
        <v>88</v>
      </c>
      <c r="N349" s="532">
        <v>-6</v>
      </c>
      <c r="O349" s="533">
        <f t="shared" si="23"/>
        <v>1.4</v>
      </c>
    </row>
    <row r="350" spans="1:15" ht="12.75" customHeight="1" x14ac:dyDescent="0.25">
      <c r="A350" s="630">
        <v>17</v>
      </c>
      <c r="B350" s="86">
        <v>99</v>
      </c>
      <c r="C350" s="86">
        <v>99</v>
      </c>
      <c r="D350" s="856">
        <v>0.19</v>
      </c>
      <c r="E350" s="857">
        <v>999</v>
      </c>
      <c r="G350" s="630">
        <v>17</v>
      </c>
      <c r="H350" s="86">
        <v>99</v>
      </c>
      <c r="I350" s="86">
        <v>99</v>
      </c>
      <c r="J350" s="856">
        <v>0.19</v>
      </c>
      <c r="K350" s="857">
        <v>999</v>
      </c>
      <c r="M350" s="865">
        <v>89</v>
      </c>
      <c r="N350" s="467">
        <v>-6</v>
      </c>
      <c r="O350" s="464">
        <f t="shared" ref="O350:O361" si="24">(M350-60)/20</f>
        <v>1.45</v>
      </c>
    </row>
    <row r="351" spans="1:15" ht="12.75" customHeight="1" x14ac:dyDescent="0.25">
      <c r="A351" s="630">
        <v>18</v>
      </c>
      <c r="B351" s="86">
        <v>99</v>
      </c>
      <c r="C351" s="86">
        <v>99</v>
      </c>
      <c r="D351" s="856">
        <v>0.19</v>
      </c>
      <c r="E351" s="857">
        <v>999</v>
      </c>
      <c r="G351" s="630">
        <v>18</v>
      </c>
      <c r="H351" s="86">
        <v>99</v>
      </c>
      <c r="I351" s="86">
        <v>99</v>
      </c>
      <c r="J351" s="856">
        <v>0.19</v>
      </c>
      <c r="K351" s="857">
        <v>999</v>
      </c>
      <c r="M351" s="865">
        <v>90</v>
      </c>
      <c r="N351" s="467">
        <v>-6</v>
      </c>
      <c r="O351" s="464">
        <f t="shared" si="24"/>
        <v>1.5</v>
      </c>
    </row>
    <row r="352" spans="1:15" ht="12.75" customHeight="1" x14ac:dyDescent="0.25">
      <c r="A352" s="630">
        <v>19</v>
      </c>
      <c r="B352" s="86">
        <v>99</v>
      </c>
      <c r="C352" s="86">
        <v>99</v>
      </c>
      <c r="D352" s="856">
        <v>0.19</v>
      </c>
      <c r="E352" s="857">
        <v>999</v>
      </c>
      <c r="G352" s="630">
        <v>19</v>
      </c>
      <c r="H352" s="86">
        <v>99</v>
      </c>
      <c r="I352" s="86">
        <v>99</v>
      </c>
      <c r="J352" s="856">
        <v>0.19</v>
      </c>
      <c r="K352" s="857">
        <v>999</v>
      </c>
      <c r="M352" s="531">
        <v>91</v>
      </c>
      <c r="N352" s="532">
        <v>-6</v>
      </c>
      <c r="O352" s="533">
        <f t="shared" si="24"/>
        <v>1.55</v>
      </c>
    </row>
    <row r="353" spans="1:15" ht="12.75" customHeight="1" thickBot="1" x14ac:dyDescent="0.3">
      <c r="A353" s="858">
        <v>20</v>
      </c>
      <c r="B353" s="859">
        <v>99</v>
      </c>
      <c r="C353" s="859">
        <v>99</v>
      </c>
      <c r="D353" s="860">
        <v>0.19</v>
      </c>
      <c r="E353" s="861">
        <v>999</v>
      </c>
      <c r="G353" s="858">
        <v>20</v>
      </c>
      <c r="H353" s="859">
        <v>99</v>
      </c>
      <c r="I353" s="859">
        <v>99</v>
      </c>
      <c r="J353" s="860">
        <v>0.19</v>
      </c>
      <c r="K353" s="861">
        <v>999</v>
      </c>
      <c r="M353" s="865">
        <v>92</v>
      </c>
      <c r="N353" s="467">
        <v>-6</v>
      </c>
      <c r="O353" s="464">
        <f t="shared" si="24"/>
        <v>1.6</v>
      </c>
    </row>
    <row r="354" spans="1:15" ht="12.75" customHeight="1" x14ac:dyDescent="0.25">
      <c r="A354" s="852">
        <v>1</v>
      </c>
      <c r="B354" s="853">
        <v>99</v>
      </c>
      <c r="C354" s="853">
        <v>99</v>
      </c>
      <c r="D354" s="854">
        <v>0.2</v>
      </c>
      <c r="E354" s="855">
        <v>999</v>
      </c>
      <c r="G354" s="852">
        <v>1</v>
      </c>
      <c r="H354" s="853">
        <v>1</v>
      </c>
      <c r="I354" s="853">
        <v>8</v>
      </c>
      <c r="J354" s="854">
        <v>0.2</v>
      </c>
      <c r="K354" s="855">
        <v>15.5</v>
      </c>
      <c r="M354" s="865">
        <v>93</v>
      </c>
      <c r="N354" s="467">
        <v>-6</v>
      </c>
      <c r="O354" s="464">
        <f t="shared" si="24"/>
        <v>1.65</v>
      </c>
    </row>
    <row r="355" spans="1:15" ht="12.75" customHeight="1" x14ac:dyDescent="0.25">
      <c r="A355" s="630">
        <v>2</v>
      </c>
      <c r="B355" s="86">
        <v>99</v>
      </c>
      <c r="C355" s="86">
        <v>99</v>
      </c>
      <c r="D355" s="856">
        <v>0.2</v>
      </c>
      <c r="E355" s="857">
        <v>999</v>
      </c>
      <c r="G355" s="630">
        <v>2</v>
      </c>
      <c r="H355" s="86">
        <v>99</v>
      </c>
      <c r="I355" s="86">
        <v>99</v>
      </c>
      <c r="J355" s="856">
        <v>0.2</v>
      </c>
      <c r="K355" s="857">
        <v>999</v>
      </c>
      <c r="M355" s="531">
        <v>94</v>
      </c>
      <c r="N355" s="532">
        <v>-6</v>
      </c>
      <c r="O355" s="533">
        <f t="shared" si="24"/>
        <v>1.7</v>
      </c>
    </row>
    <row r="356" spans="1:15" ht="12.75" customHeight="1" x14ac:dyDescent="0.25">
      <c r="A356" s="630">
        <v>3</v>
      </c>
      <c r="B356" s="86">
        <v>99</v>
      </c>
      <c r="C356" s="86">
        <v>99</v>
      </c>
      <c r="D356" s="856">
        <v>0.2</v>
      </c>
      <c r="E356" s="857">
        <v>999</v>
      </c>
      <c r="G356" s="630">
        <v>3</v>
      </c>
      <c r="H356" s="86">
        <v>99</v>
      </c>
      <c r="I356" s="86">
        <v>99</v>
      </c>
      <c r="J356" s="856">
        <v>0.2</v>
      </c>
      <c r="K356" s="857">
        <v>999</v>
      </c>
      <c r="M356" s="865">
        <v>95</v>
      </c>
      <c r="N356" s="467">
        <v>-6</v>
      </c>
      <c r="O356" s="464">
        <f t="shared" si="24"/>
        <v>1.75</v>
      </c>
    </row>
    <row r="357" spans="1:15" ht="12.75" customHeight="1" x14ac:dyDescent="0.25">
      <c r="A357" s="630">
        <v>4</v>
      </c>
      <c r="B357" s="86">
        <v>99</v>
      </c>
      <c r="C357" s="86">
        <v>99</v>
      </c>
      <c r="D357" s="856">
        <v>0.2</v>
      </c>
      <c r="E357" s="857">
        <v>999</v>
      </c>
      <c r="G357" s="630">
        <v>4</v>
      </c>
      <c r="H357" s="86">
        <v>99</v>
      </c>
      <c r="I357" s="86">
        <v>99</v>
      </c>
      <c r="J357" s="856">
        <v>0.2</v>
      </c>
      <c r="K357" s="857">
        <v>999</v>
      </c>
      <c r="M357" s="865">
        <v>96</v>
      </c>
      <c r="N357" s="467">
        <v>-6</v>
      </c>
      <c r="O357" s="464">
        <f t="shared" si="24"/>
        <v>1.8</v>
      </c>
    </row>
    <row r="358" spans="1:15" ht="12.75" customHeight="1" x14ac:dyDescent="0.25">
      <c r="A358" s="630">
        <v>5</v>
      </c>
      <c r="B358" s="86">
        <v>99</v>
      </c>
      <c r="C358" s="86">
        <v>99</v>
      </c>
      <c r="D358" s="856">
        <v>0.2</v>
      </c>
      <c r="E358" s="857">
        <v>999</v>
      </c>
      <c r="G358" s="630">
        <v>5</v>
      </c>
      <c r="H358" s="86">
        <v>99</v>
      </c>
      <c r="I358" s="86">
        <v>99</v>
      </c>
      <c r="J358" s="856">
        <v>0.2</v>
      </c>
      <c r="K358" s="857">
        <v>999</v>
      </c>
      <c r="M358" s="531">
        <v>97</v>
      </c>
      <c r="N358" s="532">
        <v>-6</v>
      </c>
      <c r="O358" s="533">
        <f t="shared" si="24"/>
        <v>1.85</v>
      </c>
    </row>
    <row r="359" spans="1:15" ht="12.75" customHeight="1" x14ac:dyDescent="0.25">
      <c r="A359" s="630">
        <v>6</v>
      </c>
      <c r="B359" s="86">
        <v>99</v>
      </c>
      <c r="C359" s="86">
        <v>99</v>
      </c>
      <c r="D359" s="856">
        <v>0.2</v>
      </c>
      <c r="E359" s="857">
        <v>999</v>
      </c>
      <c r="G359" s="630">
        <v>6</v>
      </c>
      <c r="H359" s="86">
        <v>99</v>
      </c>
      <c r="I359" s="86">
        <v>99</v>
      </c>
      <c r="J359" s="856">
        <v>0.2</v>
      </c>
      <c r="K359" s="857">
        <v>999</v>
      </c>
      <c r="M359" s="865">
        <v>98</v>
      </c>
      <c r="N359" s="467">
        <v>-6</v>
      </c>
      <c r="O359" s="464">
        <f t="shared" si="24"/>
        <v>1.9</v>
      </c>
    </row>
    <row r="360" spans="1:15" ht="12.75" customHeight="1" x14ac:dyDescent="0.25">
      <c r="A360" s="630">
        <v>7</v>
      </c>
      <c r="B360" s="86">
        <v>99</v>
      </c>
      <c r="C360" s="86">
        <v>99</v>
      </c>
      <c r="D360" s="856">
        <v>0.2</v>
      </c>
      <c r="E360" s="857">
        <v>999</v>
      </c>
      <c r="G360" s="630">
        <v>7</v>
      </c>
      <c r="H360" s="86">
        <v>99</v>
      </c>
      <c r="I360" s="86">
        <v>99</v>
      </c>
      <c r="J360" s="856">
        <v>0.2</v>
      </c>
      <c r="K360" s="857">
        <v>999</v>
      </c>
      <c r="M360" s="865">
        <v>99</v>
      </c>
      <c r="N360" s="467">
        <v>-6</v>
      </c>
      <c r="O360" s="464">
        <f t="shared" si="24"/>
        <v>1.95</v>
      </c>
    </row>
    <row r="361" spans="1:15" ht="12.75" customHeight="1" thickBot="1" x14ac:dyDescent="0.3">
      <c r="A361" s="630">
        <v>8</v>
      </c>
      <c r="B361" s="86">
        <v>99</v>
      </c>
      <c r="C361" s="86">
        <v>99</v>
      </c>
      <c r="D361" s="856">
        <v>0.2</v>
      </c>
      <c r="E361" s="857">
        <v>999</v>
      </c>
      <c r="G361" s="630">
        <v>8</v>
      </c>
      <c r="H361" s="86">
        <v>99</v>
      </c>
      <c r="I361" s="86">
        <v>99</v>
      </c>
      <c r="J361" s="856">
        <v>0.2</v>
      </c>
      <c r="K361" s="857">
        <v>999</v>
      </c>
      <c r="M361" s="12">
        <v>100</v>
      </c>
      <c r="N361" s="466">
        <v>-6</v>
      </c>
      <c r="O361" s="465">
        <f t="shared" si="24"/>
        <v>2</v>
      </c>
    </row>
    <row r="362" spans="1:15" ht="12.75" customHeight="1" x14ac:dyDescent="0.25">
      <c r="A362" s="630">
        <v>9</v>
      </c>
      <c r="B362" s="86">
        <v>99</v>
      </c>
      <c r="C362" s="86">
        <v>99</v>
      </c>
      <c r="D362" s="856">
        <v>0.2</v>
      </c>
      <c r="E362" s="857">
        <v>999</v>
      </c>
      <c r="G362" s="630">
        <v>9</v>
      </c>
      <c r="H362" s="86">
        <v>99</v>
      </c>
      <c r="I362" s="86">
        <v>99</v>
      </c>
      <c r="J362" s="856">
        <v>0.2</v>
      </c>
      <c r="K362" s="857">
        <v>999</v>
      </c>
    </row>
    <row r="363" spans="1:15" ht="12.75" customHeight="1" x14ac:dyDescent="0.25">
      <c r="A363" s="630">
        <v>10</v>
      </c>
      <c r="B363" s="86">
        <v>99</v>
      </c>
      <c r="C363" s="86">
        <v>99</v>
      </c>
      <c r="D363" s="856">
        <v>0.2</v>
      </c>
      <c r="E363" s="857">
        <v>999</v>
      </c>
      <c r="G363" s="630">
        <v>10</v>
      </c>
      <c r="H363" s="86">
        <v>99</v>
      </c>
      <c r="I363" s="86">
        <v>99</v>
      </c>
      <c r="J363" s="856">
        <v>0.2</v>
      </c>
      <c r="K363" s="857">
        <v>999</v>
      </c>
    </row>
    <row r="364" spans="1:15" ht="12.75" customHeight="1" x14ac:dyDescent="0.25">
      <c r="A364" s="630">
        <v>11</v>
      </c>
      <c r="B364" s="86">
        <v>99</v>
      </c>
      <c r="C364" s="86">
        <v>99</v>
      </c>
      <c r="D364" s="856">
        <v>0.2</v>
      </c>
      <c r="E364" s="857">
        <v>999</v>
      </c>
      <c r="G364" s="630">
        <v>11</v>
      </c>
      <c r="H364" s="86">
        <v>99</v>
      </c>
      <c r="I364" s="86">
        <v>99</v>
      </c>
      <c r="J364" s="856">
        <v>0.2</v>
      </c>
      <c r="K364" s="857">
        <v>999</v>
      </c>
    </row>
    <row r="365" spans="1:15" ht="12.75" customHeight="1" x14ac:dyDescent="0.25">
      <c r="A365" s="630">
        <v>12</v>
      </c>
      <c r="B365" s="86">
        <v>99</v>
      </c>
      <c r="C365" s="86">
        <v>99</v>
      </c>
      <c r="D365" s="856">
        <v>0.2</v>
      </c>
      <c r="E365" s="857">
        <v>999</v>
      </c>
      <c r="G365" s="630">
        <v>12</v>
      </c>
      <c r="H365" s="86">
        <v>99</v>
      </c>
      <c r="I365" s="86">
        <v>99</v>
      </c>
      <c r="J365" s="856">
        <v>0.2</v>
      </c>
      <c r="K365" s="857">
        <v>999</v>
      </c>
    </row>
    <row r="366" spans="1:15" ht="12.75" customHeight="1" x14ac:dyDescent="0.25">
      <c r="A366" s="630">
        <v>13</v>
      </c>
      <c r="B366" s="86">
        <v>99</v>
      </c>
      <c r="C366" s="86">
        <v>99</v>
      </c>
      <c r="D366" s="856">
        <v>0.2</v>
      </c>
      <c r="E366" s="857">
        <v>999</v>
      </c>
      <c r="G366" s="630">
        <v>13</v>
      </c>
      <c r="H366" s="86">
        <v>99</v>
      </c>
      <c r="I366" s="86">
        <v>99</v>
      </c>
      <c r="J366" s="856">
        <v>0.2</v>
      </c>
      <c r="K366" s="857">
        <v>999</v>
      </c>
    </row>
    <row r="367" spans="1:15" ht="12.75" customHeight="1" x14ac:dyDescent="0.25">
      <c r="A367" s="630">
        <v>14</v>
      </c>
      <c r="B367" s="86">
        <v>99</v>
      </c>
      <c r="C367" s="86">
        <v>99</v>
      </c>
      <c r="D367" s="856">
        <v>0.2</v>
      </c>
      <c r="E367" s="857">
        <v>999</v>
      </c>
      <c r="G367" s="630">
        <v>14</v>
      </c>
      <c r="H367" s="86">
        <v>99</v>
      </c>
      <c r="I367" s="86">
        <v>99</v>
      </c>
      <c r="J367" s="856">
        <v>0.2</v>
      </c>
      <c r="K367" s="857">
        <v>999</v>
      </c>
    </row>
    <row r="368" spans="1:15" ht="12.75" customHeight="1" x14ac:dyDescent="0.25">
      <c r="A368" s="630">
        <v>15</v>
      </c>
      <c r="B368" s="86">
        <v>99</v>
      </c>
      <c r="C368" s="86">
        <v>99</v>
      </c>
      <c r="D368" s="856">
        <v>0.2</v>
      </c>
      <c r="E368" s="857">
        <v>999</v>
      </c>
      <c r="G368" s="630">
        <v>15</v>
      </c>
      <c r="H368" s="86">
        <v>99</v>
      </c>
      <c r="I368" s="86">
        <v>99</v>
      </c>
      <c r="J368" s="856">
        <v>0.2</v>
      </c>
      <c r="K368" s="857">
        <v>999</v>
      </c>
    </row>
    <row r="369" spans="1:11" ht="12.75" customHeight="1" x14ac:dyDescent="0.25">
      <c r="A369" s="630">
        <v>16</v>
      </c>
      <c r="B369" s="86">
        <v>99</v>
      </c>
      <c r="C369" s="86">
        <v>99</v>
      </c>
      <c r="D369" s="856">
        <v>0.2</v>
      </c>
      <c r="E369" s="857">
        <v>999</v>
      </c>
      <c r="G369" s="630">
        <v>16</v>
      </c>
      <c r="H369" s="86">
        <v>99</v>
      </c>
      <c r="I369" s="86">
        <v>99</v>
      </c>
      <c r="J369" s="856">
        <v>0.2</v>
      </c>
      <c r="K369" s="857">
        <v>999</v>
      </c>
    </row>
    <row r="370" spans="1:11" ht="12.75" customHeight="1" x14ac:dyDescent="0.25">
      <c r="A370" s="630">
        <v>17</v>
      </c>
      <c r="B370" s="86">
        <v>99</v>
      </c>
      <c r="C370" s="86">
        <v>99</v>
      </c>
      <c r="D370" s="856">
        <v>0.2</v>
      </c>
      <c r="E370" s="857">
        <v>999</v>
      </c>
      <c r="G370" s="630">
        <v>17</v>
      </c>
      <c r="H370" s="86">
        <v>99</v>
      </c>
      <c r="I370" s="86">
        <v>99</v>
      </c>
      <c r="J370" s="856">
        <v>0.2</v>
      </c>
      <c r="K370" s="857">
        <v>999</v>
      </c>
    </row>
    <row r="371" spans="1:11" ht="12.75" customHeight="1" x14ac:dyDescent="0.25">
      <c r="A371" s="630">
        <v>18</v>
      </c>
      <c r="B371" s="86">
        <v>99</v>
      </c>
      <c r="C371" s="86">
        <v>99</v>
      </c>
      <c r="D371" s="856">
        <v>0.2</v>
      </c>
      <c r="E371" s="857">
        <v>999</v>
      </c>
      <c r="G371" s="630">
        <v>18</v>
      </c>
      <c r="H371" s="86">
        <v>99</v>
      </c>
      <c r="I371" s="86">
        <v>99</v>
      </c>
      <c r="J371" s="856">
        <v>0.2</v>
      </c>
      <c r="K371" s="857">
        <v>999</v>
      </c>
    </row>
    <row r="372" spans="1:11" ht="12.75" customHeight="1" x14ac:dyDescent="0.25">
      <c r="A372" s="630">
        <v>19</v>
      </c>
      <c r="B372" s="86">
        <v>99</v>
      </c>
      <c r="C372" s="86">
        <v>99</v>
      </c>
      <c r="D372" s="856">
        <v>0.2</v>
      </c>
      <c r="E372" s="857">
        <v>999</v>
      </c>
      <c r="G372" s="630">
        <v>19</v>
      </c>
      <c r="H372" s="86">
        <v>99</v>
      </c>
      <c r="I372" s="86">
        <v>99</v>
      </c>
      <c r="J372" s="856">
        <v>0.2</v>
      </c>
      <c r="K372" s="857">
        <v>999</v>
      </c>
    </row>
    <row r="373" spans="1:11" ht="12.75" customHeight="1" thickBot="1" x14ac:dyDescent="0.3">
      <c r="A373" s="858">
        <v>20</v>
      </c>
      <c r="B373" s="859">
        <v>99</v>
      </c>
      <c r="C373" s="859">
        <v>99</v>
      </c>
      <c r="D373" s="860">
        <v>0.2</v>
      </c>
      <c r="E373" s="861">
        <v>999</v>
      </c>
      <c r="G373" s="858">
        <v>20</v>
      </c>
      <c r="H373" s="859">
        <v>99</v>
      </c>
      <c r="I373" s="859">
        <v>99</v>
      </c>
      <c r="J373" s="860">
        <v>0.2</v>
      </c>
      <c r="K373" s="861">
        <v>999</v>
      </c>
    </row>
    <row r="374" spans="1:11" ht="12.75" customHeight="1" thickBot="1" x14ac:dyDescent="0.3"/>
    <row r="375" spans="1:11" ht="12.75" customHeight="1" x14ac:dyDescent="0.25">
      <c r="A375" s="1100" t="str">
        <f>Lang!$A$286</f>
        <v>Scenario 12C1, 12C3, 14C1, 14C3</v>
      </c>
      <c r="B375" s="1101"/>
      <c r="C375" s="1101"/>
      <c r="D375" s="1101"/>
      <c r="E375" s="1102"/>
      <c r="G375" s="1100" t="str">
        <f>Lang!$A$286</f>
        <v>Scenario 12C1, 12C3, 14C1, 14C3</v>
      </c>
      <c r="H375" s="1101"/>
      <c r="I375" s="1101"/>
      <c r="J375" s="1101"/>
      <c r="K375" s="1102"/>
    </row>
    <row r="376" spans="1:11" ht="12.75" customHeight="1" x14ac:dyDescent="0.25">
      <c r="A376" s="957" t="str">
        <f>Lang!$A$7</f>
        <v>Europe</v>
      </c>
      <c r="B376" s="955" t="str">
        <f>Lang!$A$279</f>
        <v>Recruit</v>
      </c>
      <c r="C376" s="955" t="str">
        <f>Lang!$A$187</f>
        <v>Support</v>
      </c>
      <c r="D376" s="955" t="str">
        <f>Lang!$A$188</f>
        <v>Commission</v>
      </c>
      <c r="E376" s="956" t="str">
        <f>Lang!$A$280</f>
        <v>Cost</v>
      </c>
      <c r="G376" s="957" t="str">
        <f>Lang!$A$9</f>
        <v>Nafta</v>
      </c>
      <c r="H376" s="955" t="str">
        <f>Lang!$A$279</f>
        <v>Recruit</v>
      </c>
      <c r="I376" s="955" t="str">
        <f>Lang!$A$187</f>
        <v>Support</v>
      </c>
      <c r="J376" s="955" t="str">
        <f>Lang!$A$188</f>
        <v>Commission</v>
      </c>
      <c r="K376" s="956" t="str">
        <f>Lang!$A$280</f>
        <v>Cost</v>
      </c>
    </row>
    <row r="377" spans="1:11" ht="12.75" customHeight="1" x14ac:dyDescent="0.25">
      <c r="A377" s="852">
        <v>1</v>
      </c>
      <c r="B377" s="853">
        <v>1</v>
      </c>
      <c r="C377" s="853">
        <v>5</v>
      </c>
      <c r="D377" s="854">
        <v>0.05</v>
      </c>
      <c r="E377" s="855">
        <v>12.5</v>
      </c>
      <c r="G377" s="852">
        <v>1</v>
      </c>
      <c r="H377" s="853">
        <v>1</v>
      </c>
      <c r="I377" s="853">
        <v>5</v>
      </c>
      <c r="J377" s="854">
        <v>0.05</v>
      </c>
      <c r="K377" s="855">
        <v>12.5</v>
      </c>
    </row>
    <row r="378" spans="1:11" ht="12.75" customHeight="1" x14ac:dyDescent="0.25">
      <c r="A378" s="630">
        <v>2</v>
      </c>
      <c r="B378" s="86">
        <v>3</v>
      </c>
      <c r="C378" s="86">
        <v>8</v>
      </c>
      <c r="D378" s="856">
        <v>0.05</v>
      </c>
      <c r="E378" s="857">
        <v>46.5</v>
      </c>
      <c r="G378" s="630">
        <v>2</v>
      </c>
      <c r="H378" s="86">
        <v>2</v>
      </c>
      <c r="I378" s="86">
        <v>7</v>
      </c>
      <c r="J378" s="856">
        <v>0.05</v>
      </c>
      <c r="K378" s="857">
        <v>29</v>
      </c>
    </row>
    <row r="379" spans="1:11" ht="12.75" customHeight="1" x14ac:dyDescent="0.25">
      <c r="A379" s="630">
        <v>3</v>
      </c>
      <c r="B379" s="86">
        <v>4</v>
      </c>
      <c r="C379" s="86">
        <v>10</v>
      </c>
      <c r="D379" s="856">
        <v>0.05</v>
      </c>
      <c r="E379" s="857">
        <v>70</v>
      </c>
      <c r="G379" s="630">
        <v>3</v>
      </c>
      <c r="H379" s="86">
        <v>4</v>
      </c>
      <c r="I379" s="86">
        <v>6</v>
      </c>
      <c r="J379" s="856">
        <v>0.05</v>
      </c>
      <c r="K379" s="857">
        <v>54</v>
      </c>
    </row>
    <row r="380" spans="1:11" ht="12.75" customHeight="1" x14ac:dyDescent="0.25">
      <c r="A380" s="630">
        <v>4</v>
      </c>
      <c r="B380" s="86">
        <v>6</v>
      </c>
      <c r="C380" s="86">
        <v>9</v>
      </c>
      <c r="D380" s="856">
        <v>0.05</v>
      </c>
      <c r="E380" s="857">
        <v>99</v>
      </c>
      <c r="G380" s="630">
        <v>4</v>
      </c>
      <c r="H380" s="86">
        <v>6</v>
      </c>
      <c r="I380" s="86">
        <v>6</v>
      </c>
      <c r="J380" s="856">
        <v>0.05</v>
      </c>
      <c r="K380" s="857">
        <v>81</v>
      </c>
    </row>
    <row r="381" spans="1:11" ht="12.75" customHeight="1" x14ac:dyDescent="0.25">
      <c r="A381" s="630">
        <v>5</v>
      </c>
      <c r="B381" s="86">
        <v>11</v>
      </c>
      <c r="C381" s="86">
        <v>5</v>
      </c>
      <c r="D381" s="856">
        <v>0.05</v>
      </c>
      <c r="E381" s="857">
        <v>137.5</v>
      </c>
      <c r="G381" s="630">
        <v>5</v>
      </c>
      <c r="H381" s="86">
        <v>8</v>
      </c>
      <c r="I381" s="86">
        <v>5</v>
      </c>
      <c r="J381" s="856">
        <v>0.05</v>
      </c>
      <c r="K381" s="857">
        <v>100</v>
      </c>
    </row>
    <row r="382" spans="1:11" ht="12.75" customHeight="1" x14ac:dyDescent="0.25">
      <c r="A382" s="630">
        <v>6</v>
      </c>
      <c r="B382" s="86">
        <v>10</v>
      </c>
      <c r="C382" s="86">
        <v>8</v>
      </c>
      <c r="D382" s="856">
        <v>0.05</v>
      </c>
      <c r="E382" s="857">
        <v>155</v>
      </c>
      <c r="G382" s="630">
        <v>6</v>
      </c>
      <c r="H382" s="86">
        <v>10</v>
      </c>
      <c r="I382" s="86">
        <v>6</v>
      </c>
      <c r="J382" s="856">
        <v>0.05</v>
      </c>
      <c r="K382" s="857">
        <v>135</v>
      </c>
    </row>
    <row r="383" spans="1:11" ht="12.75" customHeight="1" x14ac:dyDescent="0.25">
      <c r="A383" s="630">
        <v>7</v>
      </c>
      <c r="B383" s="86">
        <v>11</v>
      </c>
      <c r="C383" s="86">
        <v>10</v>
      </c>
      <c r="D383" s="856">
        <v>0.05</v>
      </c>
      <c r="E383" s="857">
        <v>192.5</v>
      </c>
      <c r="G383" s="630">
        <v>7</v>
      </c>
      <c r="H383" s="86">
        <v>9</v>
      </c>
      <c r="I383" s="86">
        <v>10</v>
      </c>
      <c r="J383" s="856">
        <v>0.05</v>
      </c>
      <c r="K383" s="857">
        <v>157.5</v>
      </c>
    </row>
    <row r="384" spans="1:11" ht="12.75" customHeight="1" x14ac:dyDescent="0.25">
      <c r="A384" s="630">
        <v>8</v>
      </c>
      <c r="B384" s="86">
        <v>11</v>
      </c>
      <c r="C384" s="86">
        <v>14</v>
      </c>
      <c r="D384" s="856">
        <v>0.05</v>
      </c>
      <c r="E384" s="857">
        <v>236.5</v>
      </c>
      <c r="G384" s="630">
        <v>8</v>
      </c>
      <c r="H384" s="86">
        <v>10</v>
      </c>
      <c r="I384" s="86">
        <v>10</v>
      </c>
      <c r="J384" s="856">
        <v>0.05</v>
      </c>
      <c r="K384" s="857">
        <v>175</v>
      </c>
    </row>
    <row r="385" spans="1:11" ht="12.75" customHeight="1" x14ac:dyDescent="0.25">
      <c r="A385" s="630">
        <v>9</v>
      </c>
      <c r="B385" s="86">
        <v>15</v>
      </c>
      <c r="C385" s="86">
        <v>10</v>
      </c>
      <c r="D385" s="856">
        <v>0.05</v>
      </c>
      <c r="E385" s="857">
        <v>262.5</v>
      </c>
      <c r="G385" s="630">
        <v>9</v>
      </c>
      <c r="H385" s="86">
        <v>15</v>
      </c>
      <c r="I385" s="86">
        <v>5</v>
      </c>
      <c r="J385" s="856">
        <v>0.05</v>
      </c>
      <c r="K385" s="857">
        <v>187.5</v>
      </c>
    </row>
    <row r="386" spans="1:11" ht="12.75" customHeight="1" x14ac:dyDescent="0.25">
      <c r="A386" s="630">
        <v>10</v>
      </c>
      <c r="B386" s="86">
        <v>15</v>
      </c>
      <c r="C386" s="86">
        <v>12</v>
      </c>
      <c r="D386" s="856">
        <v>0.05</v>
      </c>
      <c r="E386" s="857">
        <v>292.5</v>
      </c>
      <c r="G386" s="630">
        <v>10</v>
      </c>
      <c r="H386" s="86">
        <v>13</v>
      </c>
      <c r="I386" s="86">
        <v>11</v>
      </c>
      <c r="J386" s="856">
        <v>0.05</v>
      </c>
      <c r="K386" s="857">
        <v>240.5</v>
      </c>
    </row>
    <row r="387" spans="1:11" ht="12.75" customHeight="1" x14ac:dyDescent="0.25">
      <c r="A387" s="630">
        <v>11</v>
      </c>
      <c r="B387" s="86">
        <v>99</v>
      </c>
      <c r="C387" s="86">
        <v>99</v>
      </c>
      <c r="D387" s="856">
        <v>0.05</v>
      </c>
      <c r="E387" s="857">
        <v>999</v>
      </c>
      <c r="G387" s="630">
        <v>11</v>
      </c>
      <c r="H387" s="86">
        <v>14</v>
      </c>
      <c r="I387" s="86">
        <v>11</v>
      </c>
      <c r="J387" s="856">
        <v>0.05</v>
      </c>
      <c r="K387" s="857">
        <v>259</v>
      </c>
    </row>
    <row r="388" spans="1:11" ht="12.75" customHeight="1" x14ac:dyDescent="0.25">
      <c r="A388" s="630">
        <v>12</v>
      </c>
      <c r="B388" s="86">
        <v>20</v>
      </c>
      <c r="C388" s="86">
        <v>10</v>
      </c>
      <c r="D388" s="856">
        <v>0.05</v>
      </c>
      <c r="E388" s="857">
        <v>350</v>
      </c>
      <c r="G388" s="630">
        <v>12</v>
      </c>
      <c r="H388" s="86">
        <v>20</v>
      </c>
      <c r="I388" s="86">
        <v>6</v>
      </c>
      <c r="J388" s="856">
        <v>0.05</v>
      </c>
      <c r="K388" s="857">
        <v>270</v>
      </c>
    </row>
    <row r="389" spans="1:11" ht="12.75" customHeight="1" x14ac:dyDescent="0.25">
      <c r="A389" s="630">
        <v>13</v>
      </c>
      <c r="B389" s="86">
        <v>99</v>
      </c>
      <c r="C389" s="86">
        <v>99</v>
      </c>
      <c r="D389" s="856">
        <v>0.05</v>
      </c>
      <c r="E389" s="857">
        <v>999</v>
      </c>
      <c r="G389" s="630">
        <v>13</v>
      </c>
      <c r="H389" s="86">
        <v>20</v>
      </c>
      <c r="I389" s="86">
        <v>8</v>
      </c>
      <c r="J389" s="856">
        <v>0.05</v>
      </c>
      <c r="K389" s="857">
        <v>310</v>
      </c>
    </row>
    <row r="390" spans="1:11" ht="12.75" customHeight="1" x14ac:dyDescent="0.25">
      <c r="A390" s="630">
        <v>14</v>
      </c>
      <c r="B390" s="86">
        <v>20</v>
      </c>
      <c r="C390" s="86">
        <v>15</v>
      </c>
      <c r="D390" s="856">
        <v>0.05</v>
      </c>
      <c r="E390" s="857">
        <v>450</v>
      </c>
      <c r="G390" s="630">
        <v>14</v>
      </c>
      <c r="H390" s="86">
        <v>99</v>
      </c>
      <c r="I390" s="86">
        <v>99</v>
      </c>
      <c r="J390" s="856">
        <v>0.05</v>
      </c>
      <c r="K390" s="857">
        <v>999</v>
      </c>
    </row>
    <row r="391" spans="1:11" ht="12.75" customHeight="1" x14ac:dyDescent="0.25">
      <c r="A391" s="630">
        <v>15</v>
      </c>
      <c r="B391" s="86">
        <v>20</v>
      </c>
      <c r="C391" s="86">
        <v>20</v>
      </c>
      <c r="D391" s="856">
        <v>0.05</v>
      </c>
      <c r="E391" s="857">
        <v>550</v>
      </c>
      <c r="G391" s="630">
        <v>15</v>
      </c>
      <c r="H391" s="86">
        <v>20</v>
      </c>
      <c r="I391" s="86">
        <v>11</v>
      </c>
      <c r="J391" s="856">
        <v>0.05</v>
      </c>
      <c r="K391" s="857">
        <v>370</v>
      </c>
    </row>
    <row r="392" spans="1:11" ht="12.75" customHeight="1" x14ac:dyDescent="0.25">
      <c r="A392" s="630">
        <v>16</v>
      </c>
      <c r="B392" s="86">
        <v>99</v>
      </c>
      <c r="C392" s="86">
        <v>99</v>
      </c>
      <c r="D392" s="856">
        <v>0.05</v>
      </c>
      <c r="E392" s="857">
        <v>999</v>
      </c>
      <c r="G392" s="630">
        <v>16</v>
      </c>
      <c r="H392" s="86">
        <v>99</v>
      </c>
      <c r="I392" s="86">
        <v>99</v>
      </c>
      <c r="J392" s="856">
        <v>0.05</v>
      </c>
      <c r="K392" s="857">
        <v>999</v>
      </c>
    </row>
    <row r="393" spans="1:11" ht="12.75" customHeight="1" x14ac:dyDescent="0.25">
      <c r="A393" s="630">
        <v>17</v>
      </c>
      <c r="B393" s="86">
        <v>99</v>
      </c>
      <c r="C393" s="86">
        <v>99</v>
      </c>
      <c r="D393" s="856">
        <v>0.05</v>
      </c>
      <c r="E393" s="857">
        <v>999</v>
      </c>
      <c r="G393" s="630">
        <v>17</v>
      </c>
      <c r="H393" s="86">
        <v>99</v>
      </c>
      <c r="I393" s="86">
        <v>99</v>
      </c>
      <c r="J393" s="856">
        <v>0.05</v>
      </c>
      <c r="K393" s="857">
        <v>999</v>
      </c>
    </row>
    <row r="394" spans="1:11" ht="12.75" customHeight="1" x14ac:dyDescent="0.25">
      <c r="A394" s="630">
        <v>18</v>
      </c>
      <c r="B394" s="86">
        <v>99</v>
      </c>
      <c r="C394" s="86">
        <v>99</v>
      </c>
      <c r="D394" s="856">
        <v>0.05</v>
      </c>
      <c r="E394" s="857">
        <v>999</v>
      </c>
      <c r="G394" s="630">
        <v>18</v>
      </c>
      <c r="H394" s="86">
        <v>99</v>
      </c>
      <c r="I394" s="86">
        <v>99</v>
      </c>
      <c r="J394" s="856">
        <v>0.05</v>
      </c>
      <c r="K394" s="857">
        <v>999</v>
      </c>
    </row>
    <row r="395" spans="1:11" ht="12.75" customHeight="1" x14ac:dyDescent="0.25">
      <c r="A395" s="630">
        <v>19</v>
      </c>
      <c r="B395" s="86">
        <v>99</v>
      </c>
      <c r="C395" s="86">
        <v>99</v>
      </c>
      <c r="D395" s="856">
        <v>0.05</v>
      </c>
      <c r="E395" s="857">
        <v>999</v>
      </c>
      <c r="G395" s="630">
        <v>19</v>
      </c>
      <c r="H395" s="86">
        <v>99</v>
      </c>
      <c r="I395" s="86">
        <v>99</v>
      </c>
      <c r="J395" s="856">
        <v>0.05</v>
      </c>
      <c r="K395" s="857">
        <v>999</v>
      </c>
    </row>
    <row r="396" spans="1:11" ht="12.75" customHeight="1" thickBot="1" x14ac:dyDescent="0.3">
      <c r="A396" s="858">
        <v>20</v>
      </c>
      <c r="B396" s="859">
        <v>99</v>
      </c>
      <c r="C396" s="859">
        <v>99</v>
      </c>
      <c r="D396" s="860">
        <v>0.05</v>
      </c>
      <c r="E396" s="861">
        <v>999</v>
      </c>
      <c r="G396" s="858">
        <v>20</v>
      </c>
      <c r="H396" s="859">
        <v>99</v>
      </c>
      <c r="I396" s="859">
        <v>99</v>
      </c>
      <c r="J396" s="860">
        <v>0.05</v>
      </c>
      <c r="K396" s="861">
        <v>999</v>
      </c>
    </row>
    <row r="397" spans="1:11" ht="12.75" customHeight="1" x14ac:dyDescent="0.25">
      <c r="A397" s="852">
        <v>1</v>
      </c>
      <c r="B397" s="853">
        <v>1</v>
      </c>
      <c r="C397" s="853">
        <v>8</v>
      </c>
      <c r="D397" s="854">
        <v>0.06</v>
      </c>
      <c r="E397" s="855">
        <v>15.5</v>
      </c>
      <c r="G397" s="852">
        <v>1</v>
      </c>
      <c r="H397" s="853">
        <v>1</v>
      </c>
      <c r="I397" s="853">
        <v>5</v>
      </c>
      <c r="J397" s="854">
        <v>0.06</v>
      </c>
      <c r="K397" s="855">
        <v>12.5</v>
      </c>
    </row>
    <row r="398" spans="1:11" ht="12.75" customHeight="1" x14ac:dyDescent="0.25">
      <c r="A398" s="630">
        <v>2</v>
      </c>
      <c r="B398" s="86">
        <v>3</v>
      </c>
      <c r="C398" s="86">
        <v>5</v>
      </c>
      <c r="D398" s="856">
        <v>0.06</v>
      </c>
      <c r="E398" s="857">
        <v>37.5</v>
      </c>
      <c r="G398" s="630">
        <v>2</v>
      </c>
      <c r="H398" s="86">
        <v>2</v>
      </c>
      <c r="I398" s="86">
        <v>7</v>
      </c>
      <c r="J398" s="856">
        <v>0.06</v>
      </c>
      <c r="K398" s="857">
        <v>29</v>
      </c>
    </row>
    <row r="399" spans="1:11" ht="12.75" customHeight="1" x14ac:dyDescent="0.25">
      <c r="A399" s="630">
        <v>3</v>
      </c>
      <c r="B399" s="86">
        <v>5</v>
      </c>
      <c r="C399" s="86">
        <v>6</v>
      </c>
      <c r="D399" s="856">
        <v>0.06</v>
      </c>
      <c r="E399" s="857">
        <v>67.5</v>
      </c>
      <c r="G399" s="630">
        <v>3</v>
      </c>
      <c r="H399" s="86">
        <v>4</v>
      </c>
      <c r="I399" s="86">
        <v>6</v>
      </c>
      <c r="J399" s="856">
        <v>0.06</v>
      </c>
      <c r="K399" s="857">
        <v>54</v>
      </c>
    </row>
    <row r="400" spans="1:11" ht="12.75" customHeight="1" x14ac:dyDescent="0.25">
      <c r="A400" s="630">
        <v>4</v>
      </c>
      <c r="B400" s="86">
        <v>6</v>
      </c>
      <c r="C400" s="86">
        <v>8</v>
      </c>
      <c r="D400" s="856">
        <v>0.06</v>
      </c>
      <c r="E400" s="857">
        <v>93</v>
      </c>
      <c r="G400" s="630">
        <v>4</v>
      </c>
      <c r="H400" s="86">
        <v>6</v>
      </c>
      <c r="I400" s="86">
        <v>6</v>
      </c>
      <c r="J400" s="856">
        <v>0.06</v>
      </c>
      <c r="K400" s="857">
        <v>81</v>
      </c>
    </row>
    <row r="401" spans="1:11" ht="12.75" customHeight="1" x14ac:dyDescent="0.25">
      <c r="A401" s="630">
        <v>5</v>
      </c>
      <c r="B401" s="86">
        <v>7</v>
      </c>
      <c r="C401" s="86">
        <v>10</v>
      </c>
      <c r="D401" s="856">
        <v>0.06</v>
      </c>
      <c r="E401" s="857">
        <v>122.5</v>
      </c>
      <c r="G401" s="630">
        <v>5</v>
      </c>
      <c r="H401" s="86">
        <v>8</v>
      </c>
      <c r="I401" s="86">
        <v>5</v>
      </c>
      <c r="J401" s="856">
        <v>0.06</v>
      </c>
      <c r="K401" s="857">
        <v>100</v>
      </c>
    </row>
    <row r="402" spans="1:11" ht="12.75" customHeight="1" x14ac:dyDescent="0.25">
      <c r="A402" s="630">
        <v>6</v>
      </c>
      <c r="B402" s="86">
        <v>8</v>
      </c>
      <c r="C402" s="86">
        <v>11</v>
      </c>
      <c r="D402" s="856">
        <v>0.06</v>
      </c>
      <c r="E402" s="857">
        <v>148</v>
      </c>
      <c r="G402" s="630">
        <v>6</v>
      </c>
      <c r="H402" s="86">
        <v>9</v>
      </c>
      <c r="I402" s="86">
        <v>5</v>
      </c>
      <c r="J402" s="856">
        <v>0.06</v>
      </c>
      <c r="K402" s="857">
        <v>112.5</v>
      </c>
    </row>
    <row r="403" spans="1:11" ht="12.75" customHeight="1" x14ac:dyDescent="0.25">
      <c r="A403" s="630">
        <v>7</v>
      </c>
      <c r="B403" s="86">
        <v>12</v>
      </c>
      <c r="C403" s="86">
        <v>7</v>
      </c>
      <c r="D403" s="856">
        <v>0.06</v>
      </c>
      <c r="E403" s="857">
        <v>174</v>
      </c>
      <c r="G403" s="630">
        <v>7</v>
      </c>
      <c r="H403" s="86">
        <v>10</v>
      </c>
      <c r="I403" s="86">
        <v>8</v>
      </c>
      <c r="J403" s="856">
        <v>0.06</v>
      </c>
      <c r="K403" s="857">
        <v>155</v>
      </c>
    </row>
    <row r="404" spans="1:11" ht="12.75" customHeight="1" x14ac:dyDescent="0.25">
      <c r="A404" s="630">
        <v>8</v>
      </c>
      <c r="B404" s="86">
        <v>12</v>
      </c>
      <c r="C404" s="86">
        <v>9</v>
      </c>
      <c r="D404" s="856">
        <v>0.06</v>
      </c>
      <c r="E404" s="857">
        <v>198</v>
      </c>
      <c r="G404" s="630">
        <v>8</v>
      </c>
      <c r="H404" s="86">
        <v>10</v>
      </c>
      <c r="I404" s="86">
        <v>9</v>
      </c>
      <c r="J404" s="856">
        <v>0.06</v>
      </c>
      <c r="K404" s="857">
        <v>165</v>
      </c>
    </row>
    <row r="405" spans="1:11" ht="12.75" customHeight="1" x14ac:dyDescent="0.25">
      <c r="A405" s="630">
        <v>9</v>
      </c>
      <c r="B405" s="86">
        <v>12</v>
      </c>
      <c r="C405" s="86">
        <v>12</v>
      </c>
      <c r="D405" s="856">
        <v>0.06</v>
      </c>
      <c r="E405" s="857">
        <v>234</v>
      </c>
      <c r="G405" s="630">
        <v>9</v>
      </c>
      <c r="H405" s="86">
        <v>13</v>
      </c>
      <c r="I405" s="86">
        <v>7</v>
      </c>
      <c r="J405" s="856">
        <v>0.06</v>
      </c>
      <c r="K405" s="857">
        <v>188.5</v>
      </c>
    </row>
    <row r="406" spans="1:11" ht="12.75" customHeight="1" x14ac:dyDescent="0.25">
      <c r="A406" s="630">
        <v>10</v>
      </c>
      <c r="B406" s="86">
        <v>14</v>
      </c>
      <c r="C406" s="86">
        <v>12</v>
      </c>
      <c r="D406" s="856">
        <v>0.06</v>
      </c>
      <c r="E406" s="857">
        <v>273</v>
      </c>
      <c r="G406" s="630">
        <v>10</v>
      </c>
      <c r="H406" s="86">
        <v>14</v>
      </c>
      <c r="I406" s="86">
        <v>7</v>
      </c>
      <c r="J406" s="856">
        <v>0.06</v>
      </c>
      <c r="K406" s="857">
        <v>203</v>
      </c>
    </row>
    <row r="407" spans="1:11" ht="12.75" customHeight="1" x14ac:dyDescent="0.25">
      <c r="A407" s="630">
        <v>11</v>
      </c>
      <c r="B407" s="86">
        <v>15</v>
      </c>
      <c r="C407" s="86">
        <v>12</v>
      </c>
      <c r="D407" s="856">
        <v>0.06</v>
      </c>
      <c r="E407" s="857">
        <v>292.5</v>
      </c>
      <c r="G407" s="630">
        <v>11</v>
      </c>
      <c r="H407" s="86">
        <v>15</v>
      </c>
      <c r="I407" s="86">
        <v>7</v>
      </c>
      <c r="J407" s="856">
        <v>0.06</v>
      </c>
      <c r="K407" s="857">
        <v>217.5</v>
      </c>
    </row>
    <row r="408" spans="1:11" ht="12.75" customHeight="1" x14ac:dyDescent="0.25">
      <c r="A408" s="630">
        <v>12</v>
      </c>
      <c r="B408" s="86">
        <v>20</v>
      </c>
      <c r="C408" s="86">
        <v>8</v>
      </c>
      <c r="D408" s="856">
        <v>0.06</v>
      </c>
      <c r="E408" s="857">
        <v>310</v>
      </c>
      <c r="G408" s="630">
        <v>12</v>
      </c>
      <c r="H408" s="86">
        <v>15</v>
      </c>
      <c r="I408" s="86">
        <v>12</v>
      </c>
      <c r="J408" s="856">
        <v>0.06</v>
      </c>
      <c r="K408" s="857">
        <v>292.5</v>
      </c>
    </row>
    <row r="409" spans="1:11" ht="12.75" customHeight="1" x14ac:dyDescent="0.25">
      <c r="A409" s="630">
        <v>13</v>
      </c>
      <c r="B409" s="86">
        <v>20</v>
      </c>
      <c r="C409" s="86">
        <v>10</v>
      </c>
      <c r="D409" s="856">
        <v>0.06</v>
      </c>
      <c r="E409" s="857">
        <v>350</v>
      </c>
      <c r="G409" s="630">
        <v>13</v>
      </c>
      <c r="H409" s="86">
        <v>16</v>
      </c>
      <c r="I409" s="86">
        <v>13</v>
      </c>
      <c r="J409" s="856">
        <v>0.06</v>
      </c>
      <c r="K409" s="857">
        <v>328</v>
      </c>
    </row>
    <row r="410" spans="1:11" ht="12.75" customHeight="1" x14ac:dyDescent="0.25">
      <c r="A410" s="630">
        <v>14</v>
      </c>
      <c r="B410" s="86">
        <v>18</v>
      </c>
      <c r="C410" s="86">
        <v>18</v>
      </c>
      <c r="D410" s="856">
        <v>0.06</v>
      </c>
      <c r="E410" s="857">
        <v>459</v>
      </c>
      <c r="G410" s="630">
        <v>14</v>
      </c>
      <c r="H410" s="86">
        <v>20</v>
      </c>
      <c r="I410" s="86">
        <v>8</v>
      </c>
      <c r="J410" s="856">
        <v>0.06</v>
      </c>
      <c r="K410" s="857">
        <v>310</v>
      </c>
    </row>
    <row r="411" spans="1:11" ht="12.75" customHeight="1" x14ac:dyDescent="0.25">
      <c r="A411" s="630">
        <v>15</v>
      </c>
      <c r="B411" s="86">
        <v>99</v>
      </c>
      <c r="C411" s="86">
        <v>99</v>
      </c>
      <c r="D411" s="856">
        <v>0.06</v>
      </c>
      <c r="E411" s="857">
        <v>999</v>
      </c>
      <c r="G411" s="630">
        <v>15</v>
      </c>
      <c r="H411" s="86">
        <v>99</v>
      </c>
      <c r="I411" s="86">
        <v>99</v>
      </c>
      <c r="J411" s="856">
        <v>0.06</v>
      </c>
      <c r="K411" s="857">
        <v>999</v>
      </c>
    </row>
    <row r="412" spans="1:11" ht="12.75" customHeight="1" x14ac:dyDescent="0.25">
      <c r="A412" s="630">
        <v>16</v>
      </c>
      <c r="B412" s="86">
        <v>99</v>
      </c>
      <c r="C412" s="86">
        <v>99</v>
      </c>
      <c r="D412" s="856">
        <v>0.06</v>
      </c>
      <c r="E412" s="857">
        <v>999</v>
      </c>
      <c r="G412" s="630">
        <v>16</v>
      </c>
      <c r="H412" s="86">
        <v>99</v>
      </c>
      <c r="I412" s="86">
        <v>99</v>
      </c>
      <c r="J412" s="856">
        <v>0.06</v>
      </c>
      <c r="K412" s="857">
        <v>999</v>
      </c>
    </row>
    <row r="413" spans="1:11" ht="12.75" customHeight="1" x14ac:dyDescent="0.25">
      <c r="A413" s="630">
        <v>17</v>
      </c>
      <c r="B413" s="86">
        <v>99</v>
      </c>
      <c r="C413" s="86">
        <v>99</v>
      </c>
      <c r="D413" s="856">
        <v>0.06</v>
      </c>
      <c r="E413" s="857">
        <v>999</v>
      </c>
      <c r="G413" s="630">
        <v>17</v>
      </c>
      <c r="H413" s="86">
        <v>99</v>
      </c>
      <c r="I413" s="86">
        <v>99</v>
      </c>
      <c r="J413" s="856">
        <v>0.06</v>
      </c>
      <c r="K413" s="857">
        <v>999</v>
      </c>
    </row>
    <row r="414" spans="1:11" ht="12.75" customHeight="1" x14ac:dyDescent="0.25">
      <c r="A414" s="630">
        <v>18</v>
      </c>
      <c r="B414" s="86">
        <v>99</v>
      </c>
      <c r="C414" s="86">
        <v>99</v>
      </c>
      <c r="D414" s="856">
        <v>0.06</v>
      </c>
      <c r="E414" s="857">
        <v>999</v>
      </c>
      <c r="G414" s="630">
        <v>18</v>
      </c>
      <c r="H414" s="86">
        <v>99</v>
      </c>
      <c r="I414" s="86">
        <v>99</v>
      </c>
      <c r="J414" s="856">
        <v>0.06</v>
      </c>
      <c r="K414" s="857">
        <v>999</v>
      </c>
    </row>
    <row r="415" spans="1:11" ht="12.75" customHeight="1" x14ac:dyDescent="0.25">
      <c r="A415" s="630">
        <v>19</v>
      </c>
      <c r="B415" s="86">
        <v>99</v>
      </c>
      <c r="C415" s="86">
        <v>99</v>
      </c>
      <c r="D415" s="856">
        <v>0.06</v>
      </c>
      <c r="E415" s="857">
        <v>999</v>
      </c>
      <c r="G415" s="630">
        <v>19</v>
      </c>
      <c r="H415" s="86">
        <v>99</v>
      </c>
      <c r="I415" s="86">
        <v>99</v>
      </c>
      <c r="J415" s="856">
        <v>0.06</v>
      </c>
      <c r="K415" s="857">
        <v>999</v>
      </c>
    </row>
    <row r="416" spans="1:11" ht="12.75" customHeight="1" thickBot="1" x14ac:dyDescent="0.3">
      <c r="A416" s="858">
        <v>20</v>
      </c>
      <c r="B416" s="859">
        <v>99</v>
      </c>
      <c r="C416" s="859">
        <v>99</v>
      </c>
      <c r="D416" s="860">
        <v>0.06</v>
      </c>
      <c r="E416" s="861">
        <v>999</v>
      </c>
      <c r="G416" s="858">
        <v>20</v>
      </c>
      <c r="H416" s="859">
        <v>99</v>
      </c>
      <c r="I416" s="859">
        <v>99</v>
      </c>
      <c r="J416" s="860">
        <v>0.06</v>
      </c>
      <c r="K416" s="861">
        <v>999</v>
      </c>
    </row>
    <row r="417" spans="1:11" ht="12.75" customHeight="1" x14ac:dyDescent="0.25">
      <c r="A417" s="852">
        <v>1</v>
      </c>
      <c r="B417" s="853">
        <v>1</v>
      </c>
      <c r="C417" s="853">
        <v>5</v>
      </c>
      <c r="D417" s="854">
        <v>7.0000000000000007E-2</v>
      </c>
      <c r="E417" s="855">
        <v>12.5</v>
      </c>
      <c r="G417" s="852">
        <v>1</v>
      </c>
      <c r="H417" s="853">
        <v>1</v>
      </c>
      <c r="I417" s="853">
        <v>5</v>
      </c>
      <c r="J417" s="854">
        <v>7.0000000000000007E-2</v>
      </c>
      <c r="K417" s="855">
        <v>12.5</v>
      </c>
    </row>
    <row r="418" spans="1:11" ht="12.75" customHeight="1" x14ac:dyDescent="0.25">
      <c r="A418" s="630">
        <v>2</v>
      </c>
      <c r="B418" s="86">
        <v>2</v>
      </c>
      <c r="C418" s="86">
        <v>11</v>
      </c>
      <c r="D418" s="856">
        <v>7.0000000000000007E-2</v>
      </c>
      <c r="E418" s="857">
        <v>37</v>
      </c>
      <c r="G418" s="630">
        <v>2</v>
      </c>
      <c r="H418" s="86">
        <v>2</v>
      </c>
      <c r="I418" s="86">
        <v>7</v>
      </c>
      <c r="J418" s="856">
        <v>7.0000000000000007E-2</v>
      </c>
      <c r="K418" s="857">
        <v>29</v>
      </c>
    </row>
    <row r="419" spans="1:11" ht="12.75" customHeight="1" x14ac:dyDescent="0.25">
      <c r="A419" s="630">
        <v>3</v>
      </c>
      <c r="B419" s="86">
        <v>3</v>
      </c>
      <c r="C419" s="86">
        <v>15</v>
      </c>
      <c r="D419" s="856">
        <v>7.0000000000000007E-2</v>
      </c>
      <c r="E419" s="857">
        <v>67.5</v>
      </c>
      <c r="G419" s="630">
        <v>3</v>
      </c>
      <c r="H419" s="86">
        <v>3</v>
      </c>
      <c r="I419" s="86">
        <v>10</v>
      </c>
      <c r="J419" s="856">
        <v>7.0000000000000007E-2</v>
      </c>
      <c r="K419" s="857">
        <v>52.5</v>
      </c>
    </row>
    <row r="420" spans="1:11" ht="12.75" customHeight="1" x14ac:dyDescent="0.25">
      <c r="A420" s="630">
        <v>4</v>
      </c>
      <c r="B420" s="86">
        <v>5</v>
      </c>
      <c r="C420" s="86">
        <v>11</v>
      </c>
      <c r="D420" s="856">
        <v>7.0000000000000007E-2</v>
      </c>
      <c r="E420" s="857">
        <v>92.5</v>
      </c>
      <c r="G420" s="630">
        <v>4</v>
      </c>
      <c r="H420" s="86">
        <v>6</v>
      </c>
      <c r="I420" s="86">
        <v>5</v>
      </c>
      <c r="J420" s="856">
        <v>7.0000000000000007E-2</v>
      </c>
      <c r="K420" s="857">
        <v>75</v>
      </c>
    </row>
    <row r="421" spans="1:11" ht="12.75" customHeight="1" x14ac:dyDescent="0.25">
      <c r="A421" s="630">
        <v>5</v>
      </c>
      <c r="B421" s="86">
        <v>7</v>
      </c>
      <c r="C421" s="86">
        <v>9</v>
      </c>
      <c r="D421" s="856">
        <v>7.0000000000000007E-2</v>
      </c>
      <c r="E421" s="857">
        <v>115.5</v>
      </c>
      <c r="G421" s="630">
        <v>5</v>
      </c>
      <c r="H421" s="86">
        <v>7</v>
      </c>
      <c r="I421" s="86">
        <v>5</v>
      </c>
      <c r="J421" s="856">
        <v>7.0000000000000007E-2</v>
      </c>
      <c r="K421" s="857">
        <v>87.5</v>
      </c>
    </row>
    <row r="422" spans="1:11" ht="12.75" customHeight="1" x14ac:dyDescent="0.25">
      <c r="A422" s="630">
        <v>6</v>
      </c>
      <c r="B422" s="86">
        <v>9</v>
      </c>
      <c r="C422" s="86">
        <v>8</v>
      </c>
      <c r="D422" s="856">
        <v>7.0000000000000007E-2</v>
      </c>
      <c r="E422" s="857">
        <v>139.5</v>
      </c>
      <c r="G422" s="630">
        <v>6</v>
      </c>
      <c r="H422" s="86">
        <v>9</v>
      </c>
      <c r="I422" s="86">
        <v>6</v>
      </c>
      <c r="J422" s="856">
        <v>7.0000000000000007E-2</v>
      </c>
      <c r="K422" s="857">
        <v>121.5</v>
      </c>
    </row>
    <row r="423" spans="1:11" ht="12.75" customHeight="1" x14ac:dyDescent="0.25">
      <c r="A423" s="630">
        <v>7</v>
      </c>
      <c r="B423" s="86">
        <v>10</v>
      </c>
      <c r="C423" s="86">
        <v>9</v>
      </c>
      <c r="D423" s="856">
        <v>7.0000000000000007E-2</v>
      </c>
      <c r="E423" s="857">
        <v>165</v>
      </c>
      <c r="G423" s="630">
        <v>7</v>
      </c>
      <c r="H423" s="86">
        <v>9</v>
      </c>
      <c r="I423" s="86">
        <v>9</v>
      </c>
      <c r="J423" s="856">
        <v>7.0000000000000007E-2</v>
      </c>
      <c r="K423" s="857">
        <v>148.5</v>
      </c>
    </row>
    <row r="424" spans="1:11" ht="12.75" customHeight="1" x14ac:dyDescent="0.25">
      <c r="A424" s="630">
        <v>8</v>
      </c>
      <c r="B424" s="86">
        <v>11</v>
      </c>
      <c r="C424" s="86">
        <v>10</v>
      </c>
      <c r="D424" s="856">
        <v>7.0000000000000007E-2</v>
      </c>
      <c r="E424" s="857">
        <v>192.5</v>
      </c>
      <c r="G424" s="630">
        <v>8</v>
      </c>
      <c r="H424" s="86">
        <v>12</v>
      </c>
      <c r="I424" s="86">
        <v>6</v>
      </c>
      <c r="J424" s="856">
        <v>7.0000000000000007E-2</v>
      </c>
      <c r="K424" s="857">
        <v>162</v>
      </c>
    </row>
    <row r="425" spans="1:11" ht="12.75" customHeight="1" x14ac:dyDescent="0.25">
      <c r="A425" s="630">
        <v>9</v>
      </c>
      <c r="B425" s="86">
        <v>12</v>
      </c>
      <c r="C425" s="86">
        <v>11</v>
      </c>
      <c r="D425" s="856">
        <v>7.0000000000000007E-2</v>
      </c>
      <c r="E425" s="857">
        <v>222</v>
      </c>
      <c r="G425" s="630">
        <v>9</v>
      </c>
      <c r="H425" s="86">
        <v>12</v>
      </c>
      <c r="I425" s="86">
        <v>7</v>
      </c>
      <c r="J425" s="856">
        <v>7.0000000000000007E-2</v>
      </c>
      <c r="K425" s="857">
        <v>174</v>
      </c>
    </row>
    <row r="426" spans="1:11" ht="12.75" customHeight="1" x14ac:dyDescent="0.25">
      <c r="A426" s="630">
        <v>10</v>
      </c>
      <c r="B426" s="86">
        <v>15</v>
      </c>
      <c r="C426" s="86">
        <v>9</v>
      </c>
      <c r="D426" s="856">
        <v>7.0000000000000007E-2</v>
      </c>
      <c r="E426" s="857">
        <v>247.5</v>
      </c>
      <c r="G426" s="630">
        <v>10</v>
      </c>
      <c r="H426" s="86">
        <v>15</v>
      </c>
      <c r="I426" s="86">
        <v>5</v>
      </c>
      <c r="J426" s="856">
        <v>7.0000000000000007E-2</v>
      </c>
      <c r="K426" s="857">
        <v>187.5</v>
      </c>
    </row>
    <row r="427" spans="1:11" ht="12.75" customHeight="1" x14ac:dyDescent="0.25">
      <c r="A427" s="630">
        <v>11</v>
      </c>
      <c r="B427" s="86">
        <v>15</v>
      </c>
      <c r="C427" s="86">
        <v>11</v>
      </c>
      <c r="D427" s="856">
        <v>7.0000000000000007E-2</v>
      </c>
      <c r="E427" s="857">
        <v>277.5</v>
      </c>
      <c r="G427" s="630">
        <v>11</v>
      </c>
      <c r="H427" s="86">
        <v>16</v>
      </c>
      <c r="I427" s="86">
        <v>6</v>
      </c>
      <c r="J427" s="856">
        <v>7.0000000000000007E-2</v>
      </c>
      <c r="K427" s="857">
        <v>216</v>
      </c>
    </row>
    <row r="428" spans="1:11" ht="12.75" customHeight="1" x14ac:dyDescent="0.25">
      <c r="A428" s="630">
        <v>12</v>
      </c>
      <c r="B428" s="86">
        <v>20</v>
      </c>
      <c r="C428" s="86">
        <v>8</v>
      </c>
      <c r="D428" s="856">
        <v>7.0000000000000007E-2</v>
      </c>
      <c r="E428" s="857">
        <v>310</v>
      </c>
      <c r="G428" s="630">
        <v>12</v>
      </c>
      <c r="H428" s="86">
        <v>17</v>
      </c>
      <c r="I428" s="86">
        <v>6</v>
      </c>
      <c r="J428" s="856">
        <v>7.0000000000000007E-2</v>
      </c>
      <c r="K428" s="857">
        <v>229.5</v>
      </c>
    </row>
    <row r="429" spans="1:11" ht="12.75" customHeight="1" x14ac:dyDescent="0.25">
      <c r="A429" s="630">
        <v>13</v>
      </c>
      <c r="B429" s="86">
        <v>18</v>
      </c>
      <c r="C429" s="86">
        <v>12</v>
      </c>
      <c r="D429" s="856">
        <v>7.0000000000000007E-2</v>
      </c>
      <c r="E429" s="857">
        <v>351</v>
      </c>
      <c r="G429" s="630">
        <v>13</v>
      </c>
      <c r="H429" s="86">
        <v>18</v>
      </c>
      <c r="I429" s="86">
        <v>8</v>
      </c>
      <c r="J429" s="856">
        <v>7.0000000000000007E-2</v>
      </c>
      <c r="K429" s="857">
        <v>279</v>
      </c>
    </row>
    <row r="430" spans="1:11" ht="12.75" customHeight="1" x14ac:dyDescent="0.25">
      <c r="A430" s="630">
        <v>14</v>
      </c>
      <c r="B430" s="86">
        <v>18</v>
      </c>
      <c r="C430" s="86">
        <v>13</v>
      </c>
      <c r="D430" s="856">
        <v>7.0000000000000007E-2</v>
      </c>
      <c r="E430" s="857">
        <v>369</v>
      </c>
      <c r="G430" s="630">
        <v>14</v>
      </c>
      <c r="H430" s="86">
        <v>20</v>
      </c>
      <c r="I430" s="86">
        <v>8</v>
      </c>
      <c r="J430" s="856">
        <v>7.0000000000000007E-2</v>
      </c>
      <c r="K430" s="857">
        <v>310</v>
      </c>
    </row>
    <row r="431" spans="1:11" ht="12.75" customHeight="1" x14ac:dyDescent="0.25">
      <c r="A431" s="630">
        <v>15</v>
      </c>
      <c r="B431" s="86">
        <v>20</v>
      </c>
      <c r="C431" s="86">
        <v>12</v>
      </c>
      <c r="D431" s="856">
        <v>7.0000000000000007E-2</v>
      </c>
      <c r="E431" s="857">
        <v>390</v>
      </c>
      <c r="G431" s="630">
        <v>15</v>
      </c>
      <c r="H431" s="86">
        <v>20</v>
      </c>
      <c r="I431" s="86">
        <v>9</v>
      </c>
      <c r="J431" s="856">
        <v>7.0000000000000007E-2</v>
      </c>
      <c r="K431" s="857">
        <v>330</v>
      </c>
    </row>
    <row r="432" spans="1:11" ht="12.75" customHeight="1" x14ac:dyDescent="0.25">
      <c r="A432" s="630">
        <v>16</v>
      </c>
      <c r="B432" s="86">
        <v>99</v>
      </c>
      <c r="C432" s="86">
        <v>99</v>
      </c>
      <c r="D432" s="856">
        <v>7.0000000000000007E-2</v>
      </c>
      <c r="E432" s="857">
        <v>999</v>
      </c>
      <c r="G432" s="630">
        <v>16</v>
      </c>
      <c r="H432" s="86">
        <v>19</v>
      </c>
      <c r="I432" s="86">
        <v>12</v>
      </c>
      <c r="J432" s="856">
        <v>7.0000000000000007E-2</v>
      </c>
      <c r="K432" s="857">
        <v>370.5</v>
      </c>
    </row>
    <row r="433" spans="1:11" ht="12.75" customHeight="1" x14ac:dyDescent="0.25">
      <c r="A433" s="630">
        <v>17</v>
      </c>
      <c r="B433" s="86">
        <v>99</v>
      </c>
      <c r="C433" s="86">
        <v>99</v>
      </c>
      <c r="D433" s="856">
        <v>7.0000000000000007E-2</v>
      </c>
      <c r="E433" s="857">
        <v>999</v>
      </c>
      <c r="G433" s="630">
        <v>17</v>
      </c>
      <c r="H433" s="86">
        <v>20</v>
      </c>
      <c r="I433" s="86">
        <v>12</v>
      </c>
      <c r="J433" s="856">
        <v>7.0000000000000007E-2</v>
      </c>
      <c r="K433" s="857">
        <v>390</v>
      </c>
    </row>
    <row r="434" spans="1:11" ht="12.75" customHeight="1" x14ac:dyDescent="0.25">
      <c r="A434" s="630">
        <v>18</v>
      </c>
      <c r="B434" s="86">
        <v>99</v>
      </c>
      <c r="C434" s="86">
        <v>99</v>
      </c>
      <c r="D434" s="856">
        <v>7.0000000000000007E-2</v>
      </c>
      <c r="E434" s="857">
        <v>999</v>
      </c>
      <c r="G434" s="630">
        <v>18</v>
      </c>
      <c r="H434" s="86">
        <v>99</v>
      </c>
      <c r="I434" s="86">
        <v>99</v>
      </c>
      <c r="J434" s="856">
        <v>7.0000000000000007E-2</v>
      </c>
      <c r="K434" s="857">
        <v>999</v>
      </c>
    </row>
    <row r="435" spans="1:11" ht="12.75" customHeight="1" x14ac:dyDescent="0.25">
      <c r="A435" s="630">
        <v>19</v>
      </c>
      <c r="B435" s="86">
        <v>99</v>
      </c>
      <c r="C435" s="86">
        <v>99</v>
      </c>
      <c r="D435" s="856">
        <v>7.0000000000000007E-2</v>
      </c>
      <c r="E435" s="857">
        <v>999</v>
      </c>
      <c r="G435" s="630">
        <v>19</v>
      </c>
      <c r="H435" s="86">
        <v>99</v>
      </c>
      <c r="I435" s="86">
        <v>99</v>
      </c>
      <c r="J435" s="856">
        <v>7.0000000000000007E-2</v>
      </c>
      <c r="K435" s="857">
        <v>999</v>
      </c>
    </row>
    <row r="436" spans="1:11" ht="12.75" customHeight="1" thickBot="1" x14ac:dyDescent="0.3">
      <c r="A436" s="858">
        <v>20</v>
      </c>
      <c r="B436" s="859">
        <v>99</v>
      </c>
      <c r="C436" s="859">
        <v>99</v>
      </c>
      <c r="D436" s="860">
        <v>7.0000000000000007E-2</v>
      </c>
      <c r="E436" s="861">
        <v>999</v>
      </c>
      <c r="G436" s="858">
        <v>20</v>
      </c>
      <c r="H436" s="859">
        <v>99</v>
      </c>
      <c r="I436" s="859">
        <v>99</v>
      </c>
      <c r="J436" s="860">
        <v>7.0000000000000007E-2</v>
      </c>
      <c r="K436" s="861">
        <v>999</v>
      </c>
    </row>
    <row r="437" spans="1:11" ht="12.75" customHeight="1" x14ac:dyDescent="0.25">
      <c r="A437" s="852">
        <v>1</v>
      </c>
      <c r="B437" s="853">
        <v>2</v>
      </c>
      <c r="C437" s="853">
        <v>5</v>
      </c>
      <c r="D437" s="854">
        <v>0.08</v>
      </c>
      <c r="E437" s="855">
        <v>25</v>
      </c>
      <c r="G437" s="852">
        <v>1</v>
      </c>
      <c r="H437" s="853">
        <v>1</v>
      </c>
      <c r="I437" s="853">
        <v>5</v>
      </c>
      <c r="J437" s="854">
        <v>0.08</v>
      </c>
      <c r="K437" s="855">
        <v>12.5</v>
      </c>
    </row>
    <row r="438" spans="1:11" ht="12.75" customHeight="1" x14ac:dyDescent="0.25">
      <c r="A438" s="630">
        <v>2</v>
      </c>
      <c r="B438" s="86">
        <v>2</v>
      </c>
      <c r="C438" s="86">
        <v>10</v>
      </c>
      <c r="D438" s="856">
        <v>0.08</v>
      </c>
      <c r="E438" s="857">
        <v>35</v>
      </c>
      <c r="G438" s="630">
        <v>2</v>
      </c>
      <c r="H438" s="86">
        <v>2</v>
      </c>
      <c r="I438" s="86">
        <v>6</v>
      </c>
      <c r="J438" s="856">
        <v>0.08</v>
      </c>
      <c r="K438" s="857">
        <v>27</v>
      </c>
    </row>
    <row r="439" spans="1:11" ht="12.75" customHeight="1" x14ac:dyDescent="0.25">
      <c r="A439" s="630">
        <v>3</v>
      </c>
      <c r="B439" s="86">
        <v>3</v>
      </c>
      <c r="C439" s="86">
        <v>13</v>
      </c>
      <c r="D439" s="856">
        <v>0.08</v>
      </c>
      <c r="E439" s="857">
        <v>61.5</v>
      </c>
      <c r="G439" s="630">
        <v>3</v>
      </c>
      <c r="H439" s="86">
        <v>3</v>
      </c>
      <c r="I439" s="86">
        <v>9</v>
      </c>
      <c r="J439" s="856">
        <v>0.08</v>
      </c>
      <c r="K439" s="857">
        <v>49.5</v>
      </c>
    </row>
    <row r="440" spans="1:11" ht="12.75" customHeight="1" x14ac:dyDescent="0.25">
      <c r="A440" s="630">
        <v>4</v>
      </c>
      <c r="B440" s="86">
        <v>5</v>
      </c>
      <c r="C440" s="86">
        <v>9</v>
      </c>
      <c r="D440" s="856">
        <v>0.08</v>
      </c>
      <c r="E440" s="857">
        <v>82.5</v>
      </c>
      <c r="G440" s="630">
        <v>4</v>
      </c>
      <c r="H440" s="86">
        <v>5</v>
      </c>
      <c r="I440" s="86">
        <v>7</v>
      </c>
      <c r="J440" s="856">
        <v>0.08</v>
      </c>
      <c r="K440" s="857">
        <v>72.5</v>
      </c>
    </row>
    <row r="441" spans="1:11" ht="12.75" customHeight="1" x14ac:dyDescent="0.25">
      <c r="A441" s="630">
        <v>5</v>
      </c>
      <c r="B441" s="86">
        <v>7</v>
      </c>
      <c r="C441" s="86">
        <v>8</v>
      </c>
      <c r="D441" s="856">
        <v>0.08</v>
      </c>
      <c r="E441" s="857">
        <v>108.5</v>
      </c>
      <c r="G441" s="630">
        <v>5</v>
      </c>
      <c r="H441" s="86">
        <v>7</v>
      </c>
      <c r="I441" s="86">
        <v>5</v>
      </c>
      <c r="J441" s="856">
        <v>0.08</v>
      </c>
      <c r="K441" s="857">
        <v>87.5</v>
      </c>
    </row>
    <row r="442" spans="1:11" ht="12.75" customHeight="1" x14ac:dyDescent="0.25">
      <c r="A442" s="630">
        <v>6</v>
      </c>
      <c r="B442" s="86">
        <v>9</v>
      </c>
      <c r="C442" s="86">
        <v>8</v>
      </c>
      <c r="D442" s="856">
        <v>0.08</v>
      </c>
      <c r="E442" s="857">
        <v>139.5</v>
      </c>
      <c r="G442" s="630">
        <v>6</v>
      </c>
      <c r="H442" s="86">
        <v>9</v>
      </c>
      <c r="I442" s="86">
        <v>5</v>
      </c>
      <c r="J442" s="856">
        <v>0.08</v>
      </c>
      <c r="K442" s="857">
        <v>112.5</v>
      </c>
    </row>
    <row r="443" spans="1:11" ht="12.75" customHeight="1" x14ac:dyDescent="0.25">
      <c r="A443" s="630">
        <v>7</v>
      </c>
      <c r="B443" s="86">
        <v>10</v>
      </c>
      <c r="C443" s="86">
        <v>9</v>
      </c>
      <c r="D443" s="856">
        <v>0.08</v>
      </c>
      <c r="E443" s="857">
        <v>165</v>
      </c>
      <c r="G443" s="630">
        <v>7</v>
      </c>
      <c r="H443" s="86">
        <v>10</v>
      </c>
      <c r="I443" s="86">
        <v>5</v>
      </c>
      <c r="J443" s="856">
        <v>0.08</v>
      </c>
      <c r="K443" s="857">
        <v>125</v>
      </c>
    </row>
    <row r="444" spans="1:11" ht="12.75" customHeight="1" x14ac:dyDescent="0.25">
      <c r="A444" s="630">
        <v>8</v>
      </c>
      <c r="B444" s="86">
        <v>12</v>
      </c>
      <c r="C444" s="86">
        <v>8</v>
      </c>
      <c r="D444" s="856">
        <v>0.08</v>
      </c>
      <c r="E444" s="857">
        <v>186</v>
      </c>
      <c r="G444" s="630">
        <v>8</v>
      </c>
      <c r="H444" s="86">
        <v>10</v>
      </c>
      <c r="I444" s="86">
        <v>8</v>
      </c>
      <c r="J444" s="856">
        <v>0.08</v>
      </c>
      <c r="K444" s="857">
        <v>155</v>
      </c>
    </row>
    <row r="445" spans="1:11" ht="12.75" customHeight="1" x14ac:dyDescent="0.25">
      <c r="A445" s="630">
        <v>9</v>
      </c>
      <c r="B445" s="86">
        <v>13</v>
      </c>
      <c r="C445" s="86">
        <v>9</v>
      </c>
      <c r="D445" s="856">
        <v>0.08</v>
      </c>
      <c r="E445" s="857">
        <v>214.5</v>
      </c>
      <c r="G445" s="630">
        <v>9</v>
      </c>
      <c r="H445" s="86">
        <v>13</v>
      </c>
      <c r="I445" s="86">
        <v>5</v>
      </c>
      <c r="J445" s="856">
        <v>0.08</v>
      </c>
      <c r="K445" s="857">
        <v>162.5</v>
      </c>
    </row>
    <row r="446" spans="1:11" ht="12.75" customHeight="1" x14ac:dyDescent="0.25">
      <c r="A446" s="630">
        <v>10</v>
      </c>
      <c r="B446" s="86">
        <v>15</v>
      </c>
      <c r="C446" s="86">
        <v>9</v>
      </c>
      <c r="D446" s="856">
        <v>0.08</v>
      </c>
      <c r="E446" s="857">
        <v>247.5</v>
      </c>
      <c r="G446" s="630">
        <v>10</v>
      </c>
      <c r="H446" s="86">
        <v>13</v>
      </c>
      <c r="I446" s="86">
        <v>9</v>
      </c>
      <c r="J446" s="856">
        <v>0.08</v>
      </c>
      <c r="K446" s="857">
        <v>214.5</v>
      </c>
    </row>
    <row r="447" spans="1:11" ht="12.75" customHeight="1" x14ac:dyDescent="0.25">
      <c r="A447" s="630">
        <v>11</v>
      </c>
      <c r="B447" s="86">
        <v>14</v>
      </c>
      <c r="C447" s="86">
        <v>12</v>
      </c>
      <c r="D447" s="856">
        <v>0.08</v>
      </c>
      <c r="E447" s="857">
        <v>273</v>
      </c>
      <c r="G447" s="630">
        <v>11</v>
      </c>
      <c r="H447" s="86">
        <v>13</v>
      </c>
      <c r="I447" s="86">
        <v>10</v>
      </c>
      <c r="J447" s="856">
        <v>0.08</v>
      </c>
      <c r="K447" s="857">
        <v>227.5</v>
      </c>
    </row>
    <row r="448" spans="1:11" ht="12.75" customHeight="1" x14ac:dyDescent="0.25">
      <c r="A448" s="630">
        <v>12</v>
      </c>
      <c r="B448" s="86">
        <v>20</v>
      </c>
      <c r="C448" s="86">
        <v>7</v>
      </c>
      <c r="D448" s="856">
        <v>0.08</v>
      </c>
      <c r="E448" s="857">
        <v>290</v>
      </c>
      <c r="G448" s="630">
        <v>12</v>
      </c>
      <c r="H448" s="86">
        <v>16</v>
      </c>
      <c r="I448" s="86">
        <v>7</v>
      </c>
      <c r="J448" s="856">
        <v>0.08</v>
      </c>
      <c r="K448" s="857">
        <v>232</v>
      </c>
    </row>
    <row r="449" spans="1:11" ht="12.75" customHeight="1" x14ac:dyDescent="0.25">
      <c r="A449" s="630">
        <v>13</v>
      </c>
      <c r="B449" s="86">
        <v>18</v>
      </c>
      <c r="C449" s="86">
        <v>10</v>
      </c>
      <c r="D449" s="856">
        <v>0.08</v>
      </c>
      <c r="E449" s="857">
        <v>315</v>
      </c>
      <c r="G449" s="630">
        <v>13</v>
      </c>
      <c r="H449" s="86">
        <v>16</v>
      </c>
      <c r="I449" s="86">
        <v>10</v>
      </c>
      <c r="J449" s="856">
        <v>0.08</v>
      </c>
      <c r="K449" s="857">
        <v>280</v>
      </c>
    </row>
    <row r="450" spans="1:11" ht="12.75" customHeight="1" x14ac:dyDescent="0.25">
      <c r="A450" s="630">
        <v>14</v>
      </c>
      <c r="B450" s="86">
        <v>20</v>
      </c>
      <c r="C450" s="86">
        <v>10</v>
      </c>
      <c r="D450" s="856">
        <v>0.08</v>
      </c>
      <c r="E450" s="857">
        <v>350</v>
      </c>
      <c r="G450" s="630">
        <v>14</v>
      </c>
      <c r="H450" s="86">
        <v>17</v>
      </c>
      <c r="I450" s="86">
        <v>9</v>
      </c>
      <c r="J450" s="856">
        <v>0.08</v>
      </c>
      <c r="K450" s="857">
        <v>280.5</v>
      </c>
    </row>
    <row r="451" spans="1:11" ht="12.75" customHeight="1" x14ac:dyDescent="0.25">
      <c r="A451" s="630">
        <v>15</v>
      </c>
      <c r="B451" s="86">
        <v>19</v>
      </c>
      <c r="C451" s="86">
        <v>13</v>
      </c>
      <c r="D451" s="856">
        <v>0.08</v>
      </c>
      <c r="E451" s="857">
        <v>389.5</v>
      </c>
      <c r="G451" s="630">
        <v>15</v>
      </c>
      <c r="H451" s="86">
        <v>20</v>
      </c>
      <c r="I451" s="86">
        <v>9</v>
      </c>
      <c r="J451" s="856">
        <v>0.08</v>
      </c>
      <c r="K451" s="857">
        <v>330</v>
      </c>
    </row>
    <row r="452" spans="1:11" ht="12.75" customHeight="1" x14ac:dyDescent="0.25">
      <c r="A452" s="630">
        <v>16</v>
      </c>
      <c r="B452" s="86">
        <v>18</v>
      </c>
      <c r="C452" s="86">
        <v>20</v>
      </c>
      <c r="D452" s="856">
        <v>0.08</v>
      </c>
      <c r="E452" s="857">
        <v>495</v>
      </c>
      <c r="G452" s="630">
        <v>16</v>
      </c>
      <c r="H452" s="86">
        <v>19</v>
      </c>
      <c r="I452" s="86">
        <v>12</v>
      </c>
      <c r="J452" s="856">
        <v>0.08</v>
      </c>
      <c r="K452" s="857">
        <v>370.5</v>
      </c>
    </row>
    <row r="453" spans="1:11" ht="12.75" customHeight="1" x14ac:dyDescent="0.25">
      <c r="A453" s="630">
        <v>17</v>
      </c>
      <c r="B453" s="86">
        <v>19</v>
      </c>
      <c r="C453" s="86">
        <v>20</v>
      </c>
      <c r="D453" s="856">
        <v>0.08</v>
      </c>
      <c r="E453" s="857">
        <v>522.5</v>
      </c>
      <c r="G453" s="630">
        <v>17</v>
      </c>
      <c r="H453" s="86">
        <v>18</v>
      </c>
      <c r="I453" s="86">
        <v>20</v>
      </c>
      <c r="J453" s="856">
        <v>0.08</v>
      </c>
      <c r="K453" s="857">
        <v>495</v>
      </c>
    </row>
    <row r="454" spans="1:11" ht="12.75" customHeight="1" x14ac:dyDescent="0.25">
      <c r="A454" s="630">
        <v>18</v>
      </c>
      <c r="B454" s="86">
        <v>20</v>
      </c>
      <c r="C454" s="86">
        <v>20</v>
      </c>
      <c r="D454" s="856">
        <v>0.08</v>
      </c>
      <c r="E454" s="857">
        <v>550</v>
      </c>
      <c r="G454" s="630">
        <v>18</v>
      </c>
      <c r="H454" s="86">
        <v>99</v>
      </c>
      <c r="I454" s="86">
        <v>99</v>
      </c>
      <c r="J454" s="856">
        <v>0.08</v>
      </c>
      <c r="K454" s="857">
        <v>999</v>
      </c>
    </row>
    <row r="455" spans="1:11" ht="12.75" customHeight="1" x14ac:dyDescent="0.25">
      <c r="A455" s="630">
        <v>19</v>
      </c>
      <c r="B455" s="86">
        <v>99</v>
      </c>
      <c r="C455" s="86">
        <v>99</v>
      </c>
      <c r="D455" s="856">
        <v>0.08</v>
      </c>
      <c r="E455" s="857">
        <v>999</v>
      </c>
      <c r="G455" s="630">
        <v>19</v>
      </c>
      <c r="H455" s="86">
        <v>99</v>
      </c>
      <c r="I455" s="86">
        <v>99</v>
      </c>
      <c r="J455" s="856">
        <v>0.08</v>
      </c>
      <c r="K455" s="857">
        <v>999</v>
      </c>
    </row>
    <row r="456" spans="1:11" ht="12.75" customHeight="1" thickBot="1" x14ac:dyDescent="0.3">
      <c r="A456" s="858">
        <v>20</v>
      </c>
      <c r="B456" s="859">
        <v>99</v>
      </c>
      <c r="C456" s="859">
        <v>99</v>
      </c>
      <c r="D456" s="860">
        <v>0.08</v>
      </c>
      <c r="E456" s="861">
        <v>999</v>
      </c>
      <c r="G456" s="858">
        <v>20</v>
      </c>
      <c r="H456" s="859">
        <v>99</v>
      </c>
      <c r="I456" s="859">
        <v>99</v>
      </c>
      <c r="J456" s="860">
        <v>0.08</v>
      </c>
      <c r="K456" s="861">
        <v>999</v>
      </c>
    </row>
    <row r="457" spans="1:11" ht="12.75" customHeight="1" x14ac:dyDescent="0.25">
      <c r="A457" s="852">
        <v>1</v>
      </c>
      <c r="B457" s="853">
        <v>1</v>
      </c>
      <c r="C457" s="853">
        <v>9</v>
      </c>
      <c r="D457" s="854">
        <v>0.09</v>
      </c>
      <c r="E457" s="855">
        <v>16.5</v>
      </c>
      <c r="G457" s="852">
        <v>1</v>
      </c>
      <c r="H457" s="853">
        <v>1</v>
      </c>
      <c r="I457" s="853">
        <v>10</v>
      </c>
      <c r="J457" s="854">
        <v>0.09</v>
      </c>
      <c r="K457" s="855">
        <v>17.5</v>
      </c>
    </row>
    <row r="458" spans="1:11" ht="12.75" customHeight="1" x14ac:dyDescent="0.25">
      <c r="A458" s="630">
        <v>2</v>
      </c>
      <c r="B458" s="86">
        <v>2</v>
      </c>
      <c r="C458" s="86">
        <v>9</v>
      </c>
      <c r="D458" s="856">
        <v>0.09</v>
      </c>
      <c r="E458" s="857">
        <v>33</v>
      </c>
      <c r="G458" s="630">
        <v>2</v>
      </c>
      <c r="H458" s="86">
        <v>2</v>
      </c>
      <c r="I458" s="86">
        <v>6</v>
      </c>
      <c r="J458" s="856">
        <v>0.09</v>
      </c>
      <c r="K458" s="857">
        <v>27</v>
      </c>
    </row>
    <row r="459" spans="1:11" ht="12.75" customHeight="1" x14ac:dyDescent="0.25">
      <c r="A459" s="630">
        <v>3</v>
      </c>
      <c r="B459" s="86">
        <v>4</v>
      </c>
      <c r="C459" s="86">
        <v>7</v>
      </c>
      <c r="D459" s="856">
        <v>0.09</v>
      </c>
      <c r="E459" s="857">
        <v>58</v>
      </c>
      <c r="G459" s="630">
        <v>3</v>
      </c>
      <c r="H459" s="86">
        <v>3</v>
      </c>
      <c r="I459" s="86">
        <v>9</v>
      </c>
      <c r="J459" s="856">
        <v>0.09</v>
      </c>
      <c r="K459" s="857">
        <v>49.5</v>
      </c>
    </row>
    <row r="460" spans="1:11" ht="12.75" customHeight="1" x14ac:dyDescent="0.25">
      <c r="A460" s="630">
        <v>4</v>
      </c>
      <c r="B460" s="86">
        <v>5</v>
      </c>
      <c r="C460" s="86">
        <v>9</v>
      </c>
      <c r="D460" s="856">
        <v>0.09</v>
      </c>
      <c r="E460" s="857">
        <v>82.5</v>
      </c>
      <c r="G460" s="630">
        <v>4</v>
      </c>
      <c r="H460" s="86">
        <v>5</v>
      </c>
      <c r="I460" s="86">
        <v>8</v>
      </c>
      <c r="J460" s="856">
        <v>0.09</v>
      </c>
      <c r="K460" s="857">
        <v>77.5</v>
      </c>
    </row>
    <row r="461" spans="1:11" ht="12.75" customHeight="1" x14ac:dyDescent="0.25">
      <c r="A461" s="630">
        <v>5</v>
      </c>
      <c r="B461" s="86">
        <v>7</v>
      </c>
      <c r="C461" s="86">
        <v>8</v>
      </c>
      <c r="D461" s="856">
        <v>0.09</v>
      </c>
      <c r="E461" s="857">
        <v>108.5</v>
      </c>
      <c r="G461" s="630">
        <v>5</v>
      </c>
      <c r="H461" s="86">
        <v>6</v>
      </c>
      <c r="I461" s="86">
        <v>9</v>
      </c>
      <c r="J461" s="856">
        <v>0.09</v>
      </c>
      <c r="K461" s="857">
        <v>99</v>
      </c>
    </row>
    <row r="462" spans="1:11" ht="12.75" customHeight="1" x14ac:dyDescent="0.25">
      <c r="A462" s="630">
        <v>6</v>
      </c>
      <c r="B462" s="86">
        <v>8</v>
      </c>
      <c r="C462" s="86">
        <v>9</v>
      </c>
      <c r="D462" s="856">
        <v>0.09</v>
      </c>
      <c r="E462" s="857">
        <v>132</v>
      </c>
      <c r="G462" s="630">
        <v>6</v>
      </c>
      <c r="H462" s="86">
        <v>8</v>
      </c>
      <c r="I462" s="86">
        <v>7</v>
      </c>
      <c r="J462" s="856">
        <v>0.09</v>
      </c>
      <c r="K462" s="857">
        <v>116</v>
      </c>
    </row>
    <row r="463" spans="1:11" ht="12.75" customHeight="1" x14ac:dyDescent="0.25">
      <c r="A463" s="630">
        <v>7</v>
      </c>
      <c r="B463" s="86">
        <v>9</v>
      </c>
      <c r="C463" s="86">
        <v>10</v>
      </c>
      <c r="D463" s="856">
        <v>0.09</v>
      </c>
      <c r="E463" s="857">
        <v>157.5</v>
      </c>
      <c r="G463" s="630">
        <v>7</v>
      </c>
      <c r="H463" s="86">
        <v>9</v>
      </c>
      <c r="I463" s="86">
        <v>8</v>
      </c>
      <c r="J463" s="856">
        <v>0.09</v>
      </c>
      <c r="K463" s="857">
        <v>139.5</v>
      </c>
    </row>
    <row r="464" spans="1:11" ht="12.75" customHeight="1" x14ac:dyDescent="0.25">
      <c r="A464" s="630">
        <v>8</v>
      </c>
      <c r="B464" s="86">
        <v>11</v>
      </c>
      <c r="C464" s="86">
        <v>9</v>
      </c>
      <c r="D464" s="856">
        <v>0.09</v>
      </c>
      <c r="E464" s="857">
        <v>181.5</v>
      </c>
      <c r="G464" s="630">
        <v>8</v>
      </c>
      <c r="H464" s="86">
        <v>11</v>
      </c>
      <c r="I464" s="86">
        <v>7</v>
      </c>
      <c r="J464" s="856">
        <v>0.09</v>
      </c>
      <c r="K464" s="857">
        <v>159.5</v>
      </c>
    </row>
    <row r="465" spans="1:11" ht="12.75" customHeight="1" x14ac:dyDescent="0.25">
      <c r="A465" s="630">
        <v>9</v>
      </c>
      <c r="B465" s="86">
        <v>12</v>
      </c>
      <c r="C465" s="86">
        <v>10</v>
      </c>
      <c r="D465" s="856">
        <v>0.09</v>
      </c>
      <c r="E465" s="857">
        <v>210</v>
      </c>
      <c r="G465" s="630">
        <v>9</v>
      </c>
      <c r="H465" s="86">
        <v>12</v>
      </c>
      <c r="I465" s="86">
        <v>8</v>
      </c>
      <c r="J465" s="856">
        <v>0.09</v>
      </c>
      <c r="K465" s="857">
        <v>186</v>
      </c>
    </row>
    <row r="466" spans="1:11" ht="12.75" customHeight="1" x14ac:dyDescent="0.25">
      <c r="A466" s="630">
        <v>10</v>
      </c>
      <c r="B466" s="86">
        <v>14</v>
      </c>
      <c r="C466" s="86">
        <v>9</v>
      </c>
      <c r="D466" s="856">
        <v>0.09</v>
      </c>
      <c r="E466" s="857">
        <v>231</v>
      </c>
      <c r="G466" s="630">
        <v>10</v>
      </c>
      <c r="H466" s="86">
        <v>13</v>
      </c>
      <c r="I466" s="86">
        <v>8</v>
      </c>
      <c r="J466" s="856">
        <v>0.09</v>
      </c>
      <c r="K466" s="857">
        <v>201.5</v>
      </c>
    </row>
    <row r="467" spans="1:11" ht="12.75" customHeight="1" x14ac:dyDescent="0.25">
      <c r="A467" s="630">
        <v>11</v>
      </c>
      <c r="B467" s="86">
        <v>18</v>
      </c>
      <c r="C467" s="86">
        <v>7</v>
      </c>
      <c r="D467" s="856">
        <v>0.09</v>
      </c>
      <c r="E467" s="857">
        <v>261</v>
      </c>
      <c r="G467" s="630">
        <v>11</v>
      </c>
      <c r="H467" s="86">
        <v>17</v>
      </c>
      <c r="I467" s="86">
        <v>6</v>
      </c>
      <c r="J467" s="856">
        <v>0.09</v>
      </c>
      <c r="K467" s="857">
        <v>229.5</v>
      </c>
    </row>
    <row r="468" spans="1:11" ht="12.75" customHeight="1" x14ac:dyDescent="0.25">
      <c r="A468" s="630">
        <v>12</v>
      </c>
      <c r="B468" s="86">
        <v>17</v>
      </c>
      <c r="C468" s="86">
        <v>9</v>
      </c>
      <c r="D468" s="856">
        <v>0.09</v>
      </c>
      <c r="E468" s="857">
        <v>280.5</v>
      </c>
      <c r="G468" s="630">
        <v>12</v>
      </c>
      <c r="H468" s="86">
        <v>16</v>
      </c>
      <c r="I468" s="86">
        <v>7</v>
      </c>
      <c r="J468" s="856">
        <v>0.09</v>
      </c>
      <c r="K468" s="857">
        <v>232</v>
      </c>
    </row>
    <row r="469" spans="1:11" ht="12.75" customHeight="1" x14ac:dyDescent="0.25">
      <c r="A469" s="630">
        <v>13</v>
      </c>
      <c r="B469" s="86">
        <v>20</v>
      </c>
      <c r="C469" s="86">
        <v>8</v>
      </c>
      <c r="D469" s="856">
        <v>0.09</v>
      </c>
      <c r="E469" s="857">
        <v>310</v>
      </c>
      <c r="G469" s="630">
        <v>13</v>
      </c>
      <c r="H469" s="86">
        <v>20</v>
      </c>
      <c r="I469" s="86">
        <v>6</v>
      </c>
      <c r="J469" s="856">
        <v>0.09</v>
      </c>
      <c r="K469" s="857">
        <v>270</v>
      </c>
    </row>
    <row r="470" spans="1:11" ht="12.75" customHeight="1" x14ac:dyDescent="0.25">
      <c r="A470" s="630">
        <v>14</v>
      </c>
      <c r="B470" s="86">
        <v>20</v>
      </c>
      <c r="C470" s="86">
        <v>9</v>
      </c>
      <c r="D470" s="856">
        <v>0.09</v>
      </c>
      <c r="E470" s="857">
        <v>330</v>
      </c>
      <c r="G470" s="630">
        <v>14</v>
      </c>
      <c r="H470" s="86">
        <v>16</v>
      </c>
      <c r="I470" s="86">
        <v>11</v>
      </c>
      <c r="J470" s="856">
        <v>0.09</v>
      </c>
      <c r="K470" s="857">
        <v>296</v>
      </c>
    </row>
    <row r="471" spans="1:11" ht="12.75" customHeight="1" x14ac:dyDescent="0.25">
      <c r="A471" s="630">
        <v>15</v>
      </c>
      <c r="B471" s="86">
        <v>20</v>
      </c>
      <c r="C471" s="86">
        <v>11</v>
      </c>
      <c r="D471" s="856">
        <v>0.09</v>
      </c>
      <c r="E471" s="857">
        <v>370</v>
      </c>
      <c r="G471" s="630">
        <v>15</v>
      </c>
      <c r="H471" s="86">
        <v>17</v>
      </c>
      <c r="I471" s="86">
        <v>11</v>
      </c>
      <c r="J471" s="856">
        <v>0.09</v>
      </c>
      <c r="K471" s="857">
        <v>314.5</v>
      </c>
    </row>
    <row r="472" spans="1:11" ht="12.75" customHeight="1" x14ac:dyDescent="0.25">
      <c r="A472" s="630">
        <v>16</v>
      </c>
      <c r="B472" s="86">
        <v>20</v>
      </c>
      <c r="C472" s="86">
        <v>13</v>
      </c>
      <c r="D472" s="856">
        <v>0.09</v>
      </c>
      <c r="E472" s="857">
        <v>410</v>
      </c>
      <c r="G472" s="630">
        <v>16</v>
      </c>
      <c r="H472" s="86">
        <v>18</v>
      </c>
      <c r="I472" s="86">
        <v>13</v>
      </c>
      <c r="J472" s="856">
        <v>0.09</v>
      </c>
      <c r="K472" s="857">
        <v>369</v>
      </c>
    </row>
    <row r="473" spans="1:11" ht="12.75" customHeight="1" x14ac:dyDescent="0.25">
      <c r="A473" s="630">
        <v>17</v>
      </c>
      <c r="B473" s="86">
        <v>19</v>
      </c>
      <c r="C473" s="86">
        <v>18</v>
      </c>
      <c r="D473" s="856">
        <v>0.09</v>
      </c>
      <c r="E473" s="857">
        <v>484.5</v>
      </c>
      <c r="G473" s="630">
        <v>17</v>
      </c>
      <c r="H473" s="86">
        <v>19</v>
      </c>
      <c r="I473" s="86">
        <v>13</v>
      </c>
      <c r="J473" s="856">
        <v>0.09</v>
      </c>
      <c r="K473" s="857">
        <v>389.5</v>
      </c>
    </row>
    <row r="474" spans="1:11" ht="12.75" customHeight="1" x14ac:dyDescent="0.25">
      <c r="A474" s="630">
        <v>18</v>
      </c>
      <c r="B474" s="86">
        <v>20</v>
      </c>
      <c r="C474" s="86">
        <v>20</v>
      </c>
      <c r="D474" s="856">
        <v>0.09</v>
      </c>
      <c r="E474" s="857">
        <v>550</v>
      </c>
      <c r="G474" s="630">
        <v>18</v>
      </c>
      <c r="H474" s="86">
        <v>20</v>
      </c>
      <c r="I474" s="86">
        <v>13</v>
      </c>
      <c r="J474" s="856">
        <v>0.09</v>
      </c>
      <c r="K474" s="857">
        <v>410</v>
      </c>
    </row>
    <row r="475" spans="1:11" ht="12.75" customHeight="1" x14ac:dyDescent="0.25">
      <c r="A475" s="630">
        <v>19</v>
      </c>
      <c r="B475" s="86">
        <v>99</v>
      </c>
      <c r="C475" s="86">
        <v>99</v>
      </c>
      <c r="D475" s="856">
        <v>0.09</v>
      </c>
      <c r="E475" s="857">
        <v>999</v>
      </c>
      <c r="G475" s="630">
        <v>19</v>
      </c>
      <c r="H475" s="86">
        <v>99</v>
      </c>
      <c r="I475" s="86">
        <v>99</v>
      </c>
      <c r="J475" s="856">
        <v>0.09</v>
      </c>
      <c r="K475" s="857">
        <v>999</v>
      </c>
    </row>
    <row r="476" spans="1:11" ht="12.75" customHeight="1" thickBot="1" x14ac:dyDescent="0.3">
      <c r="A476" s="858">
        <v>20</v>
      </c>
      <c r="B476" s="859">
        <v>99</v>
      </c>
      <c r="C476" s="859">
        <v>99</v>
      </c>
      <c r="D476" s="860">
        <v>0.09</v>
      </c>
      <c r="E476" s="861">
        <v>999</v>
      </c>
      <c r="G476" s="858">
        <v>20</v>
      </c>
      <c r="H476" s="859">
        <v>99</v>
      </c>
      <c r="I476" s="859">
        <v>99</v>
      </c>
      <c r="J476" s="860">
        <v>0.09</v>
      </c>
      <c r="K476" s="861">
        <v>999</v>
      </c>
    </row>
    <row r="477" spans="1:11" ht="12.75" customHeight="1" x14ac:dyDescent="0.25">
      <c r="A477" s="852">
        <v>1</v>
      </c>
      <c r="B477" s="853">
        <v>1</v>
      </c>
      <c r="C477" s="853">
        <v>5</v>
      </c>
      <c r="D477" s="854">
        <v>0.1</v>
      </c>
      <c r="E477" s="855">
        <v>12.5</v>
      </c>
      <c r="G477" s="852">
        <v>1</v>
      </c>
      <c r="H477" s="853">
        <v>1</v>
      </c>
      <c r="I477" s="853">
        <v>5</v>
      </c>
      <c r="J477" s="854">
        <v>0.1</v>
      </c>
      <c r="K477" s="855">
        <v>12.5</v>
      </c>
    </row>
    <row r="478" spans="1:11" ht="12.75" customHeight="1" x14ac:dyDescent="0.25">
      <c r="A478" s="630">
        <v>2</v>
      </c>
      <c r="B478" s="86">
        <v>2</v>
      </c>
      <c r="C478" s="86">
        <v>8</v>
      </c>
      <c r="D478" s="856">
        <v>0.1</v>
      </c>
      <c r="E478" s="857">
        <v>31</v>
      </c>
      <c r="G478" s="630">
        <v>2</v>
      </c>
      <c r="H478" s="86">
        <v>2</v>
      </c>
      <c r="I478" s="86">
        <v>8</v>
      </c>
      <c r="J478" s="856">
        <v>0.1</v>
      </c>
      <c r="K478" s="857">
        <v>31</v>
      </c>
    </row>
    <row r="479" spans="1:11" ht="12.75" customHeight="1" x14ac:dyDescent="0.25">
      <c r="A479" s="630">
        <v>3</v>
      </c>
      <c r="B479" s="86">
        <v>3</v>
      </c>
      <c r="C479" s="86">
        <v>12</v>
      </c>
      <c r="D479" s="856">
        <v>0.1</v>
      </c>
      <c r="E479" s="857">
        <v>58.5</v>
      </c>
      <c r="G479" s="630">
        <v>3</v>
      </c>
      <c r="H479" s="86">
        <v>3</v>
      </c>
      <c r="I479" s="86">
        <v>9</v>
      </c>
      <c r="J479" s="856">
        <v>0.1</v>
      </c>
      <c r="K479" s="857">
        <v>49.5</v>
      </c>
    </row>
    <row r="480" spans="1:11" ht="12.75" customHeight="1" x14ac:dyDescent="0.25">
      <c r="A480" s="630">
        <v>4</v>
      </c>
      <c r="B480" s="86">
        <v>5</v>
      </c>
      <c r="C480" s="86">
        <v>9</v>
      </c>
      <c r="D480" s="856">
        <v>0.1</v>
      </c>
      <c r="E480" s="857">
        <v>82.5</v>
      </c>
      <c r="G480" s="630">
        <v>4</v>
      </c>
      <c r="H480" s="86">
        <v>5</v>
      </c>
      <c r="I480" s="86">
        <v>6</v>
      </c>
      <c r="J480" s="856">
        <v>0.1</v>
      </c>
      <c r="K480" s="857">
        <v>67.5</v>
      </c>
    </row>
    <row r="481" spans="1:11" ht="12.75" customHeight="1" x14ac:dyDescent="0.25">
      <c r="A481" s="630">
        <v>5</v>
      </c>
      <c r="B481" s="86">
        <v>6</v>
      </c>
      <c r="C481" s="86">
        <v>10</v>
      </c>
      <c r="D481" s="856">
        <v>0.1</v>
      </c>
      <c r="E481" s="857">
        <v>105</v>
      </c>
      <c r="G481" s="630">
        <v>5</v>
      </c>
      <c r="H481" s="86">
        <v>6</v>
      </c>
      <c r="I481" s="86">
        <v>7</v>
      </c>
      <c r="J481" s="856">
        <v>0.1</v>
      </c>
      <c r="K481" s="857">
        <v>87</v>
      </c>
    </row>
    <row r="482" spans="1:11" ht="12.75" customHeight="1" x14ac:dyDescent="0.25">
      <c r="A482" s="630">
        <v>6</v>
      </c>
      <c r="B482" s="86">
        <v>9</v>
      </c>
      <c r="C482" s="86">
        <v>7</v>
      </c>
      <c r="D482" s="856">
        <v>0.1</v>
      </c>
      <c r="E482" s="857">
        <v>130.5</v>
      </c>
      <c r="G482" s="630">
        <v>6</v>
      </c>
      <c r="H482" s="86">
        <v>8</v>
      </c>
      <c r="I482" s="86">
        <v>5</v>
      </c>
      <c r="J482" s="856">
        <v>0.1</v>
      </c>
      <c r="K482" s="857">
        <v>100</v>
      </c>
    </row>
    <row r="483" spans="1:11" ht="12.75" customHeight="1" x14ac:dyDescent="0.25">
      <c r="A483" s="630">
        <v>7</v>
      </c>
      <c r="B483" s="86">
        <v>10</v>
      </c>
      <c r="C483" s="86">
        <v>8</v>
      </c>
      <c r="D483" s="856">
        <v>0.1</v>
      </c>
      <c r="E483" s="857">
        <v>155</v>
      </c>
      <c r="G483" s="630">
        <v>7</v>
      </c>
      <c r="H483" s="86">
        <v>9</v>
      </c>
      <c r="I483" s="86">
        <v>8</v>
      </c>
      <c r="J483" s="856">
        <v>0.1</v>
      </c>
      <c r="K483" s="857">
        <v>139.5</v>
      </c>
    </row>
    <row r="484" spans="1:11" ht="12.75" customHeight="1" x14ac:dyDescent="0.25">
      <c r="A484" s="630">
        <v>8</v>
      </c>
      <c r="B484" s="86">
        <v>11</v>
      </c>
      <c r="C484" s="86">
        <v>9</v>
      </c>
      <c r="D484" s="856">
        <v>0.1</v>
      </c>
      <c r="E484" s="857">
        <v>181.5</v>
      </c>
      <c r="G484" s="630">
        <v>8</v>
      </c>
      <c r="H484" s="86">
        <v>11</v>
      </c>
      <c r="I484" s="86">
        <v>7</v>
      </c>
      <c r="J484" s="856">
        <v>0.1</v>
      </c>
      <c r="K484" s="857">
        <v>159.5</v>
      </c>
    </row>
    <row r="485" spans="1:11" ht="12.75" customHeight="1" x14ac:dyDescent="0.25">
      <c r="A485" s="630">
        <v>9</v>
      </c>
      <c r="B485" s="86">
        <v>12</v>
      </c>
      <c r="C485" s="86">
        <v>10</v>
      </c>
      <c r="D485" s="856">
        <v>0.1</v>
      </c>
      <c r="E485" s="857">
        <v>210</v>
      </c>
      <c r="G485" s="630">
        <v>9</v>
      </c>
      <c r="H485" s="86">
        <v>13</v>
      </c>
      <c r="I485" s="86">
        <v>6</v>
      </c>
      <c r="J485" s="856">
        <v>0.1</v>
      </c>
      <c r="K485" s="857">
        <v>175.5</v>
      </c>
    </row>
    <row r="486" spans="1:11" ht="12.75" customHeight="1" x14ac:dyDescent="0.25">
      <c r="A486" s="630">
        <v>10</v>
      </c>
      <c r="B486" s="86">
        <v>14</v>
      </c>
      <c r="C486" s="86">
        <v>9</v>
      </c>
      <c r="D486" s="856">
        <v>0.1</v>
      </c>
      <c r="E486" s="857">
        <v>231</v>
      </c>
      <c r="G486" s="630">
        <v>10</v>
      </c>
      <c r="H486" s="86">
        <v>14</v>
      </c>
      <c r="I486" s="86">
        <v>6</v>
      </c>
      <c r="J486" s="856">
        <v>0.1</v>
      </c>
      <c r="K486" s="857">
        <v>189</v>
      </c>
    </row>
    <row r="487" spans="1:11" ht="12.75" customHeight="1" x14ac:dyDescent="0.25">
      <c r="A487" s="630">
        <v>11</v>
      </c>
      <c r="B487" s="86">
        <v>18</v>
      </c>
      <c r="C487" s="86">
        <v>7</v>
      </c>
      <c r="D487" s="856">
        <v>0.1</v>
      </c>
      <c r="E487" s="857">
        <v>261</v>
      </c>
      <c r="G487" s="630">
        <v>11</v>
      </c>
      <c r="H487" s="86">
        <v>16</v>
      </c>
      <c r="I487" s="86">
        <v>6</v>
      </c>
      <c r="J487" s="856">
        <v>0.1</v>
      </c>
      <c r="K487" s="857">
        <v>216</v>
      </c>
    </row>
    <row r="488" spans="1:11" ht="12.75" customHeight="1" x14ac:dyDescent="0.25">
      <c r="A488" s="630">
        <v>12</v>
      </c>
      <c r="B488" s="86">
        <v>18</v>
      </c>
      <c r="C488" s="86">
        <v>8</v>
      </c>
      <c r="D488" s="856">
        <v>0.1</v>
      </c>
      <c r="E488" s="857">
        <v>279</v>
      </c>
      <c r="G488" s="630">
        <v>12</v>
      </c>
      <c r="H488" s="86">
        <v>15</v>
      </c>
      <c r="I488" s="86">
        <v>8</v>
      </c>
      <c r="J488" s="856">
        <v>0.1</v>
      </c>
      <c r="K488" s="857">
        <v>232.5</v>
      </c>
    </row>
    <row r="489" spans="1:11" ht="12.75" customHeight="1" x14ac:dyDescent="0.25">
      <c r="A489" s="630">
        <v>13</v>
      </c>
      <c r="B489" s="86">
        <v>20</v>
      </c>
      <c r="C489" s="86">
        <v>8</v>
      </c>
      <c r="D489" s="856">
        <v>0.1</v>
      </c>
      <c r="E489" s="857">
        <v>310</v>
      </c>
      <c r="G489" s="630">
        <v>13</v>
      </c>
      <c r="H489" s="86">
        <v>18</v>
      </c>
      <c r="I489" s="86">
        <v>7</v>
      </c>
      <c r="J489" s="856">
        <v>0.1</v>
      </c>
      <c r="K489" s="857">
        <v>261</v>
      </c>
    </row>
    <row r="490" spans="1:11" ht="12.75" customHeight="1" x14ac:dyDescent="0.25">
      <c r="A490" s="630">
        <v>14</v>
      </c>
      <c r="B490" s="86">
        <v>20</v>
      </c>
      <c r="C490" s="86">
        <v>9</v>
      </c>
      <c r="D490" s="856">
        <v>0.1</v>
      </c>
      <c r="E490" s="857">
        <v>330</v>
      </c>
      <c r="G490" s="630">
        <v>14</v>
      </c>
      <c r="H490" s="86">
        <v>15</v>
      </c>
      <c r="I490" s="86">
        <v>11</v>
      </c>
      <c r="J490" s="856">
        <v>0.1</v>
      </c>
      <c r="K490" s="857">
        <v>277.5</v>
      </c>
    </row>
    <row r="491" spans="1:11" ht="12.75" customHeight="1" x14ac:dyDescent="0.25">
      <c r="A491" s="630">
        <v>15</v>
      </c>
      <c r="B491" s="86">
        <v>20</v>
      </c>
      <c r="C491" s="86">
        <v>11</v>
      </c>
      <c r="D491" s="856">
        <v>0.1</v>
      </c>
      <c r="E491" s="857">
        <v>370</v>
      </c>
      <c r="G491" s="630">
        <v>15</v>
      </c>
      <c r="H491" s="86">
        <v>19</v>
      </c>
      <c r="I491" s="86">
        <v>8</v>
      </c>
      <c r="J491" s="856">
        <v>0.1</v>
      </c>
      <c r="K491" s="857">
        <v>294.5</v>
      </c>
    </row>
    <row r="492" spans="1:11" ht="12.75" customHeight="1" x14ac:dyDescent="0.25">
      <c r="A492" s="630">
        <v>16</v>
      </c>
      <c r="B492" s="86">
        <v>20</v>
      </c>
      <c r="C492" s="86">
        <v>12</v>
      </c>
      <c r="D492" s="856">
        <v>0.1</v>
      </c>
      <c r="E492" s="857">
        <v>390</v>
      </c>
      <c r="G492" s="630">
        <v>16</v>
      </c>
      <c r="H492" s="86">
        <v>20</v>
      </c>
      <c r="I492" s="86">
        <v>8</v>
      </c>
      <c r="J492" s="856">
        <v>0.1</v>
      </c>
      <c r="K492" s="857">
        <v>310</v>
      </c>
    </row>
    <row r="493" spans="1:11" ht="12.75" customHeight="1" x14ac:dyDescent="0.25">
      <c r="A493" s="630">
        <v>17</v>
      </c>
      <c r="B493" s="86">
        <v>20</v>
      </c>
      <c r="C493" s="86">
        <v>14</v>
      </c>
      <c r="D493" s="856">
        <v>0.1</v>
      </c>
      <c r="E493" s="857">
        <v>430</v>
      </c>
      <c r="G493" s="630">
        <v>17</v>
      </c>
      <c r="H493" s="86">
        <v>20</v>
      </c>
      <c r="I493" s="86">
        <v>10</v>
      </c>
      <c r="J493" s="856">
        <v>0.1</v>
      </c>
      <c r="K493" s="857">
        <v>350</v>
      </c>
    </row>
    <row r="494" spans="1:11" ht="12.75" customHeight="1" x14ac:dyDescent="0.25">
      <c r="A494" s="630">
        <v>18</v>
      </c>
      <c r="B494" s="86">
        <v>20</v>
      </c>
      <c r="C494" s="86">
        <v>18</v>
      </c>
      <c r="D494" s="856">
        <v>0.1</v>
      </c>
      <c r="E494" s="857">
        <v>510</v>
      </c>
      <c r="G494" s="630">
        <v>18</v>
      </c>
      <c r="H494" s="86">
        <v>20</v>
      </c>
      <c r="I494" s="86">
        <v>13</v>
      </c>
      <c r="J494" s="856">
        <v>0.1</v>
      </c>
      <c r="K494" s="857">
        <v>410</v>
      </c>
    </row>
    <row r="495" spans="1:11" ht="12.75" customHeight="1" x14ac:dyDescent="0.25">
      <c r="A495" s="630">
        <v>19</v>
      </c>
      <c r="B495" s="86">
        <v>99</v>
      </c>
      <c r="C495" s="86">
        <v>99</v>
      </c>
      <c r="D495" s="856">
        <v>0.1</v>
      </c>
      <c r="E495" s="857">
        <v>999</v>
      </c>
      <c r="G495" s="630">
        <v>19</v>
      </c>
      <c r="H495" s="86">
        <v>20</v>
      </c>
      <c r="I495" s="86">
        <v>20</v>
      </c>
      <c r="J495" s="856">
        <v>0.1</v>
      </c>
      <c r="K495" s="857">
        <v>550</v>
      </c>
    </row>
    <row r="496" spans="1:11" ht="12.75" customHeight="1" thickBot="1" x14ac:dyDescent="0.3">
      <c r="A496" s="858">
        <v>20</v>
      </c>
      <c r="B496" s="859">
        <v>99</v>
      </c>
      <c r="C496" s="859">
        <v>99</v>
      </c>
      <c r="D496" s="860">
        <v>0.1</v>
      </c>
      <c r="E496" s="861">
        <v>999</v>
      </c>
      <c r="G496" s="858">
        <v>20</v>
      </c>
      <c r="H496" s="859">
        <v>99</v>
      </c>
      <c r="I496" s="859">
        <v>99</v>
      </c>
      <c r="J496" s="860">
        <v>0.1</v>
      </c>
      <c r="K496" s="861">
        <v>999</v>
      </c>
    </row>
    <row r="497" spans="1:11" ht="12.75" customHeight="1" x14ac:dyDescent="0.25">
      <c r="A497" s="852">
        <v>1</v>
      </c>
      <c r="B497" s="853">
        <v>1</v>
      </c>
      <c r="C497" s="853">
        <v>12</v>
      </c>
      <c r="D497" s="854">
        <v>0.11</v>
      </c>
      <c r="E497" s="855">
        <v>19.5</v>
      </c>
      <c r="G497" s="852">
        <v>1</v>
      </c>
      <c r="H497" s="853">
        <v>1</v>
      </c>
      <c r="I497" s="853">
        <v>8</v>
      </c>
      <c r="J497" s="854">
        <v>0.11</v>
      </c>
      <c r="K497" s="855">
        <v>15.5</v>
      </c>
    </row>
    <row r="498" spans="1:11" ht="12.75" customHeight="1" x14ac:dyDescent="0.25">
      <c r="A498" s="630">
        <v>2</v>
      </c>
      <c r="B498" s="86">
        <v>2</v>
      </c>
      <c r="C498" s="86">
        <v>8</v>
      </c>
      <c r="D498" s="856">
        <v>0.11</v>
      </c>
      <c r="E498" s="857">
        <v>31</v>
      </c>
      <c r="G498" s="630">
        <v>2</v>
      </c>
      <c r="H498" s="86">
        <v>2</v>
      </c>
      <c r="I498" s="86">
        <v>6</v>
      </c>
      <c r="J498" s="856">
        <v>0.11</v>
      </c>
      <c r="K498" s="857">
        <v>27</v>
      </c>
    </row>
    <row r="499" spans="1:11" ht="12.75" customHeight="1" x14ac:dyDescent="0.25">
      <c r="A499" s="630">
        <v>3</v>
      </c>
      <c r="B499" s="86">
        <v>4</v>
      </c>
      <c r="C499" s="86">
        <v>7</v>
      </c>
      <c r="D499" s="856">
        <v>0.11</v>
      </c>
      <c r="E499" s="857">
        <v>58</v>
      </c>
      <c r="G499" s="630">
        <v>3</v>
      </c>
      <c r="H499" s="86">
        <v>3</v>
      </c>
      <c r="I499" s="86">
        <v>9</v>
      </c>
      <c r="J499" s="856">
        <v>0.11</v>
      </c>
      <c r="K499" s="857">
        <v>49.5</v>
      </c>
    </row>
    <row r="500" spans="1:11" ht="12.75" customHeight="1" x14ac:dyDescent="0.25">
      <c r="A500" s="630">
        <v>4</v>
      </c>
      <c r="B500" s="86">
        <v>5</v>
      </c>
      <c r="C500" s="86">
        <v>9</v>
      </c>
      <c r="D500" s="856">
        <v>0.11</v>
      </c>
      <c r="E500" s="857">
        <v>82.5</v>
      </c>
      <c r="G500" s="630">
        <v>4</v>
      </c>
      <c r="H500" s="86">
        <v>5</v>
      </c>
      <c r="I500" s="86">
        <v>7</v>
      </c>
      <c r="J500" s="856">
        <v>0.11</v>
      </c>
      <c r="K500" s="857">
        <v>72.5</v>
      </c>
    </row>
    <row r="501" spans="1:11" ht="12.75" customHeight="1" x14ac:dyDescent="0.25">
      <c r="A501" s="630">
        <v>5</v>
      </c>
      <c r="B501" s="86">
        <v>6</v>
      </c>
      <c r="C501" s="86">
        <v>10</v>
      </c>
      <c r="D501" s="856">
        <v>0.11</v>
      </c>
      <c r="E501" s="857">
        <v>105</v>
      </c>
      <c r="G501" s="630">
        <v>5</v>
      </c>
      <c r="H501" s="86">
        <v>5</v>
      </c>
      <c r="I501" s="86">
        <v>9</v>
      </c>
      <c r="J501" s="856">
        <v>0.11</v>
      </c>
      <c r="K501" s="857">
        <v>82.5</v>
      </c>
    </row>
    <row r="502" spans="1:11" ht="12.75" customHeight="1" x14ac:dyDescent="0.25">
      <c r="A502" s="630">
        <v>6</v>
      </c>
      <c r="B502" s="86">
        <v>9</v>
      </c>
      <c r="C502" s="86">
        <v>7</v>
      </c>
      <c r="D502" s="856">
        <v>0.11</v>
      </c>
      <c r="E502" s="857">
        <v>130.5</v>
      </c>
      <c r="G502" s="630">
        <v>6</v>
      </c>
      <c r="H502" s="86">
        <v>9</v>
      </c>
      <c r="I502" s="86">
        <v>5</v>
      </c>
      <c r="J502" s="856">
        <v>0.11</v>
      </c>
      <c r="K502" s="857">
        <v>112.5</v>
      </c>
    </row>
    <row r="503" spans="1:11" ht="12.75" customHeight="1" x14ac:dyDescent="0.25">
      <c r="A503" s="630">
        <v>7</v>
      </c>
      <c r="B503" s="86">
        <v>10</v>
      </c>
      <c r="C503" s="86">
        <v>8</v>
      </c>
      <c r="D503" s="856">
        <v>0.11</v>
      </c>
      <c r="E503" s="857">
        <v>155</v>
      </c>
      <c r="G503" s="630">
        <v>7</v>
      </c>
      <c r="H503" s="86">
        <v>10</v>
      </c>
      <c r="I503" s="86">
        <v>5</v>
      </c>
      <c r="J503" s="856">
        <v>0.11</v>
      </c>
      <c r="K503" s="857">
        <v>125</v>
      </c>
    </row>
    <row r="504" spans="1:11" ht="12.75" customHeight="1" x14ac:dyDescent="0.25">
      <c r="A504" s="630">
        <v>8</v>
      </c>
      <c r="B504" s="86">
        <v>11</v>
      </c>
      <c r="C504" s="86">
        <v>9</v>
      </c>
      <c r="D504" s="856">
        <v>0.11</v>
      </c>
      <c r="E504" s="857">
        <v>181.5</v>
      </c>
      <c r="G504" s="630">
        <v>8</v>
      </c>
      <c r="H504" s="86">
        <v>11</v>
      </c>
      <c r="I504" s="86">
        <v>5</v>
      </c>
      <c r="J504" s="856">
        <v>0.11</v>
      </c>
      <c r="K504" s="857">
        <v>137.5</v>
      </c>
    </row>
    <row r="505" spans="1:11" ht="12.75" customHeight="1" x14ac:dyDescent="0.25">
      <c r="A505" s="630">
        <v>9</v>
      </c>
      <c r="B505" s="86">
        <v>13</v>
      </c>
      <c r="C505" s="86">
        <v>8</v>
      </c>
      <c r="D505" s="856">
        <v>0.11</v>
      </c>
      <c r="E505" s="857">
        <v>201.5</v>
      </c>
      <c r="G505" s="630">
        <v>9</v>
      </c>
      <c r="H505" s="86">
        <v>11</v>
      </c>
      <c r="I505" s="86">
        <v>9</v>
      </c>
      <c r="J505" s="856">
        <v>0.11</v>
      </c>
      <c r="K505" s="857">
        <v>181.5</v>
      </c>
    </row>
    <row r="506" spans="1:11" ht="12.75" customHeight="1" x14ac:dyDescent="0.25">
      <c r="A506" s="630">
        <v>10</v>
      </c>
      <c r="B506" s="86">
        <v>13</v>
      </c>
      <c r="C506" s="86">
        <v>10</v>
      </c>
      <c r="D506" s="856">
        <v>0.11</v>
      </c>
      <c r="E506" s="857">
        <v>227.5</v>
      </c>
      <c r="G506" s="630">
        <v>10</v>
      </c>
      <c r="H506" s="86">
        <v>16</v>
      </c>
      <c r="I506" s="86">
        <v>5</v>
      </c>
      <c r="J506" s="856">
        <v>0.11</v>
      </c>
      <c r="K506" s="857">
        <v>200</v>
      </c>
    </row>
    <row r="507" spans="1:11" ht="12.75" customHeight="1" x14ac:dyDescent="0.25">
      <c r="A507" s="630">
        <v>11</v>
      </c>
      <c r="B507" s="86">
        <v>14</v>
      </c>
      <c r="C507" s="86">
        <v>11</v>
      </c>
      <c r="D507" s="856">
        <v>0.11</v>
      </c>
      <c r="E507" s="857">
        <v>259</v>
      </c>
      <c r="G507" s="630">
        <v>11</v>
      </c>
      <c r="H507" s="86">
        <v>17</v>
      </c>
      <c r="I507" s="86">
        <v>5</v>
      </c>
      <c r="J507" s="856">
        <v>0.11</v>
      </c>
      <c r="K507" s="857">
        <v>212.5</v>
      </c>
    </row>
    <row r="508" spans="1:11" ht="12.75" customHeight="1" x14ac:dyDescent="0.25">
      <c r="A508" s="630">
        <v>12</v>
      </c>
      <c r="B508" s="86">
        <v>18</v>
      </c>
      <c r="C508" s="86">
        <v>8</v>
      </c>
      <c r="D508" s="856">
        <v>0.11</v>
      </c>
      <c r="E508" s="857">
        <v>279</v>
      </c>
      <c r="G508" s="630">
        <v>12</v>
      </c>
      <c r="H508" s="86">
        <v>18</v>
      </c>
      <c r="I508" s="86">
        <v>6</v>
      </c>
      <c r="J508" s="856">
        <v>0.11</v>
      </c>
      <c r="K508" s="857">
        <v>243</v>
      </c>
    </row>
    <row r="509" spans="1:11" ht="12.75" customHeight="1" x14ac:dyDescent="0.25">
      <c r="A509" s="630">
        <v>13</v>
      </c>
      <c r="B509" s="86">
        <v>18</v>
      </c>
      <c r="C509" s="86">
        <v>9</v>
      </c>
      <c r="D509" s="856">
        <v>0.11</v>
      </c>
      <c r="E509" s="857">
        <v>297</v>
      </c>
      <c r="G509" s="630">
        <v>13</v>
      </c>
      <c r="H509" s="86">
        <v>17</v>
      </c>
      <c r="I509" s="86">
        <v>6</v>
      </c>
      <c r="J509" s="856">
        <v>0.11</v>
      </c>
      <c r="K509" s="857">
        <v>229.5</v>
      </c>
    </row>
    <row r="510" spans="1:11" ht="12.75" customHeight="1" x14ac:dyDescent="0.25">
      <c r="A510" s="630">
        <v>14</v>
      </c>
      <c r="B510" s="86">
        <v>20</v>
      </c>
      <c r="C510" s="86">
        <v>9</v>
      </c>
      <c r="D510" s="856">
        <v>0.11</v>
      </c>
      <c r="E510" s="857">
        <v>330</v>
      </c>
      <c r="G510" s="630">
        <v>14</v>
      </c>
      <c r="H510" s="86">
        <v>20</v>
      </c>
      <c r="I510" s="86">
        <v>7</v>
      </c>
      <c r="J510" s="856">
        <v>0.11</v>
      </c>
      <c r="K510" s="857">
        <v>290</v>
      </c>
    </row>
    <row r="511" spans="1:11" ht="12.75" customHeight="1" x14ac:dyDescent="0.25">
      <c r="A511" s="630">
        <v>15</v>
      </c>
      <c r="B511" s="86">
        <v>20</v>
      </c>
      <c r="C511" s="86">
        <v>10</v>
      </c>
      <c r="D511" s="856">
        <v>0.11</v>
      </c>
      <c r="E511" s="857">
        <v>350</v>
      </c>
      <c r="G511" s="630">
        <v>15</v>
      </c>
      <c r="H511" s="86">
        <v>20</v>
      </c>
      <c r="I511" s="86">
        <v>8</v>
      </c>
      <c r="J511" s="856">
        <v>0.11</v>
      </c>
      <c r="K511" s="857">
        <v>310</v>
      </c>
    </row>
    <row r="512" spans="1:11" ht="12.75" customHeight="1" x14ac:dyDescent="0.25">
      <c r="A512" s="630">
        <v>16</v>
      </c>
      <c r="B512" s="86">
        <v>20</v>
      </c>
      <c r="C512" s="86">
        <v>12</v>
      </c>
      <c r="D512" s="856">
        <v>0.11</v>
      </c>
      <c r="E512" s="857">
        <v>390</v>
      </c>
      <c r="G512" s="630">
        <v>16</v>
      </c>
      <c r="H512" s="86">
        <v>20</v>
      </c>
      <c r="I512" s="86">
        <v>9</v>
      </c>
      <c r="J512" s="856">
        <v>0.11</v>
      </c>
      <c r="K512" s="857">
        <v>330</v>
      </c>
    </row>
    <row r="513" spans="1:11" ht="12.75" customHeight="1" x14ac:dyDescent="0.25">
      <c r="A513" s="630">
        <v>17</v>
      </c>
      <c r="B513" s="86">
        <v>20</v>
      </c>
      <c r="C513" s="86">
        <v>14</v>
      </c>
      <c r="D513" s="856">
        <v>0.11</v>
      </c>
      <c r="E513" s="857">
        <v>430</v>
      </c>
      <c r="G513" s="630">
        <v>17</v>
      </c>
      <c r="H513" s="86">
        <v>20</v>
      </c>
      <c r="I513" s="86">
        <v>10</v>
      </c>
      <c r="J513" s="856">
        <v>0.11</v>
      </c>
      <c r="K513" s="857">
        <v>350</v>
      </c>
    </row>
    <row r="514" spans="1:11" ht="12.75" customHeight="1" x14ac:dyDescent="0.25">
      <c r="A514" s="630">
        <v>18</v>
      </c>
      <c r="B514" s="86">
        <v>20</v>
      </c>
      <c r="C514" s="86">
        <v>20</v>
      </c>
      <c r="D514" s="856">
        <v>0.11</v>
      </c>
      <c r="E514" s="857">
        <v>550</v>
      </c>
      <c r="G514" s="630">
        <v>18</v>
      </c>
      <c r="H514" s="86">
        <v>20</v>
      </c>
      <c r="I514" s="86">
        <v>11</v>
      </c>
      <c r="J514" s="856">
        <v>0.11</v>
      </c>
      <c r="K514" s="857">
        <v>370</v>
      </c>
    </row>
    <row r="515" spans="1:11" ht="12.75" customHeight="1" x14ac:dyDescent="0.25">
      <c r="A515" s="630">
        <v>19</v>
      </c>
      <c r="B515" s="86">
        <v>99</v>
      </c>
      <c r="C515" s="86">
        <v>99</v>
      </c>
      <c r="D515" s="856">
        <v>0.11</v>
      </c>
      <c r="E515" s="857">
        <v>999</v>
      </c>
      <c r="G515" s="630">
        <v>19</v>
      </c>
      <c r="H515" s="86">
        <v>20</v>
      </c>
      <c r="I515" s="86">
        <v>12</v>
      </c>
      <c r="J515" s="856">
        <v>0.11</v>
      </c>
      <c r="K515" s="857">
        <v>390</v>
      </c>
    </row>
    <row r="516" spans="1:11" ht="12.75" customHeight="1" thickBot="1" x14ac:dyDescent="0.3">
      <c r="A516" s="858">
        <v>20</v>
      </c>
      <c r="B516" s="859">
        <v>99</v>
      </c>
      <c r="C516" s="859">
        <v>99</v>
      </c>
      <c r="D516" s="860">
        <v>0.11</v>
      </c>
      <c r="E516" s="861">
        <v>999</v>
      </c>
      <c r="G516" s="858">
        <v>20</v>
      </c>
      <c r="H516" s="859">
        <v>99</v>
      </c>
      <c r="I516" s="859">
        <v>99</v>
      </c>
      <c r="J516" s="860">
        <v>0.11</v>
      </c>
      <c r="K516" s="861">
        <v>999</v>
      </c>
    </row>
    <row r="517" spans="1:11" ht="12.75" customHeight="1" x14ac:dyDescent="0.25">
      <c r="A517" s="852">
        <v>1</v>
      </c>
      <c r="B517" s="853">
        <v>1</v>
      </c>
      <c r="C517" s="853">
        <v>11</v>
      </c>
      <c r="D517" s="854">
        <v>0.12</v>
      </c>
      <c r="E517" s="855">
        <v>18.5</v>
      </c>
      <c r="G517" s="852">
        <v>1</v>
      </c>
      <c r="H517" s="853">
        <v>1</v>
      </c>
      <c r="I517" s="853">
        <v>6</v>
      </c>
      <c r="J517" s="854">
        <v>0.12</v>
      </c>
      <c r="K517" s="855">
        <v>13.5</v>
      </c>
    </row>
    <row r="518" spans="1:11" ht="12.75" customHeight="1" x14ac:dyDescent="0.25">
      <c r="A518" s="630">
        <v>2</v>
      </c>
      <c r="B518" s="86">
        <v>2</v>
      </c>
      <c r="C518" s="86">
        <v>9</v>
      </c>
      <c r="D518" s="856">
        <v>0.12</v>
      </c>
      <c r="E518" s="857">
        <v>33</v>
      </c>
      <c r="G518" s="630">
        <v>2</v>
      </c>
      <c r="H518" s="86">
        <v>2</v>
      </c>
      <c r="I518" s="86">
        <v>6</v>
      </c>
      <c r="J518" s="856">
        <v>0.12</v>
      </c>
      <c r="K518" s="857">
        <v>27</v>
      </c>
    </row>
    <row r="519" spans="1:11" ht="12.75" customHeight="1" x14ac:dyDescent="0.25">
      <c r="A519" s="630">
        <v>3</v>
      </c>
      <c r="B519" s="86">
        <v>3</v>
      </c>
      <c r="C519" s="86">
        <v>11</v>
      </c>
      <c r="D519" s="856">
        <v>0.12</v>
      </c>
      <c r="E519" s="857">
        <v>55.5</v>
      </c>
      <c r="G519" s="630">
        <v>3</v>
      </c>
      <c r="H519" s="86">
        <v>3</v>
      </c>
      <c r="I519" s="86">
        <v>8</v>
      </c>
      <c r="J519" s="856">
        <v>0.12</v>
      </c>
      <c r="K519" s="857">
        <v>46.5</v>
      </c>
    </row>
    <row r="520" spans="1:11" ht="12.75" customHeight="1" x14ac:dyDescent="0.25">
      <c r="A520" s="630">
        <v>4</v>
      </c>
      <c r="B520" s="86">
        <v>5</v>
      </c>
      <c r="C520" s="86">
        <v>9</v>
      </c>
      <c r="D520" s="856">
        <v>0.12</v>
      </c>
      <c r="E520" s="857">
        <v>82.5</v>
      </c>
      <c r="G520" s="630">
        <v>4</v>
      </c>
      <c r="H520" s="86">
        <v>5</v>
      </c>
      <c r="I520" s="86">
        <v>5</v>
      </c>
      <c r="J520" s="856">
        <v>0.12</v>
      </c>
      <c r="K520" s="857">
        <v>62.5</v>
      </c>
    </row>
    <row r="521" spans="1:11" ht="12.75" customHeight="1" x14ac:dyDescent="0.25">
      <c r="A521" s="630">
        <v>5</v>
      </c>
      <c r="B521" s="86">
        <v>6</v>
      </c>
      <c r="C521" s="86">
        <v>10</v>
      </c>
      <c r="D521" s="856">
        <v>0.12</v>
      </c>
      <c r="E521" s="857">
        <v>105</v>
      </c>
      <c r="G521" s="630">
        <v>5</v>
      </c>
      <c r="H521" s="86">
        <v>5</v>
      </c>
      <c r="I521" s="86">
        <v>9</v>
      </c>
      <c r="J521" s="856">
        <v>0.12</v>
      </c>
      <c r="K521" s="857">
        <v>82.5</v>
      </c>
    </row>
    <row r="522" spans="1:11" ht="12.75" customHeight="1" x14ac:dyDescent="0.25">
      <c r="A522" s="630">
        <v>6</v>
      </c>
      <c r="B522" s="86">
        <v>7</v>
      </c>
      <c r="C522" s="86">
        <v>11</v>
      </c>
      <c r="D522" s="856">
        <v>0.12</v>
      </c>
      <c r="E522" s="857">
        <v>129.5</v>
      </c>
      <c r="G522" s="630">
        <v>6</v>
      </c>
      <c r="H522" s="86">
        <v>9</v>
      </c>
      <c r="I522" s="86">
        <v>5</v>
      </c>
      <c r="J522" s="856">
        <v>0.12</v>
      </c>
      <c r="K522" s="857">
        <v>112.5</v>
      </c>
    </row>
    <row r="523" spans="1:11" ht="12.75" customHeight="1" x14ac:dyDescent="0.25">
      <c r="A523" s="630">
        <v>7</v>
      </c>
      <c r="B523" s="86">
        <v>10</v>
      </c>
      <c r="C523" s="86">
        <v>8</v>
      </c>
      <c r="D523" s="856">
        <v>0.12</v>
      </c>
      <c r="E523" s="857">
        <v>155</v>
      </c>
      <c r="G523" s="630">
        <v>7</v>
      </c>
      <c r="H523" s="86">
        <v>9</v>
      </c>
      <c r="I523" s="86">
        <v>8</v>
      </c>
      <c r="J523" s="856">
        <v>0.12</v>
      </c>
      <c r="K523" s="857">
        <v>139.5</v>
      </c>
    </row>
    <row r="524" spans="1:11" ht="12.75" customHeight="1" x14ac:dyDescent="0.25">
      <c r="A524" s="630">
        <v>8</v>
      </c>
      <c r="B524" s="86">
        <v>11</v>
      </c>
      <c r="C524" s="86">
        <v>9</v>
      </c>
      <c r="D524" s="856">
        <v>0.12</v>
      </c>
      <c r="E524" s="857">
        <v>181.5</v>
      </c>
      <c r="G524" s="630">
        <v>8</v>
      </c>
      <c r="H524" s="86">
        <v>9</v>
      </c>
      <c r="I524" s="86">
        <v>9</v>
      </c>
      <c r="J524" s="856">
        <v>0.12</v>
      </c>
      <c r="K524" s="857">
        <v>148.5</v>
      </c>
    </row>
    <row r="525" spans="1:11" ht="12.75" customHeight="1" x14ac:dyDescent="0.25">
      <c r="A525" s="630">
        <v>9</v>
      </c>
      <c r="B525" s="86">
        <v>13</v>
      </c>
      <c r="C525" s="86">
        <v>8</v>
      </c>
      <c r="D525" s="856">
        <v>0.12</v>
      </c>
      <c r="E525" s="857">
        <v>201.5</v>
      </c>
      <c r="G525" s="630">
        <v>9</v>
      </c>
      <c r="H525" s="86">
        <v>13</v>
      </c>
      <c r="I525" s="86">
        <v>5</v>
      </c>
      <c r="J525" s="856">
        <v>0.12</v>
      </c>
      <c r="K525" s="857">
        <v>162.5</v>
      </c>
    </row>
    <row r="526" spans="1:11" ht="12.75" customHeight="1" x14ac:dyDescent="0.25">
      <c r="A526" s="630">
        <v>10</v>
      </c>
      <c r="B526" s="86">
        <v>13</v>
      </c>
      <c r="C526" s="86">
        <v>10</v>
      </c>
      <c r="D526" s="856">
        <v>0.12</v>
      </c>
      <c r="E526" s="857">
        <v>227.5</v>
      </c>
      <c r="G526" s="630">
        <v>10</v>
      </c>
      <c r="H526" s="86">
        <v>12</v>
      </c>
      <c r="I526" s="86">
        <v>9</v>
      </c>
      <c r="J526" s="856">
        <v>0.12</v>
      </c>
      <c r="K526" s="857">
        <v>198</v>
      </c>
    </row>
    <row r="527" spans="1:11" ht="12.75" customHeight="1" x14ac:dyDescent="0.25">
      <c r="A527" s="630">
        <v>11</v>
      </c>
      <c r="B527" s="86">
        <v>15</v>
      </c>
      <c r="C527" s="86">
        <v>9</v>
      </c>
      <c r="D527" s="856">
        <v>0.12</v>
      </c>
      <c r="E527" s="857">
        <v>247.5</v>
      </c>
      <c r="G527" s="630">
        <v>11</v>
      </c>
      <c r="H527" s="86">
        <v>14</v>
      </c>
      <c r="I527" s="86">
        <v>8</v>
      </c>
      <c r="J527" s="856">
        <v>0.12</v>
      </c>
      <c r="K527" s="857">
        <v>217</v>
      </c>
    </row>
    <row r="528" spans="1:11" ht="12.75" customHeight="1" x14ac:dyDescent="0.25">
      <c r="A528" s="630">
        <v>12</v>
      </c>
      <c r="B528" s="86">
        <v>19</v>
      </c>
      <c r="C528" s="86">
        <v>7</v>
      </c>
      <c r="D528" s="856">
        <v>0.12</v>
      </c>
      <c r="E528" s="857">
        <v>275.5</v>
      </c>
      <c r="G528" s="630">
        <v>12</v>
      </c>
      <c r="H528" s="86">
        <v>18</v>
      </c>
      <c r="I528" s="86">
        <v>6</v>
      </c>
      <c r="J528" s="856">
        <v>0.12</v>
      </c>
      <c r="K528" s="857">
        <v>243</v>
      </c>
    </row>
    <row r="529" spans="1:11" ht="12.75" customHeight="1" x14ac:dyDescent="0.25">
      <c r="A529" s="630">
        <v>13</v>
      </c>
      <c r="B529" s="86">
        <v>18</v>
      </c>
      <c r="C529" s="86">
        <v>9</v>
      </c>
      <c r="D529" s="856">
        <v>0.12</v>
      </c>
      <c r="E529" s="857">
        <v>297</v>
      </c>
      <c r="G529" s="630">
        <v>13</v>
      </c>
      <c r="H529" s="86">
        <v>15</v>
      </c>
      <c r="I529" s="86">
        <v>8</v>
      </c>
      <c r="J529" s="856">
        <v>0.12</v>
      </c>
      <c r="K529" s="857">
        <v>232.5</v>
      </c>
    </row>
    <row r="530" spans="1:11" ht="12.75" customHeight="1" x14ac:dyDescent="0.25">
      <c r="A530" s="630">
        <v>14</v>
      </c>
      <c r="B530" s="86">
        <v>20</v>
      </c>
      <c r="C530" s="86">
        <v>9</v>
      </c>
      <c r="D530" s="856">
        <v>0.12</v>
      </c>
      <c r="E530" s="857">
        <v>330</v>
      </c>
      <c r="G530" s="630">
        <v>14</v>
      </c>
      <c r="H530" s="86">
        <v>18</v>
      </c>
      <c r="I530" s="86">
        <v>8</v>
      </c>
      <c r="J530" s="856">
        <v>0.12</v>
      </c>
      <c r="K530" s="857">
        <v>279</v>
      </c>
    </row>
    <row r="531" spans="1:11" ht="12.75" customHeight="1" x14ac:dyDescent="0.25">
      <c r="A531" s="630">
        <v>15</v>
      </c>
      <c r="B531" s="86">
        <v>20</v>
      </c>
      <c r="C531" s="86">
        <v>10</v>
      </c>
      <c r="D531" s="856">
        <v>0.12</v>
      </c>
      <c r="E531" s="857">
        <v>350</v>
      </c>
      <c r="G531" s="630">
        <v>15</v>
      </c>
      <c r="H531" s="86">
        <v>18</v>
      </c>
      <c r="I531" s="86">
        <v>9</v>
      </c>
      <c r="J531" s="856">
        <v>0.12</v>
      </c>
      <c r="K531" s="857">
        <v>297</v>
      </c>
    </row>
    <row r="532" spans="1:11" ht="12.75" customHeight="1" x14ac:dyDescent="0.25">
      <c r="A532" s="630">
        <v>16</v>
      </c>
      <c r="B532" s="86">
        <v>20</v>
      </c>
      <c r="C532" s="86">
        <v>12</v>
      </c>
      <c r="D532" s="856">
        <v>0.12</v>
      </c>
      <c r="E532" s="857">
        <v>390</v>
      </c>
      <c r="G532" s="630">
        <v>16</v>
      </c>
      <c r="H532" s="86">
        <v>18</v>
      </c>
      <c r="I532" s="86">
        <v>10</v>
      </c>
      <c r="J532" s="856">
        <v>0.12</v>
      </c>
      <c r="K532" s="857">
        <v>315</v>
      </c>
    </row>
    <row r="533" spans="1:11" ht="12.75" customHeight="1" x14ac:dyDescent="0.25">
      <c r="A533" s="630">
        <v>17</v>
      </c>
      <c r="B533" s="86">
        <v>20</v>
      </c>
      <c r="C533" s="86">
        <v>15</v>
      </c>
      <c r="D533" s="856">
        <v>0.12</v>
      </c>
      <c r="E533" s="857">
        <v>450</v>
      </c>
      <c r="G533" s="630">
        <v>17</v>
      </c>
      <c r="H533" s="86">
        <v>19</v>
      </c>
      <c r="I533" s="86">
        <v>10</v>
      </c>
      <c r="J533" s="856">
        <v>0.12</v>
      </c>
      <c r="K533" s="857">
        <v>332.5</v>
      </c>
    </row>
    <row r="534" spans="1:11" ht="12.75" customHeight="1" x14ac:dyDescent="0.25">
      <c r="A534" s="630">
        <v>18</v>
      </c>
      <c r="B534" s="86">
        <v>20</v>
      </c>
      <c r="C534" s="86">
        <v>18</v>
      </c>
      <c r="D534" s="856">
        <v>0.12</v>
      </c>
      <c r="E534" s="857">
        <v>510</v>
      </c>
      <c r="G534" s="630">
        <v>18</v>
      </c>
      <c r="H534" s="86">
        <v>20</v>
      </c>
      <c r="I534" s="86">
        <v>10</v>
      </c>
      <c r="J534" s="856">
        <v>0.12</v>
      </c>
      <c r="K534" s="857">
        <v>350</v>
      </c>
    </row>
    <row r="535" spans="1:11" ht="12.75" customHeight="1" x14ac:dyDescent="0.25">
      <c r="A535" s="630">
        <v>19</v>
      </c>
      <c r="B535" s="86">
        <v>20</v>
      </c>
      <c r="C535" s="86">
        <v>20</v>
      </c>
      <c r="D535" s="856">
        <v>0.12</v>
      </c>
      <c r="E535" s="857">
        <v>550</v>
      </c>
      <c r="G535" s="630">
        <v>19</v>
      </c>
      <c r="H535" s="86">
        <v>99</v>
      </c>
      <c r="I535" s="86">
        <v>99</v>
      </c>
      <c r="J535" s="856">
        <v>0.12</v>
      </c>
      <c r="K535" s="857">
        <v>999</v>
      </c>
    </row>
    <row r="536" spans="1:11" ht="12.75" customHeight="1" thickBot="1" x14ac:dyDescent="0.3">
      <c r="A536" s="858">
        <v>20</v>
      </c>
      <c r="B536" s="859">
        <v>99</v>
      </c>
      <c r="C536" s="859">
        <v>99</v>
      </c>
      <c r="D536" s="860">
        <v>0.12</v>
      </c>
      <c r="E536" s="861">
        <v>999</v>
      </c>
      <c r="G536" s="858">
        <v>20</v>
      </c>
      <c r="H536" s="859">
        <v>99</v>
      </c>
      <c r="I536" s="859">
        <v>99</v>
      </c>
      <c r="J536" s="860">
        <v>0.12</v>
      </c>
      <c r="K536" s="861">
        <v>999</v>
      </c>
    </row>
    <row r="537" spans="1:11" ht="12.75" customHeight="1" x14ac:dyDescent="0.25">
      <c r="A537" s="852">
        <v>1</v>
      </c>
      <c r="B537" s="853">
        <v>1</v>
      </c>
      <c r="C537" s="853">
        <v>5</v>
      </c>
      <c r="D537" s="854">
        <v>0.13</v>
      </c>
      <c r="E537" s="855">
        <v>12.5</v>
      </c>
      <c r="G537" s="852">
        <v>1</v>
      </c>
      <c r="H537" s="853">
        <v>1</v>
      </c>
      <c r="I537" s="853">
        <v>5</v>
      </c>
      <c r="J537" s="854">
        <v>0.13</v>
      </c>
      <c r="K537" s="855">
        <v>12.5</v>
      </c>
    </row>
    <row r="538" spans="1:11" ht="12.75" customHeight="1" x14ac:dyDescent="0.25">
      <c r="A538" s="630">
        <v>2</v>
      </c>
      <c r="B538" s="86">
        <v>2</v>
      </c>
      <c r="C538" s="86">
        <v>8</v>
      </c>
      <c r="D538" s="856">
        <v>0.13</v>
      </c>
      <c r="E538" s="857">
        <v>31</v>
      </c>
      <c r="G538" s="630">
        <v>2</v>
      </c>
      <c r="H538" s="86">
        <v>2</v>
      </c>
      <c r="I538" s="86">
        <v>7</v>
      </c>
      <c r="J538" s="856">
        <v>0.13</v>
      </c>
      <c r="K538" s="857">
        <v>29</v>
      </c>
    </row>
    <row r="539" spans="1:11" ht="12.75" customHeight="1" x14ac:dyDescent="0.25">
      <c r="A539" s="630">
        <v>3</v>
      </c>
      <c r="B539" s="86">
        <v>3</v>
      </c>
      <c r="C539" s="86">
        <v>11</v>
      </c>
      <c r="D539" s="856">
        <v>0.13</v>
      </c>
      <c r="E539" s="857">
        <v>55.5</v>
      </c>
      <c r="G539" s="630">
        <v>3</v>
      </c>
      <c r="H539" s="86">
        <v>3</v>
      </c>
      <c r="I539" s="86">
        <v>9</v>
      </c>
      <c r="J539" s="856">
        <v>0.13</v>
      </c>
      <c r="K539" s="857">
        <v>49.5</v>
      </c>
    </row>
    <row r="540" spans="1:11" ht="12.75" customHeight="1" x14ac:dyDescent="0.25">
      <c r="A540" s="630">
        <v>4</v>
      </c>
      <c r="B540" s="86">
        <v>6</v>
      </c>
      <c r="C540" s="86">
        <v>6</v>
      </c>
      <c r="D540" s="856">
        <v>0.13</v>
      </c>
      <c r="E540" s="857">
        <v>81</v>
      </c>
      <c r="G540" s="630">
        <v>4</v>
      </c>
      <c r="H540" s="86">
        <v>5</v>
      </c>
      <c r="I540" s="86">
        <v>6</v>
      </c>
      <c r="J540" s="856">
        <v>0.13</v>
      </c>
      <c r="K540" s="857">
        <v>67.5</v>
      </c>
    </row>
    <row r="541" spans="1:11" ht="12.75" customHeight="1" x14ac:dyDescent="0.25">
      <c r="A541" s="630">
        <v>5</v>
      </c>
      <c r="B541" s="86">
        <v>6</v>
      </c>
      <c r="C541" s="86">
        <v>10</v>
      </c>
      <c r="D541" s="856">
        <v>0.13</v>
      </c>
      <c r="E541" s="857">
        <v>105</v>
      </c>
      <c r="G541" s="630">
        <v>5</v>
      </c>
      <c r="H541" s="86">
        <v>6</v>
      </c>
      <c r="I541" s="86">
        <v>7</v>
      </c>
      <c r="J541" s="856">
        <v>0.13</v>
      </c>
      <c r="K541" s="857">
        <v>87</v>
      </c>
    </row>
    <row r="542" spans="1:11" ht="12.75" customHeight="1" x14ac:dyDescent="0.25">
      <c r="A542" s="630">
        <v>6</v>
      </c>
      <c r="B542" s="86">
        <v>7</v>
      </c>
      <c r="C542" s="86">
        <v>11</v>
      </c>
      <c r="D542" s="856">
        <v>0.13</v>
      </c>
      <c r="E542" s="857">
        <v>129.5</v>
      </c>
      <c r="G542" s="630">
        <v>6</v>
      </c>
      <c r="H542" s="86">
        <v>9</v>
      </c>
      <c r="I542" s="86">
        <v>5</v>
      </c>
      <c r="J542" s="856">
        <v>0.13</v>
      </c>
      <c r="K542" s="857">
        <v>112.5</v>
      </c>
    </row>
    <row r="543" spans="1:11" ht="12.75" customHeight="1" x14ac:dyDescent="0.25">
      <c r="A543" s="630">
        <v>7</v>
      </c>
      <c r="B543" s="86">
        <v>10</v>
      </c>
      <c r="C543" s="86">
        <v>8</v>
      </c>
      <c r="D543" s="856">
        <v>0.13</v>
      </c>
      <c r="E543" s="857">
        <v>155</v>
      </c>
      <c r="G543" s="630">
        <v>7</v>
      </c>
      <c r="H543" s="86">
        <v>8</v>
      </c>
      <c r="I543" s="86">
        <v>9</v>
      </c>
      <c r="J543" s="856">
        <v>0.13</v>
      </c>
      <c r="K543" s="857">
        <v>132</v>
      </c>
    </row>
    <row r="544" spans="1:11" ht="12.75" customHeight="1" x14ac:dyDescent="0.25">
      <c r="A544" s="630">
        <v>8</v>
      </c>
      <c r="B544" s="86">
        <v>10</v>
      </c>
      <c r="C544" s="86">
        <v>10</v>
      </c>
      <c r="D544" s="856">
        <v>0.13</v>
      </c>
      <c r="E544" s="857">
        <v>175</v>
      </c>
      <c r="G544" s="630">
        <v>8</v>
      </c>
      <c r="H544" s="86">
        <v>10</v>
      </c>
      <c r="I544" s="86">
        <v>8</v>
      </c>
      <c r="J544" s="856">
        <v>0.13</v>
      </c>
      <c r="K544" s="857">
        <v>155</v>
      </c>
    </row>
    <row r="545" spans="1:11" ht="12.75" customHeight="1" x14ac:dyDescent="0.25">
      <c r="A545" s="630">
        <v>9</v>
      </c>
      <c r="B545" s="86">
        <v>12</v>
      </c>
      <c r="C545" s="86">
        <v>9</v>
      </c>
      <c r="D545" s="856">
        <v>0.13</v>
      </c>
      <c r="E545" s="857">
        <v>198</v>
      </c>
      <c r="G545" s="630">
        <v>9</v>
      </c>
      <c r="H545" s="86">
        <v>12</v>
      </c>
      <c r="I545" s="86">
        <v>7</v>
      </c>
      <c r="J545" s="856">
        <v>0.13</v>
      </c>
      <c r="K545" s="857">
        <v>174</v>
      </c>
    </row>
    <row r="546" spans="1:11" ht="12.75" customHeight="1" x14ac:dyDescent="0.25">
      <c r="A546" s="630">
        <v>10</v>
      </c>
      <c r="B546" s="86">
        <v>13</v>
      </c>
      <c r="C546" s="86">
        <v>10</v>
      </c>
      <c r="D546" s="856">
        <v>0.13</v>
      </c>
      <c r="E546" s="857">
        <v>227.5</v>
      </c>
      <c r="G546" s="630">
        <v>10</v>
      </c>
      <c r="H546" s="86">
        <v>12</v>
      </c>
      <c r="I546" s="86">
        <v>9</v>
      </c>
      <c r="J546" s="856">
        <v>0.13</v>
      </c>
      <c r="K546" s="857">
        <v>198</v>
      </c>
    </row>
    <row r="547" spans="1:11" ht="12.75" customHeight="1" x14ac:dyDescent="0.25">
      <c r="A547" s="630">
        <v>11</v>
      </c>
      <c r="B547" s="86">
        <v>15</v>
      </c>
      <c r="C547" s="86">
        <v>9</v>
      </c>
      <c r="D547" s="856">
        <v>0.13</v>
      </c>
      <c r="E547" s="857">
        <v>247.5</v>
      </c>
      <c r="G547" s="630">
        <v>11</v>
      </c>
      <c r="H547" s="86">
        <v>15</v>
      </c>
      <c r="I547" s="86">
        <v>7</v>
      </c>
      <c r="J547" s="856">
        <v>0.13</v>
      </c>
      <c r="K547" s="857">
        <v>217.5</v>
      </c>
    </row>
    <row r="548" spans="1:11" ht="12.75" customHeight="1" x14ac:dyDescent="0.25">
      <c r="A548" s="630">
        <v>12</v>
      </c>
      <c r="B548" s="86">
        <v>19</v>
      </c>
      <c r="C548" s="86">
        <v>7</v>
      </c>
      <c r="D548" s="856">
        <v>0.13</v>
      </c>
      <c r="E548" s="857">
        <v>275.5</v>
      </c>
      <c r="G548" s="630">
        <v>12</v>
      </c>
      <c r="H548" s="86">
        <v>16</v>
      </c>
      <c r="I548" s="86">
        <v>6</v>
      </c>
      <c r="J548" s="856">
        <v>0.13</v>
      </c>
      <c r="K548" s="857">
        <v>216</v>
      </c>
    </row>
    <row r="549" spans="1:11" ht="12.75" customHeight="1" x14ac:dyDescent="0.25">
      <c r="A549" s="630">
        <v>13</v>
      </c>
      <c r="B549" s="86">
        <v>19</v>
      </c>
      <c r="C549" s="86">
        <v>8</v>
      </c>
      <c r="D549" s="856">
        <v>0.13</v>
      </c>
      <c r="E549" s="857">
        <v>294.5</v>
      </c>
      <c r="G549" s="630">
        <v>13</v>
      </c>
      <c r="H549" s="86">
        <v>15</v>
      </c>
      <c r="I549" s="86">
        <v>8</v>
      </c>
      <c r="J549" s="856">
        <v>0.13</v>
      </c>
      <c r="K549" s="857">
        <v>232.5</v>
      </c>
    </row>
    <row r="550" spans="1:11" ht="12.75" customHeight="1" x14ac:dyDescent="0.25">
      <c r="A550" s="630">
        <v>14</v>
      </c>
      <c r="B550" s="86">
        <v>20</v>
      </c>
      <c r="C550" s="86">
        <v>9</v>
      </c>
      <c r="D550" s="856">
        <v>0.13</v>
      </c>
      <c r="E550" s="857">
        <v>330</v>
      </c>
      <c r="G550" s="630">
        <v>14</v>
      </c>
      <c r="H550" s="86">
        <v>20</v>
      </c>
      <c r="I550" s="86">
        <v>6</v>
      </c>
      <c r="J550" s="856">
        <v>0.13</v>
      </c>
      <c r="K550" s="857">
        <v>270</v>
      </c>
    </row>
    <row r="551" spans="1:11" ht="12.75" customHeight="1" x14ac:dyDescent="0.25">
      <c r="A551" s="630">
        <v>15</v>
      </c>
      <c r="B551" s="86">
        <v>20</v>
      </c>
      <c r="C551" s="86">
        <v>10</v>
      </c>
      <c r="D551" s="856">
        <v>0.13</v>
      </c>
      <c r="E551" s="857">
        <v>350</v>
      </c>
      <c r="G551" s="630">
        <v>15</v>
      </c>
      <c r="H551" s="86">
        <v>20</v>
      </c>
      <c r="I551" s="86">
        <v>7</v>
      </c>
      <c r="J551" s="856">
        <v>0.13</v>
      </c>
      <c r="K551" s="857">
        <v>290</v>
      </c>
    </row>
    <row r="552" spans="1:11" ht="12.75" customHeight="1" x14ac:dyDescent="0.25">
      <c r="A552" s="630">
        <v>16</v>
      </c>
      <c r="B552" s="86">
        <v>19</v>
      </c>
      <c r="C552" s="86">
        <v>13</v>
      </c>
      <c r="D552" s="856">
        <v>0.13</v>
      </c>
      <c r="E552" s="857">
        <v>389.5</v>
      </c>
      <c r="G552" s="630">
        <v>16</v>
      </c>
      <c r="H552" s="86">
        <v>20</v>
      </c>
      <c r="I552" s="86">
        <v>9</v>
      </c>
      <c r="J552" s="856">
        <v>0.13</v>
      </c>
      <c r="K552" s="857">
        <v>330</v>
      </c>
    </row>
    <row r="553" spans="1:11" ht="12.75" customHeight="1" x14ac:dyDescent="0.25">
      <c r="A553" s="630">
        <v>17</v>
      </c>
      <c r="B553" s="86">
        <v>20</v>
      </c>
      <c r="C553" s="86">
        <v>13</v>
      </c>
      <c r="D553" s="856">
        <v>0.13</v>
      </c>
      <c r="E553" s="857">
        <v>410</v>
      </c>
      <c r="G553" s="630">
        <v>17</v>
      </c>
      <c r="H553" s="86">
        <v>20</v>
      </c>
      <c r="I553" s="86">
        <v>10</v>
      </c>
      <c r="J553" s="856">
        <v>0.13</v>
      </c>
      <c r="K553" s="857">
        <v>350</v>
      </c>
    </row>
    <row r="554" spans="1:11" ht="12.75" customHeight="1" x14ac:dyDescent="0.25">
      <c r="A554" s="630">
        <v>18</v>
      </c>
      <c r="B554" s="86">
        <v>20</v>
      </c>
      <c r="C554" s="86">
        <v>18</v>
      </c>
      <c r="D554" s="856">
        <v>0.13</v>
      </c>
      <c r="E554" s="857">
        <v>510</v>
      </c>
      <c r="G554" s="630">
        <v>18</v>
      </c>
      <c r="H554" s="86">
        <v>20</v>
      </c>
      <c r="I554" s="86">
        <v>11</v>
      </c>
      <c r="J554" s="856">
        <v>0.13</v>
      </c>
      <c r="K554" s="857">
        <v>370</v>
      </c>
    </row>
    <row r="555" spans="1:11" ht="12.75" customHeight="1" x14ac:dyDescent="0.25">
      <c r="A555" s="630">
        <v>19</v>
      </c>
      <c r="B555" s="86">
        <v>99</v>
      </c>
      <c r="C555" s="86">
        <v>99</v>
      </c>
      <c r="D555" s="856">
        <v>0.13</v>
      </c>
      <c r="E555" s="857">
        <v>999</v>
      </c>
      <c r="G555" s="630">
        <v>19</v>
      </c>
      <c r="H555" s="86">
        <v>20</v>
      </c>
      <c r="I555" s="86">
        <v>12</v>
      </c>
      <c r="J555" s="856">
        <v>0.13</v>
      </c>
      <c r="K555" s="857">
        <v>390</v>
      </c>
    </row>
    <row r="556" spans="1:11" ht="12.75" customHeight="1" thickBot="1" x14ac:dyDescent="0.3">
      <c r="A556" s="858">
        <v>20</v>
      </c>
      <c r="B556" s="859">
        <v>99</v>
      </c>
      <c r="C556" s="859">
        <v>99</v>
      </c>
      <c r="D556" s="860">
        <v>0.13</v>
      </c>
      <c r="E556" s="861">
        <v>999</v>
      </c>
      <c r="G556" s="858">
        <v>20</v>
      </c>
      <c r="H556" s="859">
        <v>99</v>
      </c>
      <c r="I556" s="859">
        <v>99</v>
      </c>
      <c r="J556" s="860">
        <v>0.13</v>
      </c>
      <c r="K556" s="861">
        <v>999</v>
      </c>
    </row>
    <row r="557" spans="1:11" ht="12.75" customHeight="1" x14ac:dyDescent="0.25">
      <c r="A557" s="852">
        <v>1</v>
      </c>
      <c r="B557" s="853">
        <v>1</v>
      </c>
      <c r="C557" s="853">
        <v>5</v>
      </c>
      <c r="D557" s="854">
        <v>0.14000000000000001</v>
      </c>
      <c r="E557" s="855">
        <v>12.5</v>
      </c>
      <c r="G557" s="852">
        <v>1</v>
      </c>
      <c r="H557" s="853">
        <v>1</v>
      </c>
      <c r="I557" s="853">
        <v>7</v>
      </c>
      <c r="J557" s="854">
        <v>0.14000000000000001</v>
      </c>
      <c r="K557" s="855">
        <v>14.5</v>
      </c>
    </row>
    <row r="558" spans="1:11" ht="12.75" customHeight="1" x14ac:dyDescent="0.25">
      <c r="A558" s="630">
        <v>2</v>
      </c>
      <c r="B558" s="86">
        <v>2</v>
      </c>
      <c r="C558" s="86">
        <v>9</v>
      </c>
      <c r="D558" s="856">
        <v>0.14000000000000001</v>
      </c>
      <c r="E558" s="857">
        <v>33</v>
      </c>
      <c r="G558" s="630">
        <v>2</v>
      </c>
      <c r="H558" s="86">
        <v>2</v>
      </c>
      <c r="I558" s="86">
        <v>5</v>
      </c>
      <c r="J558" s="856">
        <v>0.14000000000000001</v>
      </c>
      <c r="K558" s="857">
        <v>25</v>
      </c>
    </row>
    <row r="559" spans="1:11" ht="12.75" customHeight="1" x14ac:dyDescent="0.25">
      <c r="A559" s="630">
        <v>3</v>
      </c>
      <c r="B559" s="86">
        <v>3</v>
      </c>
      <c r="C559" s="86">
        <v>11</v>
      </c>
      <c r="D559" s="856">
        <v>0.14000000000000001</v>
      </c>
      <c r="E559" s="857">
        <v>55.5</v>
      </c>
      <c r="G559" s="630">
        <v>3</v>
      </c>
      <c r="H559" s="86">
        <v>3</v>
      </c>
      <c r="I559" s="86">
        <v>9</v>
      </c>
      <c r="J559" s="856">
        <v>0.14000000000000001</v>
      </c>
      <c r="K559" s="857">
        <v>49.5</v>
      </c>
    </row>
    <row r="560" spans="1:11" ht="12.75" customHeight="1" x14ac:dyDescent="0.25">
      <c r="A560" s="630">
        <v>4</v>
      </c>
      <c r="B560" s="86">
        <v>6</v>
      </c>
      <c r="C560" s="86">
        <v>6</v>
      </c>
      <c r="D560" s="856">
        <v>0.14000000000000001</v>
      </c>
      <c r="E560" s="857">
        <v>81</v>
      </c>
      <c r="G560" s="630">
        <v>4</v>
      </c>
      <c r="H560" s="86">
        <v>5</v>
      </c>
      <c r="I560" s="86">
        <v>7</v>
      </c>
      <c r="J560" s="856">
        <v>0.14000000000000001</v>
      </c>
      <c r="K560" s="857">
        <v>72.5</v>
      </c>
    </row>
    <row r="561" spans="1:11" ht="12.75" customHeight="1" x14ac:dyDescent="0.25">
      <c r="A561" s="630">
        <v>5</v>
      </c>
      <c r="B561" s="86">
        <v>6</v>
      </c>
      <c r="C561" s="86">
        <v>10</v>
      </c>
      <c r="D561" s="856">
        <v>0.14000000000000001</v>
      </c>
      <c r="E561" s="857">
        <v>105</v>
      </c>
      <c r="G561" s="630">
        <v>5</v>
      </c>
      <c r="H561" s="86">
        <v>5</v>
      </c>
      <c r="I561" s="86">
        <v>9</v>
      </c>
      <c r="J561" s="856">
        <v>0.14000000000000001</v>
      </c>
      <c r="K561" s="857">
        <v>82.5</v>
      </c>
    </row>
    <row r="562" spans="1:11" ht="12.75" customHeight="1" x14ac:dyDescent="0.25">
      <c r="A562" s="630">
        <v>6</v>
      </c>
      <c r="B562" s="86">
        <v>7</v>
      </c>
      <c r="C562" s="86">
        <v>11</v>
      </c>
      <c r="D562" s="856">
        <v>0.14000000000000001</v>
      </c>
      <c r="E562" s="857">
        <v>129.5</v>
      </c>
      <c r="G562" s="630">
        <v>6</v>
      </c>
      <c r="H562" s="86">
        <v>6</v>
      </c>
      <c r="I562" s="86">
        <v>10</v>
      </c>
      <c r="J562" s="856">
        <v>0.14000000000000001</v>
      </c>
      <c r="K562" s="857">
        <v>105</v>
      </c>
    </row>
    <row r="563" spans="1:11" ht="12.75" customHeight="1" x14ac:dyDescent="0.25">
      <c r="A563" s="630">
        <v>7</v>
      </c>
      <c r="B563" s="86">
        <v>10</v>
      </c>
      <c r="C563" s="86">
        <v>8</v>
      </c>
      <c r="D563" s="856">
        <v>0.14000000000000001</v>
      </c>
      <c r="E563" s="857">
        <v>155</v>
      </c>
      <c r="G563" s="630">
        <v>7</v>
      </c>
      <c r="H563" s="86">
        <v>8</v>
      </c>
      <c r="I563" s="86">
        <v>9</v>
      </c>
      <c r="J563" s="856">
        <v>0.14000000000000001</v>
      </c>
      <c r="K563" s="857">
        <v>132</v>
      </c>
    </row>
    <row r="564" spans="1:11" ht="12.75" customHeight="1" x14ac:dyDescent="0.25">
      <c r="A564" s="630">
        <v>8</v>
      </c>
      <c r="B564" s="86">
        <v>10</v>
      </c>
      <c r="C564" s="86">
        <v>10</v>
      </c>
      <c r="D564" s="856">
        <v>0.14000000000000001</v>
      </c>
      <c r="E564" s="857">
        <v>175</v>
      </c>
      <c r="G564" s="630">
        <v>8</v>
      </c>
      <c r="H564" s="86">
        <v>9</v>
      </c>
      <c r="I564" s="86">
        <v>9</v>
      </c>
      <c r="J564" s="856">
        <v>0.14000000000000001</v>
      </c>
      <c r="K564" s="857">
        <v>148.5</v>
      </c>
    </row>
    <row r="565" spans="1:11" ht="12.75" customHeight="1" x14ac:dyDescent="0.25">
      <c r="A565" s="630">
        <v>9</v>
      </c>
      <c r="B565" s="86">
        <v>12</v>
      </c>
      <c r="C565" s="86">
        <v>9</v>
      </c>
      <c r="D565" s="856">
        <v>0.14000000000000001</v>
      </c>
      <c r="E565" s="857">
        <v>198</v>
      </c>
      <c r="G565" s="630">
        <v>9</v>
      </c>
      <c r="H565" s="86">
        <v>10</v>
      </c>
      <c r="I565" s="86">
        <v>9</v>
      </c>
      <c r="J565" s="856">
        <v>0.14000000000000001</v>
      </c>
      <c r="K565" s="857">
        <v>165</v>
      </c>
    </row>
    <row r="566" spans="1:11" ht="12.75" customHeight="1" x14ac:dyDescent="0.25">
      <c r="A566" s="630">
        <v>10</v>
      </c>
      <c r="B566" s="86">
        <v>13</v>
      </c>
      <c r="C566" s="86">
        <v>10</v>
      </c>
      <c r="D566" s="856">
        <v>0.14000000000000001</v>
      </c>
      <c r="E566" s="857">
        <v>227.5</v>
      </c>
      <c r="G566" s="630">
        <v>10</v>
      </c>
      <c r="H566" s="86">
        <v>14</v>
      </c>
      <c r="I566" s="86">
        <v>7</v>
      </c>
      <c r="J566" s="856">
        <v>0.14000000000000001</v>
      </c>
      <c r="K566" s="857">
        <v>203</v>
      </c>
    </row>
    <row r="567" spans="1:11" ht="12.75" customHeight="1" x14ac:dyDescent="0.25">
      <c r="A567" s="630">
        <v>11</v>
      </c>
      <c r="B567" s="86">
        <v>15</v>
      </c>
      <c r="C567" s="86">
        <v>9</v>
      </c>
      <c r="D567" s="856">
        <v>0.14000000000000001</v>
      </c>
      <c r="E567" s="857">
        <v>247.5</v>
      </c>
      <c r="G567" s="630">
        <v>11</v>
      </c>
      <c r="H567" s="86">
        <v>12</v>
      </c>
      <c r="I567" s="86">
        <v>13</v>
      </c>
      <c r="J567" s="856">
        <v>0.14000000000000001</v>
      </c>
      <c r="K567" s="857">
        <v>246</v>
      </c>
    </row>
    <row r="568" spans="1:11" ht="12.75" customHeight="1" x14ac:dyDescent="0.25">
      <c r="A568" s="630">
        <v>12</v>
      </c>
      <c r="B568" s="86">
        <v>19</v>
      </c>
      <c r="C568" s="86">
        <v>7</v>
      </c>
      <c r="D568" s="856">
        <v>0.14000000000000001</v>
      </c>
      <c r="E568" s="857">
        <v>275.5</v>
      </c>
      <c r="G568" s="630">
        <v>12</v>
      </c>
      <c r="H568" s="86">
        <v>13</v>
      </c>
      <c r="I568" s="86">
        <v>13</v>
      </c>
      <c r="J568" s="856">
        <v>0.14000000000000001</v>
      </c>
      <c r="K568" s="857">
        <v>266.5</v>
      </c>
    </row>
    <row r="569" spans="1:11" ht="12.75" customHeight="1" x14ac:dyDescent="0.25">
      <c r="A569" s="630">
        <v>13</v>
      </c>
      <c r="B569" s="86">
        <v>16</v>
      </c>
      <c r="C569" s="86">
        <v>12</v>
      </c>
      <c r="D569" s="856">
        <v>0.14000000000000001</v>
      </c>
      <c r="E569" s="857">
        <v>312</v>
      </c>
      <c r="G569" s="630">
        <v>13</v>
      </c>
      <c r="H569" s="86">
        <v>14</v>
      </c>
      <c r="I569" s="86">
        <v>13</v>
      </c>
      <c r="J569" s="856">
        <v>0.14000000000000001</v>
      </c>
      <c r="K569" s="857">
        <v>287</v>
      </c>
    </row>
    <row r="570" spans="1:11" ht="12.75" customHeight="1" x14ac:dyDescent="0.25">
      <c r="A570" s="630">
        <v>14</v>
      </c>
      <c r="B570" s="86">
        <v>16</v>
      </c>
      <c r="C570" s="86">
        <v>14</v>
      </c>
      <c r="D570" s="856">
        <v>0.14000000000000001</v>
      </c>
      <c r="E570" s="857">
        <v>344</v>
      </c>
      <c r="G570" s="630">
        <v>14</v>
      </c>
      <c r="H570" s="86">
        <v>15</v>
      </c>
      <c r="I570" s="86">
        <v>13</v>
      </c>
      <c r="J570" s="856">
        <v>0.14000000000000001</v>
      </c>
      <c r="K570" s="857">
        <v>307.5</v>
      </c>
    </row>
    <row r="571" spans="1:11" ht="12.75" customHeight="1" x14ac:dyDescent="0.25">
      <c r="A571" s="630">
        <v>15</v>
      </c>
      <c r="B571" s="86">
        <v>18</v>
      </c>
      <c r="C571" s="86">
        <v>13</v>
      </c>
      <c r="D571" s="856">
        <v>0.14000000000000001</v>
      </c>
      <c r="E571" s="857">
        <v>369</v>
      </c>
      <c r="G571" s="630">
        <v>15</v>
      </c>
      <c r="H571" s="86">
        <v>20</v>
      </c>
      <c r="I571" s="86">
        <v>7</v>
      </c>
      <c r="J571" s="856">
        <v>0.14000000000000001</v>
      </c>
      <c r="K571" s="857">
        <v>290</v>
      </c>
    </row>
    <row r="572" spans="1:11" ht="12.75" customHeight="1" x14ac:dyDescent="0.25">
      <c r="A572" s="630">
        <v>16</v>
      </c>
      <c r="B572" s="86">
        <v>19</v>
      </c>
      <c r="C572" s="86">
        <v>13</v>
      </c>
      <c r="D572" s="856">
        <v>0.14000000000000001</v>
      </c>
      <c r="E572" s="857">
        <v>389.5</v>
      </c>
      <c r="G572" s="630">
        <v>16</v>
      </c>
      <c r="H572" s="86">
        <v>17</v>
      </c>
      <c r="I572" s="86">
        <v>15</v>
      </c>
      <c r="J572" s="856">
        <v>0.14000000000000001</v>
      </c>
      <c r="K572" s="857">
        <v>382.5</v>
      </c>
    </row>
    <row r="573" spans="1:11" ht="12.75" customHeight="1" x14ac:dyDescent="0.25">
      <c r="A573" s="630">
        <v>17</v>
      </c>
      <c r="B573" s="86">
        <v>20</v>
      </c>
      <c r="C573" s="86">
        <v>13</v>
      </c>
      <c r="D573" s="856">
        <v>0.14000000000000001</v>
      </c>
      <c r="E573" s="857">
        <v>410</v>
      </c>
      <c r="G573" s="630">
        <v>17</v>
      </c>
      <c r="H573" s="86">
        <v>18</v>
      </c>
      <c r="I573" s="86">
        <v>15</v>
      </c>
      <c r="J573" s="856">
        <v>0.14000000000000001</v>
      </c>
      <c r="K573" s="857">
        <v>405</v>
      </c>
    </row>
    <row r="574" spans="1:11" ht="12.75" customHeight="1" x14ac:dyDescent="0.25">
      <c r="A574" s="630">
        <v>18</v>
      </c>
      <c r="B574" s="86">
        <v>99</v>
      </c>
      <c r="C574" s="86">
        <v>99</v>
      </c>
      <c r="D574" s="856">
        <v>0.14000000000000001</v>
      </c>
      <c r="E574" s="857">
        <v>999</v>
      </c>
      <c r="G574" s="630">
        <v>18</v>
      </c>
      <c r="H574" s="86">
        <v>20</v>
      </c>
      <c r="I574" s="86">
        <v>13</v>
      </c>
      <c r="J574" s="856">
        <v>0.14000000000000001</v>
      </c>
      <c r="K574" s="857">
        <v>410</v>
      </c>
    </row>
    <row r="575" spans="1:11" ht="12.75" customHeight="1" x14ac:dyDescent="0.25">
      <c r="A575" s="630">
        <v>19</v>
      </c>
      <c r="B575" s="86">
        <v>99</v>
      </c>
      <c r="C575" s="86">
        <v>99</v>
      </c>
      <c r="D575" s="856">
        <v>0.14000000000000001</v>
      </c>
      <c r="E575" s="857">
        <v>999</v>
      </c>
      <c r="G575" s="630">
        <v>19</v>
      </c>
      <c r="H575" s="86">
        <v>20</v>
      </c>
      <c r="I575" s="86">
        <v>15</v>
      </c>
      <c r="J575" s="856">
        <v>0.14000000000000001</v>
      </c>
      <c r="K575" s="857">
        <v>450</v>
      </c>
    </row>
    <row r="576" spans="1:11" ht="12.75" customHeight="1" thickBot="1" x14ac:dyDescent="0.3">
      <c r="A576" s="858">
        <v>20</v>
      </c>
      <c r="B576" s="859">
        <v>99</v>
      </c>
      <c r="C576" s="859">
        <v>99</v>
      </c>
      <c r="D576" s="860">
        <v>0.14000000000000001</v>
      </c>
      <c r="E576" s="861">
        <v>999</v>
      </c>
      <c r="G576" s="858">
        <v>20</v>
      </c>
      <c r="H576" s="859">
        <v>99</v>
      </c>
      <c r="I576" s="859">
        <v>99</v>
      </c>
      <c r="J576" s="860">
        <v>0.14000000000000001</v>
      </c>
      <c r="K576" s="861">
        <v>999</v>
      </c>
    </row>
    <row r="577" spans="1:11" ht="12.75" customHeight="1" x14ac:dyDescent="0.25">
      <c r="A577" s="852">
        <v>1</v>
      </c>
      <c r="B577" s="853">
        <v>1</v>
      </c>
      <c r="C577" s="853">
        <v>5</v>
      </c>
      <c r="D577" s="854">
        <v>0.15</v>
      </c>
      <c r="E577" s="855">
        <v>12.5</v>
      </c>
      <c r="G577" s="852">
        <v>1</v>
      </c>
      <c r="H577" s="853">
        <v>1</v>
      </c>
      <c r="I577" s="853">
        <v>5</v>
      </c>
      <c r="J577" s="854">
        <v>0.15</v>
      </c>
      <c r="K577" s="855">
        <v>12.5</v>
      </c>
    </row>
    <row r="578" spans="1:11" ht="12.75" customHeight="1" x14ac:dyDescent="0.25">
      <c r="A578" s="630">
        <v>2</v>
      </c>
      <c r="B578" s="86">
        <v>2</v>
      </c>
      <c r="C578" s="86">
        <v>8</v>
      </c>
      <c r="D578" s="856">
        <v>0.15</v>
      </c>
      <c r="E578" s="857">
        <v>31</v>
      </c>
      <c r="G578" s="630">
        <v>2</v>
      </c>
      <c r="H578" s="86">
        <v>2</v>
      </c>
      <c r="I578" s="86">
        <v>7</v>
      </c>
      <c r="J578" s="856">
        <v>0.15</v>
      </c>
      <c r="K578" s="857">
        <v>29</v>
      </c>
    </row>
    <row r="579" spans="1:11" ht="12.75" customHeight="1" x14ac:dyDescent="0.25">
      <c r="A579" s="630">
        <v>3</v>
      </c>
      <c r="B579" s="86">
        <v>3</v>
      </c>
      <c r="C579" s="86">
        <v>11</v>
      </c>
      <c r="D579" s="856">
        <v>0.15</v>
      </c>
      <c r="E579" s="857">
        <v>55.5</v>
      </c>
      <c r="G579" s="630">
        <v>3</v>
      </c>
      <c r="H579" s="86">
        <v>3</v>
      </c>
      <c r="I579" s="86">
        <v>7</v>
      </c>
      <c r="J579" s="856">
        <v>0.15</v>
      </c>
      <c r="K579" s="857">
        <v>43.5</v>
      </c>
    </row>
    <row r="580" spans="1:11" ht="12.75" customHeight="1" x14ac:dyDescent="0.25">
      <c r="A580" s="630">
        <v>4</v>
      </c>
      <c r="B580" s="86">
        <v>5</v>
      </c>
      <c r="C580" s="86">
        <v>8</v>
      </c>
      <c r="D580" s="856">
        <v>0.15</v>
      </c>
      <c r="E580" s="857">
        <v>77.5</v>
      </c>
      <c r="G580" s="630">
        <v>4</v>
      </c>
      <c r="H580" s="86">
        <v>4</v>
      </c>
      <c r="I580" s="86">
        <v>8</v>
      </c>
      <c r="J580" s="856">
        <v>0.15</v>
      </c>
      <c r="K580" s="857">
        <v>62</v>
      </c>
    </row>
    <row r="581" spans="1:11" ht="12.75" customHeight="1" x14ac:dyDescent="0.25">
      <c r="A581" s="630">
        <v>5</v>
      </c>
      <c r="B581" s="86">
        <v>6</v>
      </c>
      <c r="C581" s="86">
        <v>10</v>
      </c>
      <c r="D581" s="856">
        <v>0.15</v>
      </c>
      <c r="E581" s="857">
        <v>105</v>
      </c>
      <c r="G581" s="630">
        <v>5</v>
      </c>
      <c r="H581" s="86">
        <v>6</v>
      </c>
      <c r="I581" s="86">
        <v>6</v>
      </c>
      <c r="J581" s="856">
        <v>0.15</v>
      </c>
      <c r="K581" s="857">
        <v>81</v>
      </c>
    </row>
    <row r="582" spans="1:11" ht="12.75" customHeight="1" x14ac:dyDescent="0.25">
      <c r="A582" s="630">
        <v>6</v>
      </c>
      <c r="B582" s="86">
        <v>7</v>
      </c>
      <c r="C582" s="86">
        <v>11</v>
      </c>
      <c r="D582" s="856">
        <v>0.15</v>
      </c>
      <c r="E582" s="857">
        <v>129.5</v>
      </c>
      <c r="G582" s="630">
        <v>6</v>
      </c>
      <c r="H582" s="86">
        <v>7</v>
      </c>
      <c r="I582" s="86">
        <v>8</v>
      </c>
      <c r="J582" s="856">
        <v>0.15</v>
      </c>
      <c r="K582" s="857">
        <v>108.5</v>
      </c>
    </row>
    <row r="583" spans="1:11" ht="12.75" customHeight="1" x14ac:dyDescent="0.25">
      <c r="A583" s="630">
        <v>7</v>
      </c>
      <c r="B583" s="86">
        <v>10</v>
      </c>
      <c r="C583" s="86">
        <v>8</v>
      </c>
      <c r="D583" s="856">
        <v>0.15</v>
      </c>
      <c r="E583" s="857">
        <v>155</v>
      </c>
      <c r="G583" s="630">
        <v>7</v>
      </c>
      <c r="H583" s="86">
        <v>8</v>
      </c>
      <c r="I583" s="86">
        <v>8</v>
      </c>
      <c r="J583" s="856">
        <v>0.15</v>
      </c>
      <c r="K583" s="857">
        <v>124</v>
      </c>
    </row>
    <row r="584" spans="1:11" ht="12.75" customHeight="1" x14ac:dyDescent="0.25">
      <c r="A584" s="630">
        <v>8</v>
      </c>
      <c r="B584" s="86">
        <v>10</v>
      </c>
      <c r="C584" s="86">
        <v>10</v>
      </c>
      <c r="D584" s="856">
        <v>0.15</v>
      </c>
      <c r="E584" s="857">
        <v>175</v>
      </c>
      <c r="G584" s="630">
        <v>8</v>
      </c>
      <c r="H584" s="86">
        <v>8</v>
      </c>
      <c r="I584" s="86">
        <v>11</v>
      </c>
      <c r="J584" s="856">
        <v>0.15</v>
      </c>
      <c r="K584" s="857">
        <v>148</v>
      </c>
    </row>
    <row r="585" spans="1:11" ht="12.75" customHeight="1" x14ac:dyDescent="0.25">
      <c r="A585" s="630">
        <v>9</v>
      </c>
      <c r="B585" s="86">
        <v>12</v>
      </c>
      <c r="C585" s="86">
        <v>9</v>
      </c>
      <c r="D585" s="856">
        <v>0.15</v>
      </c>
      <c r="E585" s="857">
        <v>198</v>
      </c>
      <c r="G585" s="630">
        <v>9</v>
      </c>
      <c r="H585" s="86">
        <v>12</v>
      </c>
      <c r="I585" s="86">
        <v>7</v>
      </c>
      <c r="J585" s="856">
        <v>0.15</v>
      </c>
      <c r="K585" s="857">
        <v>174</v>
      </c>
    </row>
    <row r="586" spans="1:11" ht="12.75" customHeight="1" x14ac:dyDescent="0.25">
      <c r="A586" s="630">
        <v>10</v>
      </c>
      <c r="B586" s="86">
        <v>14</v>
      </c>
      <c r="C586" s="86">
        <v>9</v>
      </c>
      <c r="D586" s="856">
        <v>0.15</v>
      </c>
      <c r="E586" s="857">
        <v>231</v>
      </c>
      <c r="G586" s="630">
        <v>10</v>
      </c>
      <c r="H586" s="86">
        <v>13</v>
      </c>
      <c r="I586" s="86">
        <v>7</v>
      </c>
      <c r="J586" s="856">
        <v>0.15</v>
      </c>
      <c r="K586" s="857">
        <v>188.5</v>
      </c>
    </row>
    <row r="587" spans="1:11" ht="12.75" customHeight="1" x14ac:dyDescent="0.25">
      <c r="A587" s="630">
        <v>11</v>
      </c>
      <c r="B587" s="86">
        <v>15</v>
      </c>
      <c r="C587" s="86">
        <v>9</v>
      </c>
      <c r="D587" s="856">
        <v>0.15</v>
      </c>
      <c r="E587" s="857">
        <v>247.5</v>
      </c>
      <c r="G587" s="630">
        <v>11</v>
      </c>
      <c r="H587" s="86">
        <v>15</v>
      </c>
      <c r="I587" s="86">
        <v>7</v>
      </c>
      <c r="J587" s="856">
        <v>0.15</v>
      </c>
      <c r="K587" s="857">
        <v>217.5</v>
      </c>
    </row>
    <row r="588" spans="1:11" ht="12.75" customHeight="1" x14ac:dyDescent="0.25">
      <c r="A588" s="630">
        <v>12</v>
      </c>
      <c r="B588" s="86">
        <v>15</v>
      </c>
      <c r="C588" s="86">
        <v>11</v>
      </c>
      <c r="D588" s="856">
        <v>0.15</v>
      </c>
      <c r="E588" s="857">
        <v>277.5</v>
      </c>
      <c r="G588" s="630">
        <v>12</v>
      </c>
      <c r="H588" s="86">
        <v>12</v>
      </c>
      <c r="I588" s="86">
        <v>12</v>
      </c>
      <c r="J588" s="856">
        <v>0.15</v>
      </c>
      <c r="K588" s="857">
        <v>234</v>
      </c>
    </row>
    <row r="589" spans="1:11" ht="12.75" customHeight="1" x14ac:dyDescent="0.25">
      <c r="A589" s="630">
        <v>13</v>
      </c>
      <c r="B589" s="86">
        <v>15</v>
      </c>
      <c r="C589" s="86">
        <v>13</v>
      </c>
      <c r="D589" s="856">
        <v>0.15</v>
      </c>
      <c r="E589" s="857">
        <v>307.5</v>
      </c>
      <c r="G589" s="630">
        <v>13</v>
      </c>
      <c r="H589" s="86">
        <v>15</v>
      </c>
      <c r="I589" s="86">
        <v>10</v>
      </c>
      <c r="J589" s="856">
        <v>0.15</v>
      </c>
      <c r="K589" s="857">
        <v>262.5</v>
      </c>
    </row>
    <row r="590" spans="1:11" ht="12.75" customHeight="1" x14ac:dyDescent="0.25">
      <c r="A590" s="630">
        <v>14</v>
      </c>
      <c r="B590" s="86">
        <v>20</v>
      </c>
      <c r="C590" s="86">
        <v>9</v>
      </c>
      <c r="D590" s="856">
        <v>0.15</v>
      </c>
      <c r="E590" s="857">
        <v>330</v>
      </c>
      <c r="G590" s="630">
        <v>14</v>
      </c>
      <c r="H590" s="86">
        <v>15</v>
      </c>
      <c r="I590" s="86">
        <v>13</v>
      </c>
      <c r="J590" s="856">
        <v>0.15</v>
      </c>
      <c r="K590" s="857">
        <v>307.5</v>
      </c>
    </row>
    <row r="591" spans="1:11" ht="12.75" customHeight="1" x14ac:dyDescent="0.25">
      <c r="A591" s="630">
        <v>15</v>
      </c>
      <c r="B591" s="86">
        <v>17</v>
      </c>
      <c r="C591" s="86">
        <v>14</v>
      </c>
      <c r="D591" s="856">
        <v>0.15</v>
      </c>
      <c r="E591" s="857">
        <v>365.5</v>
      </c>
      <c r="G591" s="630">
        <v>15</v>
      </c>
      <c r="H591" s="86">
        <v>15</v>
      </c>
      <c r="I591" s="86">
        <v>14</v>
      </c>
      <c r="J591" s="856">
        <v>0.15</v>
      </c>
      <c r="K591" s="857">
        <v>322.5</v>
      </c>
    </row>
    <row r="592" spans="1:11" ht="12.75" customHeight="1" x14ac:dyDescent="0.25">
      <c r="A592" s="630">
        <v>16</v>
      </c>
      <c r="B592" s="86">
        <v>19</v>
      </c>
      <c r="C592" s="86">
        <v>14</v>
      </c>
      <c r="D592" s="856">
        <v>0.15</v>
      </c>
      <c r="E592" s="857">
        <v>408.5</v>
      </c>
      <c r="G592" s="630">
        <v>16</v>
      </c>
      <c r="H592" s="86">
        <v>17</v>
      </c>
      <c r="I592" s="86">
        <v>13</v>
      </c>
      <c r="J592" s="856">
        <v>0.15</v>
      </c>
      <c r="K592" s="857">
        <v>348.5</v>
      </c>
    </row>
    <row r="593" spans="1:11" ht="12.75" customHeight="1" x14ac:dyDescent="0.25">
      <c r="A593" s="630">
        <v>17</v>
      </c>
      <c r="B593" s="86">
        <v>20</v>
      </c>
      <c r="C593" s="86">
        <v>13</v>
      </c>
      <c r="D593" s="856">
        <v>0.15</v>
      </c>
      <c r="E593" s="857">
        <v>410</v>
      </c>
      <c r="G593" s="630">
        <v>17</v>
      </c>
      <c r="H593" s="86">
        <v>18</v>
      </c>
      <c r="I593" s="86">
        <v>13</v>
      </c>
      <c r="J593" s="856">
        <v>0.15</v>
      </c>
      <c r="K593" s="857">
        <v>369</v>
      </c>
    </row>
    <row r="594" spans="1:11" ht="12.75" customHeight="1" x14ac:dyDescent="0.25">
      <c r="A594" s="630">
        <v>18</v>
      </c>
      <c r="B594" s="86">
        <v>99</v>
      </c>
      <c r="C594" s="86">
        <v>99</v>
      </c>
      <c r="D594" s="856">
        <v>0.15</v>
      </c>
      <c r="E594" s="857">
        <v>999</v>
      </c>
      <c r="G594" s="630">
        <v>18</v>
      </c>
      <c r="H594" s="86">
        <v>19</v>
      </c>
      <c r="I594" s="86">
        <v>13</v>
      </c>
      <c r="J594" s="856">
        <v>0.15</v>
      </c>
      <c r="K594" s="857">
        <v>389.5</v>
      </c>
    </row>
    <row r="595" spans="1:11" ht="12.75" customHeight="1" x14ac:dyDescent="0.25">
      <c r="A595" s="630">
        <v>19</v>
      </c>
      <c r="B595" s="86">
        <v>99</v>
      </c>
      <c r="C595" s="86">
        <v>99</v>
      </c>
      <c r="D595" s="856">
        <v>0.15</v>
      </c>
      <c r="E595" s="857">
        <v>999</v>
      </c>
      <c r="G595" s="630">
        <v>19</v>
      </c>
      <c r="H595" s="86">
        <v>20</v>
      </c>
      <c r="I595" s="86">
        <v>13</v>
      </c>
      <c r="J595" s="856">
        <v>0.15</v>
      </c>
      <c r="K595" s="857">
        <v>410</v>
      </c>
    </row>
    <row r="596" spans="1:11" ht="12.75" customHeight="1" thickBot="1" x14ac:dyDescent="0.3">
      <c r="A596" s="858">
        <v>20</v>
      </c>
      <c r="B596" s="859">
        <v>99</v>
      </c>
      <c r="C596" s="859">
        <v>99</v>
      </c>
      <c r="D596" s="860">
        <v>0.15</v>
      </c>
      <c r="E596" s="861">
        <v>999</v>
      </c>
      <c r="G596" s="858">
        <v>20</v>
      </c>
      <c r="H596" s="859">
        <v>20</v>
      </c>
      <c r="I596" s="859">
        <v>20</v>
      </c>
      <c r="J596" s="860">
        <v>0.15</v>
      </c>
      <c r="K596" s="861">
        <v>550</v>
      </c>
    </row>
    <row r="597" spans="1:11" ht="12.75" customHeight="1" x14ac:dyDescent="0.25">
      <c r="A597" s="852">
        <v>1</v>
      </c>
      <c r="B597" s="853">
        <v>99</v>
      </c>
      <c r="C597" s="853">
        <v>99</v>
      </c>
      <c r="D597" s="854">
        <v>0.16</v>
      </c>
      <c r="E597" s="855">
        <v>999</v>
      </c>
      <c r="G597" s="852">
        <v>1</v>
      </c>
      <c r="H597" s="853">
        <v>1</v>
      </c>
      <c r="I597" s="853">
        <v>11</v>
      </c>
      <c r="J597" s="854">
        <v>0.16</v>
      </c>
      <c r="K597" s="855">
        <v>18.5</v>
      </c>
    </row>
    <row r="598" spans="1:11" ht="12.75" customHeight="1" x14ac:dyDescent="0.25">
      <c r="A598" s="630">
        <v>2</v>
      </c>
      <c r="B598" s="86">
        <v>2</v>
      </c>
      <c r="C598" s="86">
        <v>11</v>
      </c>
      <c r="D598" s="856">
        <v>0.16</v>
      </c>
      <c r="E598" s="857">
        <v>37</v>
      </c>
      <c r="G598" s="630">
        <v>2</v>
      </c>
      <c r="H598" s="86">
        <v>2</v>
      </c>
      <c r="I598" s="86">
        <v>8</v>
      </c>
      <c r="J598" s="856">
        <v>0.16</v>
      </c>
      <c r="K598" s="857">
        <v>31</v>
      </c>
    </row>
    <row r="599" spans="1:11" ht="12.75" customHeight="1" x14ac:dyDescent="0.25">
      <c r="A599" s="630">
        <v>3</v>
      </c>
      <c r="B599" s="86">
        <v>3</v>
      </c>
      <c r="C599" s="86">
        <v>11</v>
      </c>
      <c r="D599" s="856">
        <v>0.16</v>
      </c>
      <c r="E599" s="857">
        <v>55.5</v>
      </c>
      <c r="G599" s="630">
        <v>3</v>
      </c>
      <c r="H599" s="86">
        <v>3</v>
      </c>
      <c r="I599" s="86">
        <v>10</v>
      </c>
      <c r="J599" s="856">
        <v>0.16</v>
      </c>
      <c r="K599" s="857">
        <v>52.5</v>
      </c>
    </row>
    <row r="600" spans="1:11" ht="12.75" customHeight="1" x14ac:dyDescent="0.25">
      <c r="A600" s="630">
        <v>4</v>
      </c>
      <c r="B600" s="86">
        <v>6</v>
      </c>
      <c r="C600" s="86">
        <v>6</v>
      </c>
      <c r="D600" s="856">
        <v>0.16</v>
      </c>
      <c r="E600" s="857">
        <v>81</v>
      </c>
      <c r="G600" s="630">
        <v>4</v>
      </c>
      <c r="H600" s="86">
        <v>4</v>
      </c>
      <c r="I600" s="86">
        <v>10</v>
      </c>
      <c r="J600" s="856">
        <v>0.16</v>
      </c>
      <c r="K600" s="857">
        <v>70</v>
      </c>
    </row>
    <row r="601" spans="1:11" ht="12.75" customHeight="1" x14ac:dyDescent="0.25">
      <c r="A601" s="630">
        <v>5</v>
      </c>
      <c r="B601" s="86">
        <v>6</v>
      </c>
      <c r="C601" s="86">
        <v>10</v>
      </c>
      <c r="D601" s="856">
        <v>0.16</v>
      </c>
      <c r="E601" s="857">
        <v>105</v>
      </c>
      <c r="G601" s="630">
        <v>5</v>
      </c>
      <c r="H601" s="86">
        <v>5</v>
      </c>
      <c r="I601" s="86">
        <v>10</v>
      </c>
      <c r="J601" s="856">
        <v>0.16</v>
      </c>
      <c r="K601" s="857">
        <v>87.5</v>
      </c>
    </row>
    <row r="602" spans="1:11" ht="12.75" customHeight="1" x14ac:dyDescent="0.25">
      <c r="A602" s="630">
        <v>6</v>
      </c>
      <c r="B602" s="86">
        <v>7</v>
      </c>
      <c r="C602" s="86">
        <v>12</v>
      </c>
      <c r="D602" s="856">
        <v>0.16</v>
      </c>
      <c r="E602" s="857">
        <v>136.5</v>
      </c>
      <c r="G602" s="630">
        <v>6</v>
      </c>
      <c r="H602" s="86">
        <v>9</v>
      </c>
      <c r="I602" s="86">
        <v>6</v>
      </c>
      <c r="J602" s="856">
        <v>0.16</v>
      </c>
      <c r="K602" s="857">
        <v>121.5</v>
      </c>
    </row>
    <row r="603" spans="1:11" ht="12.75" customHeight="1" x14ac:dyDescent="0.25">
      <c r="A603" s="630">
        <v>7</v>
      </c>
      <c r="B603" s="86">
        <v>8</v>
      </c>
      <c r="C603" s="86">
        <v>12</v>
      </c>
      <c r="D603" s="856">
        <v>0.16</v>
      </c>
      <c r="E603" s="857">
        <v>156</v>
      </c>
      <c r="G603" s="630">
        <v>7</v>
      </c>
      <c r="H603" s="86">
        <v>7</v>
      </c>
      <c r="I603" s="86">
        <v>14</v>
      </c>
      <c r="J603" s="856">
        <v>0.16</v>
      </c>
      <c r="K603" s="857">
        <v>150.5</v>
      </c>
    </row>
    <row r="604" spans="1:11" ht="12.75" customHeight="1" x14ac:dyDescent="0.25">
      <c r="A604" s="630">
        <v>8</v>
      </c>
      <c r="B604" s="86">
        <v>9</v>
      </c>
      <c r="C604" s="86">
        <v>13</v>
      </c>
      <c r="D604" s="856">
        <v>0.16</v>
      </c>
      <c r="E604" s="857">
        <v>184.5</v>
      </c>
      <c r="G604" s="630">
        <v>8</v>
      </c>
      <c r="H604" s="86">
        <v>8</v>
      </c>
      <c r="I604" s="86">
        <v>12</v>
      </c>
      <c r="J604" s="856">
        <v>0.16</v>
      </c>
      <c r="K604" s="857">
        <v>156</v>
      </c>
    </row>
    <row r="605" spans="1:11" ht="12.75" customHeight="1" x14ac:dyDescent="0.25">
      <c r="A605" s="630">
        <v>9</v>
      </c>
      <c r="B605" s="86">
        <v>12</v>
      </c>
      <c r="C605" s="86">
        <v>10</v>
      </c>
      <c r="D605" s="856">
        <v>0.16</v>
      </c>
      <c r="E605" s="857">
        <v>210</v>
      </c>
      <c r="G605" s="630">
        <v>9</v>
      </c>
      <c r="H605" s="86">
        <v>12</v>
      </c>
      <c r="I605" s="86">
        <v>7</v>
      </c>
      <c r="J605" s="856">
        <v>0.16</v>
      </c>
      <c r="K605" s="857">
        <v>174</v>
      </c>
    </row>
    <row r="606" spans="1:11" ht="12.75" customHeight="1" x14ac:dyDescent="0.25">
      <c r="A606" s="630">
        <v>10</v>
      </c>
      <c r="B606" s="86">
        <v>14</v>
      </c>
      <c r="C606" s="86">
        <v>9</v>
      </c>
      <c r="D606" s="856">
        <v>0.16</v>
      </c>
      <c r="E606" s="857">
        <v>231</v>
      </c>
      <c r="G606" s="630">
        <v>10</v>
      </c>
      <c r="H606" s="86">
        <v>13</v>
      </c>
      <c r="I606" s="86">
        <v>7</v>
      </c>
      <c r="J606" s="856">
        <v>0.16</v>
      </c>
      <c r="K606" s="857">
        <v>188.5</v>
      </c>
    </row>
    <row r="607" spans="1:11" ht="12.75" customHeight="1" x14ac:dyDescent="0.25">
      <c r="A607" s="630">
        <v>11</v>
      </c>
      <c r="B607" s="86">
        <v>15</v>
      </c>
      <c r="C607" s="86">
        <v>9</v>
      </c>
      <c r="D607" s="856">
        <v>0.16</v>
      </c>
      <c r="E607" s="857">
        <v>247.5</v>
      </c>
      <c r="G607" s="630">
        <v>11</v>
      </c>
      <c r="H607" s="86">
        <v>14</v>
      </c>
      <c r="I607" s="86">
        <v>7</v>
      </c>
      <c r="J607" s="856">
        <v>0.16</v>
      </c>
      <c r="K607" s="857">
        <v>203</v>
      </c>
    </row>
    <row r="608" spans="1:11" ht="12.75" customHeight="1" x14ac:dyDescent="0.25">
      <c r="A608" s="630">
        <v>12</v>
      </c>
      <c r="B608" s="86">
        <v>13</v>
      </c>
      <c r="C608" s="86">
        <v>20</v>
      </c>
      <c r="D608" s="856">
        <v>0.16</v>
      </c>
      <c r="E608" s="857">
        <v>357.5</v>
      </c>
      <c r="G608" s="630">
        <v>12</v>
      </c>
      <c r="H608" s="86">
        <v>99</v>
      </c>
      <c r="I608" s="86">
        <v>99</v>
      </c>
      <c r="J608" s="856">
        <v>0.16</v>
      </c>
      <c r="K608" s="857">
        <v>999</v>
      </c>
    </row>
    <row r="609" spans="1:11" ht="12.75" customHeight="1" x14ac:dyDescent="0.25">
      <c r="A609" s="630">
        <v>13</v>
      </c>
      <c r="B609" s="86">
        <v>15</v>
      </c>
      <c r="C609" s="86">
        <v>16</v>
      </c>
      <c r="D609" s="856">
        <v>0.16</v>
      </c>
      <c r="E609" s="857">
        <v>352.5</v>
      </c>
      <c r="G609" s="630">
        <v>13</v>
      </c>
      <c r="H609" s="86">
        <v>99</v>
      </c>
      <c r="I609" s="86">
        <v>99</v>
      </c>
      <c r="J609" s="856">
        <v>0.16</v>
      </c>
      <c r="K609" s="857">
        <v>999</v>
      </c>
    </row>
    <row r="610" spans="1:11" ht="12.75" customHeight="1" x14ac:dyDescent="0.25">
      <c r="A610" s="630">
        <v>14</v>
      </c>
      <c r="B610" s="86">
        <v>15</v>
      </c>
      <c r="C610" s="86">
        <v>20</v>
      </c>
      <c r="D610" s="856">
        <v>0.16</v>
      </c>
      <c r="E610" s="857">
        <v>412.5</v>
      </c>
      <c r="G610" s="630">
        <v>14</v>
      </c>
      <c r="H610" s="86">
        <v>99</v>
      </c>
      <c r="I610" s="86">
        <v>99</v>
      </c>
      <c r="J610" s="856">
        <v>0.16</v>
      </c>
      <c r="K610" s="857">
        <v>999</v>
      </c>
    </row>
    <row r="611" spans="1:11" ht="12.75" customHeight="1" x14ac:dyDescent="0.25">
      <c r="A611" s="630">
        <v>15</v>
      </c>
      <c r="B611" s="86">
        <v>16</v>
      </c>
      <c r="C611" s="86">
        <v>20</v>
      </c>
      <c r="D611" s="856">
        <v>0.16</v>
      </c>
      <c r="E611" s="857">
        <v>440</v>
      </c>
      <c r="G611" s="630">
        <v>15</v>
      </c>
      <c r="H611" s="86">
        <v>99</v>
      </c>
      <c r="I611" s="86">
        <v>99</v>
      </c>
      <c r="J611" s="856">
        <v>0.16</v>
      </c>
      <c r="K611" s="857">
        <v>999</v>
      </c>
    </row>
    <row r="612" spans="1:11" ht="12.75" customHeight="1" x14ac:dyDescent="0.25">
      <c r="A612" s="630">
        <v>16</v>
      </c>
      <c r="B612" s="86">
        <v>17</v>
      </c>
      <c r="C612" s="86">
        <v>20</v>
      </c>
      <c r="D612" s="856">
        <v>0.16</v>
      </c>
      <c r="E612" s="857">
        <v>467.5</v>
      </c>
      <c r="G612" s="630">
        <v>16</v>
      </c>
      <c r="H612" s="86">
        <v>99</v>
      </c>
      <c r="I612" s="86">
        <v>99</v>
      </c>
      <c r="J612" s="856">
        <v>0.16</v>
      </c>
      <c r="K612" s="857">
        <v>999</v>
      </c>
    </row>
    <row r="613" spans="1:11" ht="12.75" customHeight="1" x14ac:dyDescent="0.25">
      <c r="A613" s="630">
        <v>17</v>
      </c>
      <c r="B613" s="86">
        <v>18</v>
      </c>
      <c r="C613" s="86">
        <v>20</v>
      </c>
      <c r="D613" s="856">
        <v>0.16</v>
      </c>
      <c r="E613" s="857">
        <v>495</v>
      </c>
      <c r="G613" s="630">
        <v>17</v>
      </c>
      <c r="H613" s="86">
        <v>99</v>
      </c>
      <c r="I613" s="86">
        <v>99</v>
      </c>
      <c r="J613" s="856">
        <v>0.16</v>
      </c>
      <c r="K613" s="857">
        <v>999</v>
      </c>
    </row>
    <row r="614" spans="1:11" ht="12.75" customHeight="1" x14ac:dyDescent="0.25">
      <c r="A614" s="630">
        <v>18</v>
      </c>
      <c r="B614" s="86">
        <v>99</v>
      </c>
      <c r="C614" s="86">
        <v>99</v>
      </c>
      <c r="D614" s="856">
        <v>0.16</v>
      </c>
      <c r="E614" s="857">
        <v>999</v>
      </c>
      <c r="G614" s="630">
        <v>18</v>
      </c>
      <c r="H614" s="86">
        <v>99</v>
      </c>
      <c r="I614" s="86">
        <v>99</v>
      </c>
      <c r="J614" s="856">
        <v>0.16</v>
      </c>
      <c r="K614" s="857">
        <v>999</v>
      </c>
    </row>
    <row r="615" spans="1:11" ht="12.75" customHeight="1" x14ac:dyDescent="0.25">
      <c r="A615" s="630">
        <v>19</v>
      </c>
      <c r="B615" s="86">
        <v>99</v>
      </c>
      <c r="C615" s="86">
        <v>99</v>
      </c>
      <c r="D615" s="856">
        <v>0.16</v>
      </c>
      <c r="E615" s="857">
        <v>999</v>
      </c>
      <c r="G615" s="630">
        <v>19</v>
      </c>
      <c r="H615" s="86">
        <v>99</v>
      </c>
      <c r="I615" s="86">
        <v>99</v>
      </c>
      <c r="J615" s="856">
        <v>0.16</v>
      </c>
      <c r="K615" s="857">
        <v>999</v>
      </c>
    </row>
    <row r="616" spans="1:11" ht="12.75" customHeight="1" thickBot="1" x14ac:dyDescent="0.3">
      <c r="A616" s="858">
        <v>20</v>
      </c>
      <c r="B616" s="859">
        <v>99</v>
      </c>
      <c r="C616" s="859">
        <v>99</v>
      </c>
      <c r="D616" s="860">
        <v>0.16</v>
      </c>
      <c r="E616" s="861">
        <v>999</v>
      </c>
      <c r="G616" s="858">
        <v>20</v>
      </c>
      <c r="H616" s="859">
        <v>99</v>
      </c>
      <c r="I616" s="859">
        <v>99</v>
      </c>
      <c r="J616" s="860">
        <v>0.16</v>
      </c>
      <c r="K616" s="861">
        <v>999</v>
      </c>
    </row>
    <row r="617" spans="1:11" ht="12.75" customHeight="1" x14ac:dyDescent="0.25">
      <c r="A617" s="852">
        <v>1</v>
      </c>
      <c r="B617" s="853">
        <v>99</v>
      </c>
      <c r="C617" s="853">
        <v>99</v>
      </c>
      <c r="D617" s="854">
        <v>0.17</v>
      </c>
      <c r="E617" s="855">
        <v>999</v>
      </c>
      <c r="G617" s="852">
        <v>1</v>
      </c>
      <c r="H617" s="853">
        <v>99</v>
      </c>
      <c r="I617" s="853">
        <v>99</v>
      </c>
      <c r="J617" s="854">
        <v>0.17</v>
      </c>
      <c r="K617" s="855">
        <v>999</v>
      </c>
    </row>
    <row r="618" spans="1:11" ht="12.75" customHeight="1" x14ac:dyDescent="0.25">
      <c r="A618" s="630">
        <v>2</v>
      </c>
      <c r="B618" s="86">
        <v>2</v>
      </c>
      <c r="C618" s="86">
        <v>10</v>
      </c>
      <c r="D618" s="856">
        <v>0.17</v>
      </c>
      <c r="E618" s="857">
        <v>35</v>
      </c>
      <c r="G618" s="630">
        <v>2</v>
      </c>
      <c r="H618" s="86">
        <v>2</v>
      </c>
      <c r="I618" s="86">
        <v>11</v>
      </c>
      <c r="J618" s="856">
        <v>0.17</v>
      </c>
      <c r="K618" s="857">
        <v>37</v>
      </c>
    </row>
    <row r="619" spans="1:11" ht="12.75" customHeight="1" x14ac:dyDescent="0.25">
      <c r="A619" s="630">
        <v>3</v>
      </c>
      <c r="B619" s="86">
        <v>3</v>
      </c>
      <c r="C619" s="86">
        <v>11</v>
      </c>
      <c r="D619" s="856">
        <v>0.17</v>
      </c>
      <c r="E619" s="857">
        <v>55.5</v>
      </c>
      <c r="G619" s="630">
        <v>3</v>
      </c>
      <c r="H619" s="86">
        <v>3</v>
      </c>
      <c r="I619" s="86">
        <v>10</v>
      </c>
      <c r="J619" s="856">
        <v>0.17</v>
      </c>
      <c r="K619" s="857">
        <v>52.5</v>
      </c>
    </row>
    <row r="620" spans="1:11" ht="12.75" customHeight="1" x14ac:dyDescent="0.25">
      <c r="A620" s="630">
        <v>4</v>
      </c>
      <c r="B620" s="86">
        <v>4</v>
      </c>
      <c r="C620" s="86">
        <v>13</v>
      </c>
      <c r="D620" s="856">
        <v>0.17</v>
      </c>
      <c r="E620" s="857">
        <v>82</v>
      </c>
      <c r="G620" s="630">
        <v>4</v>
      </c>
      <c r="H620" s="86">
        <v>5</v>
      </c>
      <c r="I620" s="86">
        <v>6</v>
      </c>
      <c r="J620" s="856">
        <v>0.17</v>
      </c>
      <c r="K620" s="857">
        <v>67.5</v>
      </c>
    </row>
    <row r="621" spans="1:11" ht="12.75" customHeight="1" x14ac:dyDescent="0.25">
      <c r="A621" s="630">
        <v>5</v>
      </c>
      <c r="B621" s="86">
        <v>6</v>
      </c>
      <c r="C621" s="86">
        <v>10</v>
      </c>
      <c r="D621" s="856">
        <v>0.17</v>
      </c>
      <c r="E621" s="857">
        <v>105</v>
      </c>
      <c r="G621" s="630">
        <v>5</v>
      </c>
      <c r="H621" s="86">
        <v>5</v>
      </c>
      <c r="I621" s="86">
        <v>10</v>
      </c>
      <c r="J621" s="856">
        <v>0.17</v>
      </c>
      <c r="K621" s="857">
        <v>87.5</v>
      </c>
    </row>
    <row r="622" spans="1:11" ht="12.75" customHeight="1" x14ac:dyDescent="0.25">
      <c r="A622" s="630">
        <v>6</v>
      </c>
      <c r="B622" s="86">
        <v>7</v>
      </c>
      <c r="C622" s="86">
        <v>11</v>
      </c>
      <c r="D622" s="856">
        <v>0.17</v>
      </c>
      <c r="E622" s="857">
        <v>129.5</v>
      </c>
      <c r="G622" s="630">
        <v>6</v>
      </c>
      <c r="H622" s="86">
        <v>6</v>
      </c>
      <c r="I622" s="86">
        <v>11</v>
      </c>
      <c r="J622" s="856">
        <v>0.17</v>
      </c>
      <c r="K622" s="857">
        <v>111</v>
      </c>
    </row>
    <row r="623" spans="1:11" ht="12.75" customHeight="1" x14ac:dyDescent="0.25">
      <c r="A623" s="630">
        <v>7</v>
      </c>
      <c r="B623" s="86">
        <v>8</v>
      </c>
      <c r="C623" s="86">
        <v>13</v>
      </c>
      <c r="D623" s="856">
        <v>0.17</v>
      </c>
      <c r="E623" s="857">
        <v>164</v>
      </c>
      <c r="G623" s="630">
        <v>7</v>
      </c>
      <c r="H623" s="86">
        <v>7</v>
      </c>
      <c r="I623" s="86">
        <v>14</v>
      </c>
      <c r="J623" s="856">
        <v>0.17</v>
      </c>
      <c r="K623" s="857">
        <v>150.5</v>
      </c>
    </row>
    <row r="624" spans="1:11" ht="12.75" customHeight="1" x14ac:dyDescent="0.25">
      <c r="A624" s="630">
        <v>8</v>
      </c>
      <c r="B624" s="86">
        <v>14</v>
      </c>
      <c r="C624" s="86">
        <v>6</v>
      </c>
      <c r="D624" s="856">
        <v>0.17</v>
      </c>
      <c r="E624" s="857">
        <v>189</v>
      </c>
      <c r="G624" s="630">
        <v>8</v>
      </c>
      <c r="H624" s="86">
        <v>11</v>
      </c>
      <c r="I624" s="86">
        <v>7</v>
      </c>
      <c r="J624" s="856">
        <v>0.17</v>
      </c>
      <c r="K624" s="857">
        <v>159.5</v>
      </c>
    </row>
    <row r="625" spans="1:11" ht="12.75" customHeight="1" x14ac:dyDescent="0.25">
      <c r="A625" s="630">
        <v>9</v>
      </c>
      <c r="B625" s="86">
        <v>10</v>
      </c>
      <c r="C625" s="86">
        <v>14</v>
      </c>
      <c r="D625" s="856">
        <v>0.17</v>
      </c>
      <c r="E625" s="857">
        <v>215</v>
      </c>
      <c r="G625" s="630">
        <v>9</v>
      </c>
      <c r="H625" s="86">
        <v>9</v>
      </c>
      <c r="I625" s="86">
        <v>14</v>
      </c>
      <c r="J625" s="856">
        <v>0.17</v>
      </c>
      <c r="K625" s="857">
        <v>193.5</v>
      </c>
    </row>
    <row r="626" spans="1:11" ht="12.75" customHeight="1" x14ac:dyDescent="0.25">
      <c r="A626" s="630">
        <v>10</v>
      </c>
      <c r="B626" s="86">
        <v>99</v>
      </c>
      <c r="C626" s="86">
        <v>99</v>
      </c>
      <c r="D626" s="856">
        <v>0.17</v>
      </c>
      <c r="E626" s="857">
        <v>999</v>
      </c>
      <c r="G626" s="630">
        <v>10</v>
      </c>
      <c r="H626" s="86">
        <v>10</v>
      </c>
      <c r="I626" s="86">
        <v>14</v>
      </c>
      <c r="J626" s="856">
        <v>0.17</v>
      </c>
      <c r="K626" s="857">
        <v>215</v>
      </c>
    </row>
    <row r="627" spans="1:11" ht="12.75" customHeight="1" x14ac:dyDescent="0.25">
      <c r="A627" s="630">
        <v>11</v>
      </c>
      <c r="B627" s="86">
        <v>15</v>
      </c>
      <c r="C627" s="86">
        <v>10</v>
      </c>
      <c r="D627" s="856">
        <v>0.17</v>
      </c>
      <c r="E627" s="857">
        <v>262.5</v>
      </c>
      <c r="G627" s="630">
        <v>11</v>
      </c>
      <c r="H627" s="86">
        <v>11</v>
      </c>
      <c r="I627" s="86">
        <v>14</v>
      </c>
      <c r="J627" s="856">
        <v>0.17</v>
      </c>
      <c r="K627" s="857">
        <v>236.5</v>
      </c>
    </row>
    <row r="628" spans="1:11" ht="12.75" customHeight="1" x14ac:dyDescent="0.25">
      <c r="A628" s="630">
        <v>12</v>
      </c>
      <c r="B628" s="86">
        <v>99</v>
      </c>
      <c r="C628" s="86">
        <v>99</v>
      </c>
      <c r="D628" s="856">
        <v>0.17</v>
      </c>
      <c r="E628" s="857">
        <v>999</v>
      </c>
      <c r="G628" s="630">
        <v>12</v>
      </c>
      <c r="H628" s="86">
        <v>99</v>
      </c>
      <c r="I628" s="86">
        <v>99</v>
      </c>
      <c r="J628" s="856">
        <v>0.17</v>
      </c>
      <c r="K628" s="857">
        <v>999</v>
      </c>
    </row>
    <row r="629" spans="1:11" ht="12.75" customHeight="1" x14ac:dyDescent="0.25">
      <c r="A629" s="630">
        <v>13</v>
      </c>
      <c r="B629" s="86">
        <v>99</v>
      </c>
      <c r="C629" s="86">
        <v>99</v>
      </c>
      <c r="D629" s="856">
        <v>0.17</v>
      </c>
      <c r="E629" s="857">
        <v>999</v>
      </c>
      <c r="G629" s="630">
        <v>13</v>
      </c>
      <c r="H629" s="86">
        <v>99</v>
      </c>
      <c r="I629" s="86">
        <v>99</v>
      </c>
      <c r="J629" s="856">
        <v>0.17</v>
      </c>
      <c r="K629" s="857">
        <v>999</v>
      </c>
    </row>
    <row r="630" spans="1:11" ht="12.75" customHeight="1" x14ac:dyDescent="0.25">
      <c r="A630" s="630">
        <v>14</v>
      </c>
      <c r="B630" s="86">
        <v>99</v>
      </c>
      <c r="C630" s="86">
        <v>99</v>
      </c>
      <c r="D630" s="856">
        <v>0.17</v>
      </c>
      <c r="E630" s="857">
        <v>999</v>
      </c>
      <c r="G630" s="630">
        <v>14</v>
      </c>
      <c r="H630" s="86">
        <v>99</v>
      </c>
      <c r="I630" s="86">
        <v>99</v>
      </c>
      <c r="J630" s="856">
        <v>0.17</v>
      </c>
      <c r="K630" s="857">
        <v>999</v>
      </c>
    </row>
    <row r="631" spans="1:11" ht="12.75" customHeight="1" x14ac:dyDescent="0.25">
      <c r="A631" s="630">
        <v>15</v>
      </c>
      <c r="B631" s="86">
        <v>99</v>
      </c>
      <c r="C631" s="86">
        <v>99</v>
      </c>
      <c r="D631" s="856">
        <v>0.17</v>
      </c>
      <c r="E631" s="857">
        <v>999</v>
      </c>
      <c r="G631" s="630">
        <v>15</v>
      </c>
      <c r="H631" s="86">
        <v>99</v>
      </c>
      <c r="I631" s="86">
        <v>99</v>
      </c>
      <c r="J631" s="856">
        <v>0.17</v>
      </c>
      <c r="K631" s="857">
        <v>999</v>
      </c>
    </row>
    <row r="632" spans="1:11" ht="12.75" customHeight="1" x14ac:dyDescent="0.25">
      <c r="A632" s="630">
        <v>16</v>
      </c>
      <c r="B632" s="86">
        <v>99</v>
      </c>
      <c r="C632" s="86">
        <v>99</v>
      </c>
      <c r="D632" s="856">
        <v>0.17</v>
      </c>
      <c r="E632" s="857">
        <v>999</v>
      </c>
      <c r="G632" s="630">
        <v>16</v>
      </c>
      <c r="H632" s="86">
        <v>99</v>
      </c>
      <c r="I632" s="86">
        <v>99</v>
      </c>
      <c r="J632" s="856">
        <v>0.17</v>
      </c>
      <c r="K632" s="857">
        <v>999</v>
      </c>
    </row>
    <row r="633" spans="1:11" ht="12.75" customHeight="1" x14ac:dyDescent="0.25">
      <c r="A633" s="630">
        <v>17</v>
      </c>
      <c r="B633" s="86">
        <v>99</v>
      </c>
      <c r="C633" s="86">
        <v>99</v>
      </c>
      <c r="D633" s="856">
        <v>0.17</v>
      </c>
      <c r="E633" s="857">
        <v>999</v>
      </c>
      <c r="G633" s="630">
        <v>17</v>
      </c>
      <c r="H633" s="86">
        <v>99</v>
      </c>
      <c r="I633" s="86">
        <v>99</v>
      </c>
      <c r="J633" s="856">
        <v>0.17</v>
      </c>
      <c r="K633" s="857">
        <v>999</v>
      </c>
    </row>
    <row r="634" spans="1:11" ht="12.75" customHeight="1" x14ac:dyDescent="0.25">
      <c r="A634" s="630">
        <v>18</v>
      </c>
      <c r="B634" s="86">
        <v>99</v>
      </c>
      <c r="C634" s="86">
        <v>99</v>
      </c>
      <c r="D634" s="856">
        <v>0.17</v>
      </c>
      <c r="E634" s="857">
        <v>999</v>
      </c>
      <c r="G634" s="630">
        <v>18</v>
      </c>
      <c r="H634" s="86">
        <v>99</v>
      </c>
      <c r="I634" s="86">
        <v>99</v>
      </c>
      <c r="J634" s="856">
        <v>0.17</v>
      </c>
      <c r="K634" s="857">
        <v>999</v>
      </c>
    </row>
    <row r="635" spans="1:11" ht="12.75" customHeight="1" x14ac:dyDescent="0.25">
      <c r="A635" s="630">
        <v>19</v>
      </c>
      <c r="B635" s="86">
        <v>99</v>
      </c>
      <c r="C635" s="86">
        <v>99</v>
      </c>
      <c r="D635" s="856">
        <v>0.17</v>
      </c>
      <c r="E635" s="857">
        <v>999</v>
      </c>
      <c r="G635" s="630">
        <v>19</v>
      </c>
      <c r="H635" s="86">
        <v>99</v>
      </c>
      <c r="I635" s="86">
        <v>99</v>
      </c>
      <c r="J635" s="856">
        <v>0.17</v>
      </c>
      <c r="K635" s="857">
        <v>999</v>
      </c>
    </row>
    <row r="636" spans="1:11" ht="12.75" customHeight="1" thickBot="1" x14ac:dyDescent="0.3">
      <c r="A636" s="858">
        <v>20</v>
      </c>
      <c r="B636" s="859">
        <v>99</v>
      </c>
      <c r="C636" s="859">
        <v>99</v>
      </c>
      <c r="D636" s="860">
        <v>0.17</v>
      </c>
      <c r="E636" s="861">
        <v>999</v>
      </c>
      <c r="G636" s="858">
        <v>20</v>
      </c>
      <c r="H636" s="859">
        <v>99</v>
      </c>
      <c r="I636" s="859">
        <v>99</v>
      </c>
      <c r="J636" s="860">
        <v>0.17</v>
      </c>
      <c r="K636" s="861">
        <v>999</v>
      </c>
    </row>
    <row r="637" spans="1:11" ht="12.75" customHeight="1" x14ac:dyDescent="0.25">
      <c r="A637" s="852">
        <v>1</v>
      </c>
      <c r="B637" s="853">
        <v>99</v>
      </c>
      <c r="C637" s="853">
        <v>99</v>
      </c>
      <c r="D637" s="854">
        <v>0.18</v>
      </c>
      <c r="E637" s="855">
        <v>999</v>
      </c>
      <c r="G637" s="852">
        <v>1</v>
      </c>
      <c r="H637" s="853">
        <v>99</v>
      </c>
      <c r="I637" s="853">
        <v>99</v>
      </c>
      <c r="J637" s="854">
        <v>0.18</v>
      </c>
      <c r="K637" s="855">
        <v>999</v>
      </c>
    </row>
    <row r="638" spans="1:11" ht="12.75" customHeight="1" x14ac:dyDescent="0.25">
      <c r="A638" s="630">
        <v>2</v>
      </c>
      <c r="B638" s="86">
        <v>2</v>
      </c>
      <c r="C638" s="86">
        <v>14</v>
      </c>
      <c r="D638" s="856">
        <v>0.18</v>
      </c>
      <c r="E638" s="857">
        <v>43</v>
      </c>
      <c r="G638" s="630">
        <v>2</v>
      </c>
      <c r="H638" s="86">
        <v>2</v>
      </c>
      <c r="I638" s="86">
        <v>15</v>
      </c>
      <c r="J638" s="856">
        <v>0.18</v>
      </c>
      <c r="K638" s="857">
        <v>45</v>
      </c>
    </row>
    <row r="639" spans="1:11" ht="12.75" customHeight="1" x14ac:dyDescent="0.25">
      <c r="A639" s="630">
        <v>3</v>
      </c>
      <c r="B639" s="86">
        <v>3</v>
      </c>
      <c r="C639" s="86">
        <v>11</v>
      </c>
      <c r="D639" s="856">
        <v>0.18</v>
      </c>
      <c r="E639" s="857">
        <v>55.5</v>
      </c>
      <c r="G639" s="630">
        <v>3</v>
      </c>
      <c r="H639" s="86">
        <v>3</v>
      </c>
      <c r="I639" s="86">
        <v>13</v>
      </c>
      <c r="J639" s="856">
        <v>0.18</v>
      </c>
      <c r="K639" s="857">
        <v>61.5</v>
      </c>
    </row>
    <row r="640" spans="1:11" ht="12.75" customHeight="1" x14ac:dyDescent="0.25">
      <c r="A640" s="630">
        <v>4</v>
      </c>
      <c r="B640" s="86">
        <v>5</v>
      </c>
      <c r="C640" s="86">
        <v>8</v>
      </c>
      <c r="D640" s="856">
        <v>0.18</v>
      </c>
      <c r="E640" s="857">
        <v>77.5</v>
      </c>
      <c r="G640" s="630">
        <v>4</v>
      </c>
      <c r="H640" s="86">
        <v>4</v>
      </c>
      <c r="I640" s="86">
        <v>11</v>
      </c>
      <c r="J640" s="856">
        <v>0.18</v>
      </c>
      <c r="K640" s="857">
        <v>74</v>
      </c>
    </row>
    <row r="641" spans="1:11" ht="12.75" customHeight="1" x14ac:dyDescent="0.25">
      <c r="A641" s="630">
        <v>5</v>
      </c>
      <c r="B641" s="86">
        <v>5</v>
      </c>
      <c r="C641" s="86">
        <v>15</v>
      </c>
      <c r="D641" s="856">
        <v>0.18</v>
      </c>
      <c r="E641" s="857">
        <v>112.5</v>
      </c>
      <c r="G641" s="630">
        <v>5</v>
      </c>
      <c r="H641" s="86">
        <v>6</v>
      </c>
      <c r="I641" s="86">
        <v>8</v>
      </c>
      <c r="J641" s="856">
        <v>0.18</v>
      </c>
      <c r="K641" s="857">
        <v>93</v>
      </c>
    </row>
    <row r="642" spans="1:11" ht="12.75" customHeight="1" x14ac:dyDescent="0.25">
      <c r="A642" s="630">
        <v>6</v>
      </c>
      <c r="B642" s="86">
        <v>7</v>
      </c>
      <c r="C642" s="86">
        <v>12</v>
      </c>
      <c r="D642" s="856">
        <v>0.18</v>
      </c>
      <c r="E642" s="857">
        <v>136.5</v>
      </c>
      <c r="G642" s="630">
        <v>6</v>
      </c>
      <c r="H642" s="86">
        <v>6</v>
      </c>
      <c r="I642" s="86">
        <v>15</v>
      </c>
      <c r="J642" s="856">
        <v>0.18</v>
      </c>
      <c r="K642" s="857">
        <v>135</v>
      </c>
    </row>
    <row r="643" spans="1:11" ht="12.75" customHeight="1" x14ac:dyDescent="0.25">
      <c r="A643" s="630">
        <v>7</v>
      </c>
      <c r="B643" s="86">
        <v>8</v>
      </c>
      <c r="C643" s="86">
        <v>12</v>
      </c>
      <c r="D643" s="856">
        <v>0.18</v>
      </c>
      <c r="E643" s="857">
        <v>156</v>
      </c>
      <c r="G643" s="630">
        <v>7</v>
      </c>
      <c r="H643" s="86">
        <v>10</v>
      </c>
      <c r="I643" s="86">
        <v>5</v>
      </c>
      <c r="J643" s="856">
        <v>0.18</v>
      </c>
      <c r="K643" s="857">
        <v>125</v>
      </c>
    </row>
    <row r="644" spans="1:11" ht="12.75" customHeight="1" x14ac:dyDescent="0.25">
      <c r="A644" s="630">
        <v>8</v>
      </c>
      <c r="B644" s="86">
        <v>9</v>
      </c>
      <c r="C644" s="86">
        <v>14</v>
      </c>
      <c r="D644" s="856">
        <v>0.18</v>
      </c>
      <c r="E644" s="857">
        <v>193.5</v>
      </c>
      <c r="G644" s="630">
        <v>8</v>
      </c>
      <c r="H644" s="86">
        <v>8</v>
      </c>
      <c r="I644" s="86">
        <v>15</v>
      </c>
      <c r="J644" s="856">
        <v>0.18</v>
      </c>
      <c r="K644" s="857">
        <v>180</v>
      </c>
    </row>
    <row r="645" spans="1:11" ht="12.75" customHeight="1" x14ac:dyDescent="0.25">
      <c r="A645" s="630">
        <v>9</v>
      </c>
      <c r="B645" s="86">
        <v>10</v>
      </c>
      <c r="C645" s="86">
        <v>14</v>
      </c>
      <c r="D645" s="856">
        <v>0.18</v>
      </c>
      <c r="E645" s="857">
        <v>215</v>
      </c>
      <c r="G645" s="630">
        <v>9</v>
      </c>
      <c r="H645" s="86">
        <v>9</v>
      </c>
      <c r="I645" s="86">
        <v>18</v>
      </c>
      <c r="J645" s="856">
        <v>0.18</v>
      </c>
      <c r="K645" s="857">
        <v>229.5</v>
      </c>
    </row>
    <row r="646" spans="1:11" ht="12.75" customHeight="1" x14ac:dyDescent="0.25">
      <c r="A646" s="630">
        <v>10</v>
      </c>
      <c r="B646" s="86">
        <v>11</v>
      </c>
      <c r="C646" s="86">
        <v>14</v>
      </c>
      <c r="D646" s="856">
        <v>0.18</v>
      </c>
      <c r="E646" s="857">
        <v>236.5</v>
      </c>
      <c r="G646" s="630">
        <v>10</v>
      </c>
      <c r="H646" s="86">
        <v>10</v>
      </c>
      <c r="I646" s="86">
        <v>18</v>
      </c>
      <c r="J646" s="856">
        <v>0.18</v>
      </c>
      <c r="K646" s="857">
        <v>255</v>
      </c>
    </row>
    <row r="647" spans="1:11" ht="12.75" customHeight="1" x14ac:dyDescent="0.25">
      <c r="A647" s="630">
        <v>11</v>
      </c>
      <c r="B647" s="86">
        <v>12</v>
      </c>
      <c r="C647" s="86">
        <v>15</v>
      </c>
      <c r="D647" s="856">
        <v>0.18</v>
      </c>
      <c r="E647" s="857">
        <v>270</v>
      </c>
      <c r="G647" s="630">
        <v>11</v>
      </c>
      <c r="H647" s="86">
        <v>11</v>
      </c>
      <c r="I647" s="86">
        <v>18</v>
      </c>
      <c r="J647" s="856">
        <v>0.18</v>
      </c>
      <c r="K647" s="857">
        <v>280.5</v>
      </c>
    </row>
    <row r="648" spans="1:11" ht="12.75" customHeight="1" x14ac:dyDescent="0.25">
      <c r="A648" s="630">
        <v>12</v>
      </c>
      <c r="B648" s="86">
        <v>14</v>
      </c>
      <c r="C648" s="86">
        <v>14</v>
      </c>
      <c r="D648" s="856">
        <v>0.18</v>
      </c>
      <c r="E648" s="857">
        <v>301</v>
      </c>
      <c r="G648" s="630">
        <v>12</v>
      </c>
      <c r="H648" s="86">
        <v>12</v>
      </c>
      <c r="I648" s="86">
        <v>18</v>
      </c>
      <c r="J648" s="856">
        <v>0.18</v>
      </c>
      <c r="K648" s="857">
        <v>306</v>
      </c>
    </row>
    <row r="649" spans="1:11" ht="12.75" customHeight="1" x14ac:dyDescent="0.25">
      <c r="A649" s="630">
        <v>13</v>
      </c>
      <c r="B649" s="86">
        <v>15</v>
      </c>
      <c r="C649" s="86">
        <v>14</v>
      </c>
      <c r="D649" s="856">
        <v>0.18</v>
      </c>
      <c r="E649" s="857">
        <v>322.5</v>
      </c>
      <c r="G649" s="630">
        <v>13</v>
      </c>
      <c r="H649" s="86">
        <v>13</v>
      </c>
      <c r="I649" s="86">
        <v>18</v>
      </c>
      <c r="J649" s="856">
        <v>0.18</v>
      </c>
      <c r="K649" s="857">
        <v>331.5</v>
      </c>
    </row>
    <row r="650" spans="1:11" ht="12.75" customHeight="1" x14ac:dyDescent="0.25">
      <c r="A650" s="630">
        <v>14</v>
      </c>
      <c r="B650" s="86">
        <v>16</v>
      </c>
      <c r="C650" s="86">
        <v>15</v>
      </c>
      <c r="D650" s="856">
        <v>0.18</v>
      </c>
      <c r="E650" s="857">
        <v>360</v>
      </c>
      <c r="G650" s="630">
        <v>14</v>
      </c>
      <c r="H650" s="86">
        <v>15</v>
      </c>
      <c r="I650" s="86">
        <v>15</v>
      </c>
      <c r="J650" s="856">
        <v>0.18</v>
      </c>
      <c r="K650" s="857">
        <v>337.5</v>
      </c>
    </row>
    <row r="651" spans="1:11" ht="12.75" customHeight="1" x14ac:dyDescent="0.25">
      <c r="A651" s="630">
        <v>15</v>
      </c>
      <c r="B651" s="86">
        <v>18</v>
      </c>
      <c r="C651" s="86">
        <v>14</v>
      </c>
      <c r="D651" s="856">
        <v>0.18</v>
      </c>
      <c r="E651" s="857">
        <v>387</v>
      </c>
      <c r="G651" s="630">
        <v>15</v>
      </c>
      <c r="H651" s="86">
        <v>16</v>
      </c>
      <c r="I651" s="86">
        <v>15</v>
      </c>
      <c r="J651" s="856">
        <v>0.18</v>
      </c>
      <c r="K651" s="857">
        <v>360</v>
      </c>
    </row>
    <row r="652" spans="1:11" ht="12.75" customHeight="1" x14ac:dyDescent="0.25">
      <c r="A652" s="630">
        <v>16</v>
      </c>
      <c r="B652" s="86">
        <v>19</v>
      </c>
      <c r="C652" s="86">
        <v>14</v>
      </c>
      <c r="D652" s="856">
        <v>0.18</v>
      </c>
      <c r="E652" s="857">
        <v>408.5</v>
      </c>
      <c r="G652" s="630">
        <v>16</v>
      </c>
      <c r="H652" s="86">
        <v>17</v>
      </c>
      <c r="I652" s="86">
        <v>15</v>
      </c>
      <c r="J652" s="856">
        <v>0.18</v>
      </c>
      <c r="K652" s="857">
        <v>382.5</v>
      </c>
    </row>
    <row r="653" spans="1:11" ht="12.75" customHeight="1" x14ac:dyDescent="0.25">
      <c r="A653" s="630">
        <v>17</v>
      </c>
      <c r="B653" s="86">
        <v>20</v>
      </c>
      <c r="C653" s="86">
        <v>14</v>
      </c>
      <c r="D653" s="856">
        <v>0.18</v>
      </c>
      <c r="E653" s="857">
        <v>430</v>
      </c>
      <c r="G653" s="630">
        <v>17</v>
      </c>
      <c r="H653" s="86">
        <v>18</v>
      </c>
      <c r="I653" s="86">
        <v>15</v>
      </c>
      <c r="J653" s="856">
        <v>0.18</v>
      </c>
      <c r="K653" s="857">
        <v>405</v>
      </c>
    </row>
    <row r="654" spans="1:11" ht="12.75" customHeight="1" x14ac:dyDescent="0.25">
      <c r="A654" s="630">
        <v>18</v>
      </c>
      <c r="B654" s="86">
        <v>99</v>
      </c>
      <c r="C654" s="86">
        <v>99</v>
      </c>
      <c r="D654" s="856">
        <v>0.18</v>
      </c>
      <c r="E654" s="857">
        <v>999</v>
      </c>
      <c r="G654" s="630">
        <v>18</v>
      </c>
      <c r="H654" s="86">
        <v>19</v>
      </c>
      <c r="I654" s="86">
        <v>15</v>
      </c>
      <c r="J654" s="856">
        <v>0.18</v>
      </c>
      <c r="K654" s="857">
        <v>427.5</v>
      </c>
    </row>
    <row r="655" spans="1:11" ht="12.75" customHeight="1" x14ac:dyDescent="0.25">
      <c r="A655" s="630">
        <v>19</v>
      </c>
      <c r="B655" s="86">
        <v>20</v>
      </c>
      <c r="C655" s="86">
        <v>20</v>
      </c>
      <c r="D655" s="856">
        <v>0.18</v>
      </c>
      <c r="E655" s="857">
        <v>550</v>
      </c>
      <c r="G655" s="630">
        <v>19</v>
      </c>
      <c r="H655" s="86">
        <v>19</v>
      </c>
      <c r="I655" s="86">
        <v>18</v>
      </c>
      <c r="J655" s="856">
        <v>0.18</v>
      </c>
      <c r="K655" s="857">
        <v>484.5</v>
      </c>
    </row>
    <row r="656" spans="1:11" ht="12.75" customHeight="1" thickBot="1" x14ac:dyDescent="0.3">
      <c r="A656" s="858">
        <v>20</v>
      </c>
      <c r="B656" s="859">
        <v>99</v>
      </c>
      <c r="C656" s="859">
        <v>99</v>
      </c>
      <c r="D656" s="860">
        <v>0.18</v>
      </c>
      <c r="E656" s="861">
        <v>999</v>
      </c>
      <c r="G656" s="858">
        <v>20</v>
      </c>
      <c r="H656" s="859">
        <v>20</v>
      </c>
      <c r="I656" s="859">
        <v>18</v>
      </c>
      <c r="J656" s="860">
        <v>0.18</v>
      </c>
      <c r="K656" s="861">
        <v>510</v>
      </c>
    </row>
    <row r="657" spans="1:11" ht="12.75" customHeight="1" x14ac:dyDescent="0.25">
      <c r="A657" s="852">
        <v>1</v>
      </c>
      <c r="B657" s="853">
        <v>99</v>
      </c>
      <c r="C657" s="853">
        <v>99</v>
      </c>
      <c r="D657" s="854">
        <v>0.19</v>
      </c>
      <c r="E657" s="855">
        <v>999</v>
      </c>
      <c r="G657" s="852">
        <v>1</v>
      </c>
      <c r="H657" s="853">
        <v>99</v>
      </c>
      <c r="I657" s="853">
        <v>99</v>
      </c>
      <c r="J657" s="854">
        <v>0.19</v>
      </c>
      <c r="K657" s="855">
        <v>999</v>
      </c>
    </row>
    <row r="658" spans="1:11" ht="12.75" customHeight="1" x14ac:dyDescent="0.25">
      <c r="A658" s="630">
        <v>2</v>
      </c>
      <c r="B658" s="86">
        <v>99</v>
      </c>
      <c r="C658" s="86">
        <v>99</v>
      </c>
      <c r="D658" s="856">
        <v>0.19</v>
      </c>
      <c r="E658" s="857">
        <v>999</v>
      </c>
      <c r="G658" s="630">
        <v>2</v>
      </c>
      <c r="H658" s="86">
        <v>99</v>
      </c>
      <c r="I658" s="86">
        <v>99</v>
      </c>
      <c r="J658" s="856">
        <v>0.19</v>
      </c>
      <c r="K658" s="857">
        <v>999</v>
      </c>
    </row>
    <row r="659" spans="1:11" ht="12.75" customHeight="1" x14ac:dyDescent="0.25">
      <c r="A659" s="630">
        <v>3</v>
      </c>
      <c r="B659" s="86">
        <v>4</v>
      </c>
      <c r="C659" s="86">
        <v>12</v>
      </c>
      <c r="D659" s="856">
        <v>0.19</v>
      </c>
      <c r="E659" s="857">
        <v>78</v>
      </c>
      <c r="G659" s="630">
        <v>3</v>
      </c>
      <c r="H659" s="86">
        <v>99</v>
      </c>
      <c r="I659" s="86">
        <v>99</v>
      </c>
      <c r="J659" s="856">
        <v>0.19</v>
      </c>
      <c r="K659" s="857">
        <v>999</v>
      </c>
    </row>
    <row r="660" spans="1:11" ht="12.75" customHeight="1" x14ac:dyDescent="0.25">
      <c r="A660" s="630">
        <v>4</v>
      </c>
      <c r="B660" s="86">
        <v>4</v>
      </c>
      <c r="C660" s="86">
        <v>13</v>
      </c>
      <c r="D660" s="856">
        <v>0.19</v>
      </c>
      <c r="E660" s="857">
        <v>82</v>
      </c>
      <c r="G660" s="630">
        <v>4</v>
      </c>
      <c r="H660" s="86">
        <v>5</v>
      </c>
      <c r="I660" s="86">
        <v>7</v>
      </c>
      <c r="J660" s="856">
        <v>0.19</v>
      </c>
      <c r="K660" s="857">
        <v>72.5</v>
      </c>
    </row>
    <row r="661" spans="1:11" ht="12.75" customHeight="1" x14ac:dyDescent="0.25">
      <c r="A661" s="630">
        <v>5</v>
      </c>
      <c r="B661" s="86">
        <v>6</v>
      </c>
      <c r="C661" s="86">
        <v>10</v>
      </c>
      <c r="D661" s="856">
        <v>0.19</v>
      </c>
      <c r="E661" s="857">
        <v>105</v>
      </c>
      <c r="G661" s="630">
        <v>5</v>
      </c>
      <c r="H661" s="86">
        <v>5</v>
      </c>
      <c r="I661" s="86">
        <v>19</v>
      </c>
      <c r="J661" s="856">
        <v>0.19</v>
      </c>
      <c r="K661" s="857">
        <v>132.5</v>
      </c>
    </row>
    <row r="662" spans="1:11" ht="12.75" customHeight="1" x14ac:dyDescent="0.25">
      <c r="A662" s="630">
        <v>6</v>
      </c>
      <c r="B662" s="86">
        <v>7</v>
      </c>
      <c r="C662" s="86">
        <v>12</v>
      </c>
      <c r="D662" s="856">
        <v>0.19</v>
      </c>
      <c r="E662" s="857">
        <v>136.5</v>
      </c>
      <c r="G662" s="630">
        <v>6</v>
      </c>
      <c r="H662" s="86">
        <v>6</v>
      </c>
      <c r="I662" s="86">
        <v>16</v>
      </c>
      <c r="J662" s="856">
        <v>0.19</v>
      </c>
      <c r="K662" s="857">
        <v>141</v>
      </c>
    </row>
    <row r="663" spans="1:11" ht="12.75" customHeight="1" x14ac:dyDescent="0.25">
      <c r="A663" s="630">
        <v>7</v>
      </c>
      <c r="B663" s="86">
        <v>8</v>
      </c>
      <c r="C663" s="86">
        <v>12</v>
      </c>
      <c r="D663" s="856">
        <v>0.19</v>
      </c>
      <c r="E663" s="857">
        <v>156</v>
      </c>
      <c r="G663" s="630">
        <v>7</v>
      </c>
      <c r="H663" s="86">
        <v>7</v>
      </c>
      <c r="I663" s="86">
        <v>18</v>
      </c>
      <c r="J663" s="856">
        <v>0.19</v>
      </c>
      <c r="K663" s="857">
        <v>178.5</v>
      </c>
    </row>
    <row r="664" spans="1:11" ht="12.75" customHeight="1" x14ac:dyDescent="0.25">
      <c r="A664" s="630">
        <v>8</v>
      </c>
      <c r="B664" s="86">
        <v>99</v>
      </c>
      <c r="C664" s="86">
        <v>99</v>
      </c>
      <c r="D664" s="856">
        <v>0.19</v>
      </c>
      <c r="E664" s="857">
        <v>999</v>
      </c>
      <c r="G664" s="630">
        <v>8</v>
      </c>
      <c r="H664" s="86">
        <v>99</v>
      </c>
      <c r="I664" s="86">
        <v>99</v>
      </c>
      <c r="J664" s="856">
        <v>0.19</v>
      </c>
      <c r="K664" s="857">
        <v>999</v>
      </c>
    </row>
    <row r="665" spans="1:11" ht="12.75" customHeight="1" x14ac:dyDescent="0.25">
      <c r="A665" s="630">
        <v>9</v>
      </c>
      <c r="B665" s="86">
        <v>99</v>
      </c>
      <c r="C665" s="86">
        <v>99</v>
      </c>
      <c r="D665" s="856">
        <v>0.19</v>
      </c>
      <c r="E665" s="857">
        <v>999</v>
      </c>
      <c r="G665" s="630">
        <v>9</v>
      </c>
      <c r="H665" s="86">
        <v>99</v>
      </c>
      <c r="I665" s="86">
        <v>99</v>
      </c>
      <c r="J665" s="856">
        <v>0.19</v>
      </c>
      <c r="K665" s="857">
        <v>999</v>
      </c>
    </row>
    <row r="666" spans="1:11" ht="12.75" customHeight="1" x14ac:dyDescent="0.25">
      <c r="A666" s="630">
        <v>10</v>
      </c>
      <c r="B666" s="86">
        <v>13</v>
      </c>
      <c r="C666" s="86">
        <v>10</v>
      </c>
      <c r="D666" s="856">
        <v>0.19</v>
      </c>
      <c r="E666" s="857">
        <v>227.5</v>
      </c>
      <c r="G666" s="630">
        <v>10</v>
      </c>
      <c r="H666" s="86">
        <v>99</v>
      </c>
      <c r="I666" s="86">
        <v>99</v>
      </c>
      <c r="J666" s="856">
        <v>0.19</v>
      </c>
      <c r="K666" s="857">
        <v>999</v>
      </c>
    </row>
    <row r="667" spans="1:11" ht="12.75" customHeight="1" x14ac:dyDescent="0.25">
      <c r="A667" s="630">
        <v>11</v>
      </c>
      <c r="B667" s="86">
        <v>13</v>
      </c>
      <c r="C667" s="86">
        <v>15</v>
      </c>
      <c r="D667" s="856">
        <v>0.19</v>
      </c>
      <c r="E667" s="857">
        <v>292.5</v>
      </c>
      <c r="G667" s="630">
        <v>11</v>
      </c>
      <c r="H667" s="86">
        <v>99</v>
      </c>
      <c r="I667" s="86">
        <v>99</v>
      </c>
      <c r="J667" s="856">
        <v>0.19</v>
      </c>
      <c r="K667" s="857">
        <v>999</v>
      </c>
    </row>
    <row r="668" spans="1:11" ht="12.75" customHeight="1" x14ac:dyDescent="0.25">
      <c r="A668" s="630">
        <v>12</v>
      </c>
      <c r="B668" s="86">
        <v>99</v>
      </c>
      <c r="C668" s="86">
        <v>99</v>
      </c>
      <c r="D668" s="856">
        <v>0.19</v>
      </c>
      <c r="E668" s="857">
        <v>999</v>
      </c>
      <c r="G668" s="630">
        <v>12</v>
      </c>
      <c r="H668" s="86">
        <v>99</v>
      </c>
      <c r="I668" s="86">
        <v>99</v>
      </c>
      <c r="J668" s="856">
        <v>0.19</v>
      </c>
      <c r="K668" s="857">
        <v>999</v>
      </c>
    </row>
    <row r="669" spans="1:11" ht="12.75" customHeight="1" x14ac:dyDescent="0.25">
      <c r="A669" s="630">
        <v>13</v>
      </c>
      <c r="B669" s="86">
        <v>99</v>
      </c>
      <c r="C669" s="86">
        <v>99</v>
      </c>
      <c r="D669" s="856">
        <v>0.19</v>
      </c>
      <c r="E669" s="857">
        <v>999</v>
      </c>
      <c r="G669" s="630">
        <v>13</v>
      </c>
      <c r="H669" s="86">
        <v>13</v>
      </c>
      <c r="I669" s="86">
        <v>15</v>
      </c>
      <c r="J669" s="856">
        <v>0.19</v>
      </c>
      <c r="K669" s="857">
        <v>292.5</v>
      </c>
    </row>
    <row r="670" spans="1:11" ht="12.75" customHeight="1" x14ac:dyDescent="0.25">
      <c r="A670" s="630">
        <v>14</v>
      </c>
      <c r="B670" s="86">
        <v>99</v>
      </c>
      <c r="C670" s="86">
        <v>99</v>
      </c>
      <c r="D670" s="856">
        <v>0.19</v>
      </c>
      <c r="E670" s="857">
        <v>999</v>
      </c>
      <c r="G670" s="630">
        <v>14</v>
      </c>
      <c r="H670" s="86">
        <v>99</v>
      </c>
      <c r="I670" s="86">
        <v>99</v>
      </c>
      <c r="J670" s="856">
        <v>0.19</v>
      </c>
      <c r="K670" s="857">
        <v>999</v>
      </c>
    </row>
    <row r="671" spans="1:11" ht="12.75" customHeight="1" x14ac:dyDescent="0.25">
      <c r="A671" s="630">
        <v>15</v>
      </c>
      <c r="B671" s="86">
        <v>99</v>
      </c>
      <c r="C671" s="86">
        <v>99</v>
      </c>
      <c r="D671" s="856">
        <v>0.19</v>
      </c>
      <c r="E671" s="857">
        <v>999</v>
      </c>
      <c r="G671" s="630">
        <v>15</v>
      </c>
      <c r="H671" s="86">
        <v>99</v>
      </c>
      <c r="I671" s="86">
        <v>99</v>
      </c>
      <c r="J671" s="856">
        <v>0.19</v>
      </c>
      <c r="K671" s="857">
        <v>999</v>
      </c>
    </row>
    <row r="672" spans="1:11" ht="12.75" customHeight="1" x14ac:dyDescent="0.25">
      <c r="A672" s="630">
        <v>16</v>
      </c>
      <c r="B672" s="86">
        <v>99</v>
      </c>
      <c r="C672" s="86">
        <v>99</v>
      </c>
      <c r="D672" s="856">
        <v>0.19</v>
      </c>
      <c r="E672" s="857">
        <v>999</v>
      </c>
      <c r="G672" s="630">
        <v>16</v>
      </c>
      <c r="H672" s="86">
        <v>99</v>
      </c>
      <c r="I672" s="86">
        <v>99</v>
      </c>
      <c r="J672" s="856">
        <v>0.19</v>
      </c>
      <c r="K672" s="857">
        <v>999</v>
      </c>
    </row>
    <row r="673" spans="1:11" ht="12.75" customHeight="1" x14ac:dyDescent="0.25">
      <c r="A673" s="630">
        <v>17</v>
      </c>
      <c r="B673" s="86">
        <v>99</v>
      </c>
      <c r="C673" s="86">
        <v>99</v>
      </c>
      <c r="D673" s="856">
        <v>0.19</v>
      </c>
      <c r="E673" s="857">
        <v>999</v>
      </c>
      <c r="G673" s="630">
        <v>17</v>
      </c>
      <c r="H673" s="86">
        <v>99</v>
      </c>
      <c r="I673" s="86">
        <v>99</v>
      </c>
      <c r="J673" s="856">
        <v>0.19</v>
      </c>
      <c r="K673" s="857">
        <v>999</v>
      </c>
    </row>
    <row r="674" spans="1:11" ht="12.75" customHeight="1" x14ac:dyDescent="0.25">
      <c r="A674" s="630">
        <v>18</v>
      </c>
      <c r="B674" s="86">
        <v>99</v>
      </c>
      <c r="C674" s="86">
        <v>99</v>
      </c>
      <c r="D674" s="856">
        <v>0.19</v>
      </c>
      <c r="E674" s="857">
        <v>999</v>
      </c>
      <c r="G674" s="630">
        <v>18</v>
      </c>
      <c r="H674" s="86">
        <v>99</v>
      </c>
      <c r="I674" s="86">
        <v>99</v>
      </c>
      <c r="J674" s="856">
        <v>0.19</v>
      </c>
      <c r="K674" s="857">
        <v>999</v>
      </c>
    </row>
    <row r="675" spans="1:11" ht="12.75" customHeight="1" x14ac:dyDescent="0.25">
      <c r="A675" s="630">
        <v>19</v>
      </c>
      <c r="B675" s="86">
        <v>99</v>
      </c>
      <c r="C675" s="86">
        <v>99</v>
      </c>
      <c r="D675" s="856">
        <v>0.19</v>
      </c>
      <c r="E675" s="857">
        <v>999</v>
      </c>
      <c r="G675" s="630">
        <v>19</v>
      </c>
      <c r="H675" s="86">
        <v>99</v>
      </c>
      <c r="I675" s="86">
        <v>99</v>
      </c>
      <c r="J675" s="856">
        <v>0.19</v>
      </c>
      <c r="K675" s="857">
        <v>999</v>
      </c>
    </row>
    <row r="676" spans="1:11" ht="12.75" customHeight="1" thickBot="1" x14ac:dyDescent="0.3">
      <c r="A676" s="858">
        <v>20</v>
      </c>
      <c r="B676" s="859">
        <v>99</v>
      </c>
      <c r="C676" s="859">
        <v>99</v>
      </c>
      <c r="D676" s="860">
        <v>0.19</v>
      </c>
      <c r="E676" s="861">
        <v>999</v>
      </c>
      <c r="G676" s="858">
        <v>20</v>
      </c>
      <c r="H676" s="859">
        <v>99</v>
      </c>
      <c r="I676" s="859">
        <v>99</v>
      </c>
      <c r="J676" s="860">
        <v>0.19</v>
      </c>
      <c r="K676" s="861">
        <v>999</v>
      </c>
    </row>
    <row r="677" spans="1:11" ht="12.75" customHeight="1" x14ac:dyDescent="0.25">
      <c r="A677" s="852">
        <v>1</v>
      </c>
      <c r="B677" s="853">
        <v>2</v>
      </c>
      <c r="C677" s="853">
        <v>5</v>
      </c>
      <c r="D677" s="854">
        <v>0.2</v>
      </c>
      <c r="E677" s="855">
        <v>25</v>
      </c>
      <c r="G677" s="852">
        <v>1</v>
      </c>
      <c r="H677" s="853">
        <v>99</v>
      </c>
      <c r="I677" s="853">
        <v>99</v>
      </c>
      <c r="J677" s="854">
        <v>0.2</v>
      </c>
      <c r="K677" s="855">
        <v>999</v>
      </c>
    </row>
    <row r="678" spans="1:11" ht="12.75" customHeight="1" x14ac:dyDescent="0.25">
      <c r="A678" s="630">
        <v>2</v>
      </c>
      <c r="B678" s="86">
        <v>3</v>
      </c>
      <c r="C678" s="86">
        <v>5</v>
      </c>
      <c r="D678" s="856">
        <v>0.2</v>
      </c>
      <c r="E678" s="857">
        <v>37.5</v>
      </c>
      <c r="G678" s="630">
        <v>2</v>
      </c>
      <c r="H678" s="86">
        <v>2</v>
      </c>
      <c r="I678" s="86">
        <v>5</v>
      </c>
      <c r="J678" s="856">
        <v>0.2</v>
      </c>
      <c r="K678" s="857">
        <v>25</v>
      </c>
    </row>
    <row r="679" spans="1:11" ht="12.75" customHeight="1" x14ac:dyDescent="0.25">
      <c r="A679" s="630">
        <v>3</v>
      </c>
      <c r="B679" s="86">
        <v>3</v>
      </c>
      <c r="C679" s="86">
        <v>11</v>
      </c>
      <c r="D679" s="856">
        <v>0.2</v>
      </c>
      <c r="E679" s="857">
        <v>55.5</v>
      </c>
      <c r="G679" s="630">
        <v>3</v>
      </c>
      <c r="H679" s="86">
        <v>4</v>
      </c>
      <c r="I679" s="86">
        <v>5</v>
      </c>
      <c r="J679" s="856">
        <v>0.2</v>
      </c>
      <c r="K679" s="857">
        <v>50</v>
      </c>
    </row>
    <row r="680" spans="1:11" ht="12.75" customHeight="1" x14ac:dyDescent="0.25">
      <c r="A680" s="630">
        <v>4</v>
      </c>
      <c r="B680" s="86">
        <v>5</v>
      </c>
      <c r="C680" s="86">
        <v>8</v>
      </c>
      <c r="D680" s="856">
        <v>0.2</v>
      </c>
      <c r="E680" s="857">
        <v>77.5</v>
      </c>
      <c r="G680" s="630">
        <v>4</v>
      </c>
      <c r="H680" s="86">
        <v>4</v>
      </c>
      <c r="I680" s="86">
        <v>10</v>
      </c>
      <c r="J680" s="856">
        <v>0.2</v>
      </c>
      <c r="K680" s="857">
        <v>70</v>
      </c>
    </row>
    <row r="681" spans="1:11" ht="12.75" customHeight="1" x14ac:dyDescent="0.25">
      <c r="A681" s="630">
        <v>5</v>
      </c>
      <c r="B681" s="86">
        <v>6</v>
      </c>
      <c r="C681" s="86">
        <v>10</v>
      </c>
      <c r="D681" s="856">
        <v>0.2</v>
      </c>
      <c r="E681" s="857">
        <v>105</v>
      </c>
      <c r="G681" s="630">
        <v>5</v>
      </c>
      <c r="H681" s="86">
        <v>5</v>
      </c>
      <c r="I681" s="86">
        <v>10</v>
      </c>
      <c r="J681" s="856">
        <v>0.2</v>
      </c>
      <c r="K681" s="857">
        <v>87.5</v>
      </c>
    </row>
    <row r="682" spans="1:11" ht="12.75" customHeight="1" x14ac:dyDescent="0.25">
      <c r="A682" s="630">
        <v>6</v>
      </c>
      <c r="B682" s="86">
        <v>7</v>
      </c>
      <c r="C682" s="86">
        <v>12</v>
      </c>
      <c r="D682" s="856">
        <v>0.2</v>
      </c>
      <c r="E682" s="857">
        <v>136.5</v>
      </c>
      <c r="G682" s="630">
        <v>6</v>
      </c>
      <c r="H682" s="86">
        <v>6</v>
      </c>
      <c r="I682" s="86">
        <v>10</v>
      </c>
      <c r="J682" s="856">
        <v>0.2</v>
      </c>
      <c r="K682" s="857">
        <v>105</v>
      </c>
    </row>
    <row r="683" spans="1:11" ht="12.75" customHeight="1" x14ac:dyDescent="0.25">
      <c r="A683" s="630">
        <v>7</v>
      </c>
      <c r="B683" s="86">
        <v>10</v>
      </c>
      <c r="C683" s="86">
        <v>8</v>
      </c>
      <c r="D683" s="856">
        <v>0.2</v>
      </c>
      <c r="E683" s="857">
        <v>155</v>
      </c>
      <c r="G683" s="630">
        <v>7</v>
      </c>
      <c r="H683" s="86">
        <v>7</v>
      </c>
      <c r="I683" s="86">
        <v>10</v>
      </c>
      <c r="J683" s="856">
        <v>0.2</v>
      </c>
      <c r="K683" s="857">
        <v>122.5</v>
      </c>
    </row>
    <row r="684" spans="1:11" ht="12.75" customHeight="1" x14ac:dyDescent="0.25">
      <c r="A684" s="630">
        <v>8</v>
      </c>
      <c r="B684" s="86">
        <v>10</v>
      </c>
      <c r="C684" s="86">
        <v>11</v>
      </c>
      <c r="D684" s="856">
        <v>0.2</v>
      </c>
      <c r="E684" s="857">
        <v>185</v>
      </c>
      <c r="G684" s="630">
        <v>8</v>
      </c>
      <c r="H684" s="86">
        <v>10</v>
      </c>
      <c r="I684" s="86">
        <v>8</v>
      </c>
      <c r="J684" s="856">
        <v>0.2</v>
      </c>
      <c r="K684" s="857">
        <v>155</v>
      </c>
    </row>
    <row r="685" spans="1:11" ht="12.75" customHeight="1" x14ac:dyDescent="0.25">
      <c r="A685" s="630">
        <v>9</v>
      </c>
      <c r="B685" s="86">
        <v>11</v>
      </c>
      <c r="C685" s="86">
        <v>11</v>
      </c>
      <c r="D685" s="856">
        <v>0.2</v>
      </c>
      <c r="E685" s="857">
        <v>203.5</v>
      </c>
      <c r="G685" s="630">
        <v>9</v>
      </c>
      <c r="H685" s="86">
        <v>9</v>
      </c>
      <c r="I685" s="86">
        <v>20</v>
      </c>
      <c r="J685" s="856">
        <v>0.2</v>
      </c>
      <c r="K685" s="857">
        <v>247.5</v>
      </c>
    </row>
    <row r="686" spans="1:11" ht="12.75" customHeight="1" x14ac:dyDescent="0.25">
      <c r="A686" s="630">
        <v>10</v>
      </c>
      <c r="B686" s="86">
        <v>12</v>
      </c>
      <c r="C686" s="86">
        <v>13</v>
      </c>
      <c r="D686" s="856">
        <v>0.2</v>
      </c>
      <c r="E686" s="857">
        <v>246</v>
      </c>
      <c r="G686" s="630">
        <v>10</v>
      </c>
      <c r="H686" s="86">
        <v>10</v>
      </c>
      <c r="I686" s="86">
        <v>20</v>
      </c>
      <c r="J686" s="856">
        <v>0.2</v>
      </c>
      <c r="K686" s="857">
        <v>275</v>
      </c>
    </row>
    <row r="687" spans="1:11" ht="12.75" customHeight="1" x14ac:dyDescent="0.25">
      <c r="A687" s="630">
        <v>11</v>
      </c>
      <c r="B687" s="86">
        <v>12</v>
      </c>
      <c r="C687" s="86">
        <v>15</v>
      </c>
      <c r="D687" s="856">
        <v>0.2</v>
      </c>
      <c r="E687" s="857">
        <v>270</v>
      </c>
      <c r="G687" s="630">
        <v>11</v>
      </c>
      <c r="H687" s="86">
        <v>99</v>
      </c>
      <c r="I687" s="86">
        <v>99</v>
      </c>
      <c r="J687" s="856">
        <v>0.2</v>
      </c>
      <c r="K687" s="857">
        <v>999</v>
      </c>
    </row>
    <row r="688" spans="1:11" ht="12.75" customHeight="1" x14ac:dyDescent="0.25">
      <c r="A688" s="630">
        <v>12</v>
      </c>
      <c r="B688" s="86">
        <v>99</v>
      </c>
      <c r="C688" s="86">
        <v>99</v>
      </c>
      <c r="D688" s="856">
        <v>0.2</v>
      </c>
      <c r="E688" s="857">
        <v>999</v>
      </c>
      <c r="G688" s="630">
        <v>12</v>
      </c>
      <c r="H688" s="86">
        <v>12</v>
      </c>
      <c r="I688" s="86">
        <v>12</v>
      </c>
      <c r="J688" s="856">
        <v>0.2</v>
      </c>
      <c r="K688" s="857">
        <v>234</v>
      </c>
    </row>
    <row r="689" spans="1:11" ht="12.75" customHeight="1" x14ac:dyDescent="0.25">
      <c r="A689" s="630">
        <v>13</v>
      </c>
      <c r="B689" s="86">
        <v>99</v>
      </c>
      <c r="C689" s="86">
        <v>99</v>
      </c>
      <c r="D689" s="856">
        <v>0.2</v>
      </c>
      <c r="E689" s="857">
        <v>999</v>
      </c>
      <c r="G689" s="630">
        <v>13</v>
      </c>
      <c r="H689" s="86">
        <v>99</v>
      </c>
      <c r="I689" s="86">
        <v>99</v>
      </c>
      <c r="J689" s="856">
        <v>0.2</v>
      </c>
      <c r="K689" s="857">
        <v>999</v>
      </c>
    </row>
    <row r="690" spans="1:11" ht="12.75" customHeight="1" x14ac:dyDescent="0.25">
      <c r="A690" s="630">
        <v>14</v>
      </c>
      <c r="B690" s="86">
        <v>99</v>
      </c>
      <c r="C690" s="86">
        <v>99</v>
      </c>
      <c r="D690" s="856">
        <v>0.2</v>
      </c>
      <c r="E690" s="857">
        <v>999</v>
      </c>
      <c r="G690" s="630">
        <v>14</v>
      </c>
      <c r="H690" s="86">
        <v>15</v>
      </c>
      <c r="I690" s="86">
        <v>12</v>
      </c>
      <c r="J690" s="856">
        <v>0.2</v>
      </c>
      <c r="K690" s="857">
        <v>292.5</v>
      </c>
    </row>
    <row r="691" spans="1:11" ht="12.75" customHeight="1" x14ac:dyDescent="0.25">
      <c r="A691" s="630">
        <v>15</v>
      </c>
      <c r="B691" s="86">
        <v>99</v>
      </c>
      <c r="C691" s="86">
        <v>99</v>
      </c>
      <c r="D691" s="856">
        <v>0.2</v>
      </c>
      <c r="E691" s="857">
        <v>999</v>
      </c>
      <c r="G691" s="630">
        <v>15</v>
      </c>
      <c r="H691" s="86">
        <v>99</v>
      </c>
      <c r="I691" s="86">
        <v>99</v>
      </c>
      <c r="J691" s="856">
        <v>0.2</v>
      </c>
      <c r="K691" s="857">
        <v>999</v>
      </c>
    </row>
    <row r="692" spans="1:11" ht="12.75" customHeight="1" x14ac:dyDescent="0.25">
      <c r="A692" s="630">
        <v>16</v>
      </c>
      <c r="B692" s="86">
        <v>99</v>
      </c>
      <c r="C692" s="86">
        <v>99</v>
      </c>
      <c r="D692" s="856">
        <v>0.2</v>
      </c>
      <c r="E692" s="857">
        <v>999</v>
      </c>
      <c r="G692" s="630">
        <v>16</v>
      </c>
      <c r="H692" s="86">
        <v>17</v>
      </c>
      <c r="I692" s="86">
        <v>15</v>
      </c>
      <c r="J692" s="856">
        <v>0.2</v>
      </c>
      <c r="K692" s="857">
        <v>382.5</v>
      </c>
    </row>
    <row r="693" spans="1:11" ht="12.75" customHeight="1" x14ac:dyDescent="0.25">
      <c r="A693" s="630">
        <v>17</v>
      </c>
      <c r="B693" s="86">
        <v>99</v>
      </c>
      <c r="C693" s="86">
        <v>99</v>
      </c>
      <c r="D693" s="856">
        <v>0.2</v>
      </c>
      <c r="E693" s="857">
        <v>999</v>
      </c>
      <c r="G693" s="630">
        <v>17</v>
      </c>
      <c r="H693" s="86">
        <v>99</v>
      </c>
      <c r="I693" s="86">
        <v>99</v>
      </c>
      <c r="J693" s="856">
        <v>0.2</v>
      </c>
      <c r="K693" s="857">
        <v>999</v>
      </c>
    </row>
    <row r="694" spans="1:11" ht="12.75" customHeight="1" x14ac:dyDescent="0.25">
      <c r="A694" s="630">
        <v>18</v>
      </c>
      <c r="B694" s="86">
        <v>99</v>
      </c>
      <c r="C694" s="86">
        <v>99</v>
      </c>
      <c r="D694" s="856">
        <v>0.2</v>
      </c>
      <c r="E694" s="857">
        <v>999</v>
      </c>
      <c r="G694" s="630">
        <v>18</v>
      </c>
      <c r="H694" s="86">
        <v>99</v>
      </c>
      <c r="I694" s="86">
        <v>99</v>
      </c>
      <c r="J694" s="856">
        <v>0.2</v>
      </c>
      <c r="K694" s="857">
        <v>999</v>
      </c>
    </row>
    <row r="695" spans="1:11" ht="12.75" customHeight="1" x14ac:dyDescent="0.25">
      <c r="A695" s="630">
        <v>19</v>
      </c>
      <c r="B695" s="86">
        <v>99</v>
      </c>
      <c r="C695" s="86">
        <v>99</v>
      </c>
      <c r="D695" s="856">
        <v>0.2</v>
      </c>
      <c r="E695" s="857">
        <v>999</v>
      </c>
      <c r="G695" s="630">
        <v>19</v>
      </c>
      <c r="H695" s="86">
        <v>99</v>
      </c>
      <c r="I695" s="86">
        <v>99</v>
      </c>
      <c r="J695" s="856">
        <v>0.2</v>
      </c>
      <c r="K695" s="857">
        <v>999</v>
      </c>
    </row>
    <row r="696" spans="1:11" ht="12.75" customHeight="1" thickBot="1" x14ac:dyDescent="0.3">
      <c r="A696" s="858">
        <v>20</v>
      </c>
      <c r="B696" s="859">
        <v>99</v>
      </c>
      <c r="C696" s="859">
        <v>99</v>
      </c>
      <c r="D696" s="860">
        <v>0.2</v>
      </c>
      <c r="E696" s="861">
        <v>999</v>
      </c>
      <c r="G696" s="858">
        <v>20</v>
      </c>
      <c r="H696" s="859">
        <v>99</v>
      </c>
      <c r="I696" s="859">
        <v>99</v>
      </c>
      <c r="J696" s="860">
        <v>0.2</v>
      </c>
      <c r="K696" s="861">
        <v>999</v>
      </c>
    </row>
  </sheetData>
  <mergeCells count="25">
    <mergeCell ref="AK1:ED1"/>
    <mergeCell ref="Q71:R71"/>
    <mergeCell ref="Q57:R57"/>
    <mergeCell ref="A52:E52"/>
    <mergeCell ref="G52:K52"/>
    <mergeCell ref="D14:D15"/>
    <mergeCell ref="Q15:R15"/>
    <mergeCell ref="E14:E15"/>
    <mergeCell ref="Q43:R43"/>
    <mergeCell ref="Q29:R29"/>
    <mergeCell ref="A1:D1"/>
    <mergeCell ref="AH1:AJ1"/>
    <mergeCell ref="Y21:Z21"/>
    <mergeCell ref="Y1:Z1"/>
    <mergeCell ref="M56:N56"/>
    <mergeCell ref="A14:C14"/>
    <mergeCell ref="B27:C27"/>
    <mergeCell ref="Q1:R1"/>
    <mergeCell ref="A375:E375"/>
    <mergeCell ref="G375:K375"/>
    <mergeCell ref="M260:O260"/>
    <mergeCell ref="M55:N55"/>
    <mergeCell ref="M53:O53"/>
    <mergeCell ref="M54:N54"/>
    <mergeCell ref="M58:O58"/>
  </mergeCells>
  <conditionalFormatting sqref="AH2:ED52">
    <cfRule type="colorScale" priority="110">
      <colorScale>
        <cfvo type="min"/>
        <cfvo type="percentile" val="50"/>
        <cfvo type="max"/>
        <color rgb="FFF8696B"/>
        <color rgb="FFFFEB84"/>
        <color rgb="FF63BE7B"/>
      </colorScale>
    </cfRule>
  </conditionalFormatting>
  <conditionalFormatting sqref="A3:C12">
    <cfRule type="colorScale" priority="4">
      <colorScale>
        <cfvo type="min"/>
        <cfvo type="percentile" val="50"/>
        <cfvo type="max"/>
        <color rgb="FF63BE7B"/>
        <color rgb="FFFFEB84"/>
        <color rgb="FFF8696B"/>
      </colorScale>
    </cfRule>
  </conditionalFormatting>
  <conditionalFormatting sqref="A16:A25">
    <cfRule type="colorScale" priority="3">
      <colorScale>
        <cfvo type="min"/>
        <cfvo type="percentile" val="50"/>
        <cfvo type="max"/>
        <color rgb="FF63BE7B"/>
        <color rgb="FFFFEB84"/>
        <color rgb="FFF8696B"/>
      </colorScale>
    </cfRule>
  </conditionalFormatting>
  <conditionalFormatting sqref="B16:B25">
    <cfRule type="colorScale" priority="2">
      <colorScale>
        <cfvo type="min"/>
        <cfvo type="percentile" val="50"/>
        <cfvo type="max"/>
        <color rgb="FF63BE7B"/>
        <color rgb="FFFFEB84"/>
        <color rgb="FFF8696B"/>
      </colorScale>
    </cfRule>
  </conditionalFormatting>
  <conditionalFormatting sqref="C16:C25">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A299"/>
  <sheetViews>
    <sheetView workbookViewId="0">
      <selection activeCell="G9" sqref="G9"/>
    </sheetView>
  </sheetViews>
  <sheetFormatPr baseColWidth="10" defaultColWidth="9.109375" defaultRowHeight="13.2" x14ac:dyDescent="0.25"/>
  <cols>
    <col min="1" max="1" width="9.109375" style="1059" customWidth="1"/>
  </cols>
  <sheetData>
    <row r="1" spans="1:1" x14ac:dyDescent="0.25">
      <c r="A1" s="1059" t="s">
        <v>361</v>
      </c>
    </row>
    <row r="2" spans="1:1" x14ac:dyDescent="0.25">
      <c r="A2" s="1059" t="s">
        <v>374</v>
      </c>
    </row>
    <row r="3" spans="1:1" x14ac:dyDescent="0.25">
      <c r="A3" s="1059" t="s">
        <v>595</v>
      </c>
    </row>
    <row r="4" spans="1:1" x14ac:dyDescent="0.25">
      <c r="A4" s="1059" t="s">
        <v>399</v>
      </c>
    </row>
    <row r="5" spans="1:1" x14ac:dyDescent="0.25">
      <c r="A5" s="1059" t="s">
        <v>566</v>
      </c>
    </row>
    <row r="6" spans="1:1" x14ac:dyDescent="0.25">
      <c r="A6" s="1059" t="s">
        <v>426</v>
      </c>
    </row>
    <row r="7" spans="1:1" x14ac:dyDescent="0.25">
      <c r="A7" s="1059" t="s">
        <v>33</v>
      </c>
    </row>
    <row r="8" spans="1:1" x14ac:dyDescent="0.25">
      <c r="A8" s="1059" t="s">
        <v>378</v>
      </c>
    </row>
    <row r="9" spans="1:1" x14ac:dyDescent="0.25">
      <c r="A9" s="1059" t="s">
        <v>5</v>
      </c>
    </row>
    <row r="10" spans="1:1" x14ac:dyDescent="0.25">
      <c r="A10" s="1059" t="s">
        <v>567</v>
      </c>
    </row>
    <row r="11" spans="1:1" x14ac:dyDescent="0.25">
      <c r="A11" s="1059" t="s">
        <v>6</v>
      </c>
    </row>
    <row r="12" spans="1:1" x14ac:dyDescent="0.25">
      <c r="A12" s="1059" t="s">
        <v>568</v>
      </c>
    </row>
    <row r="13" spans="1:1" x14ac:dyDescent="0.25">
      <c r="A13" s="1059" t="s">
        <v>362</v>
      </c>
    </row>
    <row r="14" spans="1:1" x14ac:dyDescent="0.25">
      <c r="A14" s="1059" t="s">
        <v>569</v>
      </c>
    </row>
    <row r="15" spans="1:1" x14ac:dyDescent="0.25">
      <c r="A15" s="1059" t="s">
        <v>427</v>
      </c>
    </row>
    <row r="16" spans="1:1" x14ac:dyDescent="0.25">
      <c r="A16" s="1059" t="s">
        <v>363</v>
      </c>
    </row>
    <row r="17" spans="1:1" x14ac:dyDescent="0.25">
      <c r="A17" s="1059" t="s">
        <v>375</v>
      </c>
    </row>
    <row r="18" spans="1:1" x14ac:dyDescent="0.25">
      <c r="A18" s="1059" t="s">
        <v>397</v>
      </c>
    </row>
    <row r="19" spans="1:1" x14ac:dyDescent="0.25">
      <c r="A19" s="1059" t="s">
        <v>570</v>
      </c>
    </row>
    <row r="20" spans="1:1" x14ac:dyDescent="0.25">
      <c r="A20" s="1059" t="s">
        <v>364</v>
      </c>
    </row>
    <row r="21" spans="1:1" x14ac:dyDescent="0.25">
      <c r="A21" s="1059" t="s">
        <v>376</v>
      </c>
    </row>
    <row r="22" spans="1:1" x14ac:dyDescent="0.25">
      <c r="A22" s="1059" t="s">
        <v>365</v>
      </c>
    </row>
    <row r="23" spans="1:1" x14ac:dyDescent="0.25">
      <c r="A23" s="1059" t="s">
        <v>571</v>
      </c>
    </row>
    <row r="24" spans="1:1" x14ac:dyDescent="0.25">
      <c r="A24" s="1059" t="s">
        <v>71</v>
      </c>
    </row>
    <row r="25" spans="1:1" x14ac:dyDescent="0.25">
      <c r="A25" s="1059" t="s">
        <v>558</v>
      </c>
    </row>
    <row r="26" spans="1:1" x14ac:dyDescent="0.25">
      <c r="A26" s="1059" t="s">
        <v>369</v>
      </c>
    </row>
    <row r="27" spans="1:1" x14ac:dyDescent="0.25">
      <c r="A27" s="1059" t="s">
        <v>572</v>
      </c>
    </row>
    <row r="28" spans="1:1" x14ac:dyDescent="0.25">
      <c r="A28" s="1059" t="s">
        <v>370</v>
      </c>
    </row>
    <row r="29" spans="1:1" x14ac:dyDescent="0.25">
      <c r="A29" s="1059" t="s">
        <v>65</v>
      </c>
    </row>
    <row r="30" spans="1:1" x14ac:dyDescent="0.25">
      <c r="A30" s="1059" t="s">
        <v>573</v>
      </c>
    </row>
    <row r="31" spans="1:1" x14ac:dyDescent="0.25">
      <c r="A31" s="1059" t="s">
        <v>400</v>
      </c>
    </row>
    <row r="32" spans="1:1" x14ac:dyDescent="0.25">
      <c r="A32" s="1059" t="s">
        <v>583</v>
      </c>
    </row>
    <row r="33" spans="1:1" x14ac:dyDescent="0.25">
      <c r="A33" s="1059" t="s">
        <v>12</v>
      </c>
    </row>
    <row r="34" spans="1:1" x14ac:dyDescent="0.25">
      <c r="A34" s="1059" t="s">
        <v>367</v>
      </c>
    </row>
    <row r="35" spans="1:1" x14ac:dyDescent="0.25">
      <c r="A35" s="1059" t="s">
        <v>366</v>
      </c>
    </row>
    <row r="36" spans="1:1" x14ac:dyDescent="0.25">
      <c r="A36" s="1059" t="s">
        <v>368</v>
      </c>
    </row>
    <row r="37" spans="1:1" x14ac:dyDescent="0.25">
      <c r="A37" s="1059" t="s">
        <v>377</v>
      </c>
    </row>
    <row r="38" spans="1:1" x14ac:dyDescent="0.25">
      <c r="A38" s="1059" t="s">
        <v>358</v>
      </c>
    </row>
    <row r="39" spans="1:1" x14ac:dyDescent="0.25">
      <c r="A39" s="1059" t="s">
        <v>379</v>
      </c>
    </row>
    <row r="40" spans="1:1" x14ac:dyDescent="0.25">
      <c r="A40" s="1059" t="s">
        <v>371</v>
      </c>
    </row>
    <row r="41" spans="1:1" x14ac:dyDescent="0.25">
      <c r="A41" s="1059" t="s">
        <v>380</v>
      </c>
    </row>
    <row r="42" spans="1:1" x14ac:dyDescent="0.25">
      <c r="A42" s="1059" t="s">
        <v>574</v>
      </c>
    </row>
    <row r="43" spans="1:1" x14ac:dyDescent="0.25">
      <c r="A43" s="1059" t="s">
        <v>578</v>
      </c>
    </row>
    <row r="44" spans="1:1" x14ac:dyDescent="0.25">
      <c r="A44" s="1059" t="s">
        <v>588</v>
      </c>
    </row>
    <row r="45" spans="1:1" x14ac:dyDescent="0.25">
      <c r="A45" s="1059" t="s">
        <v>372</v>
      </c>
    </row>
    <row r="46" spans="1:1" x14ac:dyDescent="0.25">
      <c r="A46" s="1059" t="s">
        <v>579</v>
      </c>
    </row>
    <row r="47" spans="1:1" x14ac:dyDescent="0.25">
      <c r="A47" s="1059" t="s">
        <v>40</v>
      </c>
    </row>
    <row r="48" spans="1:1" x14ac:dyDescent="0.25">
      <c r="A48" s="1059" t="s">
        <v>29</v>
      </c>
    </row>
    <row r="49" spans="1:1" x14ac:dyDescent="0.25">
      <c r="A49" s="1059" t="s">
        <v>497</v>
      </c>
    </row>
    <row r="50" spans="1:1" x14ac:dyDescent="0.25">
      <c r="A50" s="1059" t="s">
        <v>575</v>
      </c>
    </row>
    <row r="51" spans="1:1" x14ac:dyDescent="0.25">
      <c r="A51" s="1059" t="s">
        <v>591</v>
      </c>
    </row>
    <row r="52" spans="1:1" x14ac:dyDescent="0.25">
      <c r="A52" s="1059" t="s">
        <v>576</v>
      </c>
    </row>
    <row r="53" spans="1:1" x14ac:dyDescent="0.25">
      <c r="A53" s="1059" t="s">
        <v>512</v>
      </c>
    </row>
    <row r="54" spans="1:1" x14ac:dyDescent="0.25">
      <c r="A54" s="1059" t="s">
        <v>412</v>
      </c>
    </row>
    <row r="55" spans="1:1" x14ac:dyDescent="0.25">
      <c r="A55" s="1059" t="s">
        <v>513</v>
      </c>
    </row>
    <row r="56" spans="1:1" x14ac:dyDescent="0.25">
      <c r="A56" s="1059" t="s">
        <v>577</v>
      </c>
    </row>
    <row r="57" spans="1:1" x14ac:dyDescent="0.25">
      <c r="A57" s="1059" t="s">
        <v>592</v>
      </c>
    </row>
    <row r="58" spans="1:1" x14ac:dyDescent="0.25">
      <c r="A58" s="1059" t="s">
        <v>360</v>
      </c>
    </row>
    <row r="59" spans="1:1" x14ac:dyDescent="0.25">
      <c r="A59" s="1059" t="s">
        <v>594</v>
      </c>
    </row>
    <row r="60" spans="1:1" x14ac:dyDescent="0.25">
      <c r="A60" s="1059" t="s">
        <v>596</v>
      </c>
    </row>
    <row r="61" spans="1:1" x14ac:dyDescent="0.25">
      <c r="A61" s="1059" t="s">
        <v>401</v>
      </c>
    </row>
    <row r="62" spans="1:1" x14ac:dyDescent="0.25">
      <c r="A62" s="1059" t="s">
        <v>593</v>
      </c>
    </row>
    <row r="63" spans="1:1" x14ac:dyDescent="0.25">
      <c r="A63" s="1059" t="s">
        <v>382</v>
      </c>
    </row>
    <row r="64" spans="1:1" x14ac:dyDescent="0.25">
      <c r="A64" s="1059" t="s">
        <v>413</v>
      </c>
    </row>
    <row r="65" spans="1:1" x14ac:dyDescent="0.25">
      <c r="A65" s="1059" t="s">
        <v>384</v>
      </c>
    </row>
    <row r="66" spans="1:1" x14ac:dyDescent="0.25">
      <c r="A66" s="1059" t="s">
        <v>385</v>
      </c>
    </row>
    <row r="67" spans="1:1" x14ac:dyDescent="0.25">
      <c r="A67" s="1059" t="s">
        <v>402</v>
      </c>
    </row>
    <row r="68" spans="1:1" x14ac:dyDescent="0.25">
      <c r="A68" s="1059" t="s">
        <v>404</v>
      </c>
    </row>
    <row r="69" spans="1:1" x14ac:dyDescent="0.25">
      <c r="A69" s="1059" t="s">
        <v>359</v>
      </c>
    </row>
    <row r="70" spans="1:1" x14ac:dyDescent="0.25">
      <c r="A70" s="1059" t="s">
        <v>383</v>
      </c>
    </row>
    <row r="71" spans="1:1" x14ac:dyDescent="0.25">
      <c r="A71" s="1059" t="s">
        <v>386</v>
      </c>
    </row>
    <row r="72" spans="1:1" x14ac:dyDescent="0.25">
      <c r="A72" s="1059" t="s">
        <v>387</v>
      </c>
    </row>
    <row r="73" spans="1:1" x14ac:dyDescent="0.25">
      <c r="A73" s="1059" t="s">
        <v>388</v>
      </c>
    </row>
    <row r="74" spans="1:1" x14ac:dyDescent="0.25">
      <c r="A74" s="1059" t="s">
        <v>398</v>
      </c>
    </row>
    <row r="75" spans="1:1" x14ac:dyDescent="0.25">
      <c r="A75" s="1059" t="s">
        <v>66</v>
      </c>
    </row>
    <row r="76" spans="1:1" x14ac:dyDescent="0.25">
      <c r="A76" s="1059" t="s">
        <v>389</v>
      </c>
    </row>
    <row r="77" spans="1:1" x14ac:dyDescent="0.25">
      <c r="A77" s="1059" t="s">
        <v>414</v>
      </c>
    </row>
    <row r="78" spans="1:1" x14ac:dyDescent="0.25">
      <c r="A78" s="1059" t="s">
        <v>390</v>
      </c>
    </row>
    <row r="79" spans="1:1" x14ac:dyDescent="0.25">
      <c r="A79" s="1059" t="s">
        <v>391</v>
      </c>
    </row>
    <row r="80" spans="1:1" x14ac:dyDescent="0.25">
      <c r="A80" s="1059" t="s">
        <v>392</v>
      </c>
    </row>
    <row r="81" spans="1:1" x14ac:dyDescent="0.25">
      <c r="A81" s="1059" t="s">
        <v>393</v>
      </c>
    </row>
    <row r="82" spans="1:1" x14ac:dyDescent="0.25">
      <c r="A82" s="1059" t="s">
        <v>403</v>
      </c>
    </row>
    <row r="83" spans="1:1" x14ac:dyDescent="0.25">
      <c r="A83" s="1059" t="s">
        <v>498</v>
      </c>
    </row>
    <row r="84" spans="1:1" x14ac:dyDescent="0.25">
      <c r="A84" s="1059" t="s">
        <v>64</v>
      </c>
    </row>
    <row r="85" spans="1:1" x14ac:dyDescent="0.25">
      <c r="A85" s="1059" t="s">
        <v>394</v>
      </c>
    </row>
    <row r="86" spans="1:1" x14ac:dyDescent="0.25">
      <c r="A86" s="1059" t="s">
        <v>395</v>
      </c>
    </row>
    <row r="87" spans="1:1" x14ac:dyDescent="0.25">
      <c r="A87" s="1059" t="s">
        <v>252</v>
      </c>
    </row>
    <row r="88" spans="1:1" x14ac:dyDescent="0.25">
      <c r="A88" s="1059" t="s">
        <v>580</v>
      </c>
    </row>
    <row r="89" spans="1:1" x14ac:dyDescent="0.25">
      <c r="A89" s="1059" t="s">
        <v>581</v>
      </c>
    </row>
    <row r="90" spans="1:1" x14ac:dyDescent="0.25">
      <c r="A90" s="1059" t="s">
        <v>405</v>
      </c>
    </row>
    <row r="91" spans="1:1" x14ac:dyDescent="0.25">
      <c r="A91" s="1059" t="s">
        <v>373</v>
      </c>
    </row>
    <row r="92" spans="1:1" x14ac:dyDescent="0.25">
      <c r="A92" s="1059" t="s">
        <v>72</v>
      </c>
    </row>
    <row r="93" spans="1:1" x14ac:dyDescent="0.25">
      <c r="A93" s="1059" t="s">
        <v>73</v>
      </c>
    </row>
    <row r="94" spans="1:1" x14ac:dyDescent="0.25">
      <c r="A94" s="1059" t="s">
        <v>30</v>
      </c>
    </row>
    <row r="95" spans="1:1" x14ac:dyDescent="0.25">
      <c r="A95" s="1059" t="s">
        <v>354</v>
      </c>
    </row>
    <row r="96" spans="1:1" x14ac:dyDescent="0.25">
      <c r="A96" s="1059" t="s">
        <v>182</v>
      </c>
    </row>
    <row r="97" spans="1:1" x14ac:dyDescent="0.25">
      <c r="A97" s="1059" t="s">
        <v>206</v>
      </c>
    </row>
    <row r="98" spans="1:1" x14ac:dyDescent="0.25">
      <c r="A98" s="1059" t="s">
        <v>233</v>
      </c>
    </row>
    <row r="99" spans="1:1" x14ac:dyDescent="0.25">
      <c r="A99" s="1059" t="s">
        <v>259</v>
      </c>
    </row>
    <row r="100" spans="1:1" x14ac:dyDescent="0.25">
      <c r="A100" s="1059" t="s">
        <v>355</v>
      </c>
    </row>
    <row r="101" spans="1:1" x14ac:dyDescent="0.25">
      <c r="A101" s="1059" t="s">
        <v>559</v>
      </c>
    </row>
    <row r="102" spans="1:1" x14ac:dyDescent="0.25">
      <c r="A102" s="1059" t="s">
        <v>207</v>
      </c>
    </row>
    <row r="103" spans="1:1" x14ac:dyDescent="0.25">
      <c r="A103" s="1059" t="s">
        <v>238</v>
      </c>
    </row>
    <row r="104" spans="1:1" x14ac:dyDescent="0.25">
      <c r="A104" s="1059" t="s">
        <v>264</v>
      </c>
    </row>
    <row r="105" spans="1:1" x14ac:dyDescent="0.25">
      <c r="A105" s="1059" t="s">
        <v>560</v>
      </c>
    </row>
    <row r="106" spans="1:1" x14ac:dyDescent="0.25">
      <c r="A106" s="1059" t="s">
        <v>415</v>
      </c>
    </row>
    <row r="107" spans="1:1" x14ac:dyDescent="0.25">
      <c r="A107" s="1059" t="s">
        <v>563</v>
      </c>
    </row>
    <row r="108" spans="1:1" x14ac:dyDescent="0.25">
      <c r="A108" s="1059" t="s">
        <v>416</v>
      </c>
    </row>
    <row r="109" spans="1:1" x14ac:dyDescent="0.25">
      <c r="A109" s="1059" t="s">
        <v>269</v>
      </c>
    </row>
    <row r="110" spans="1:1" x14ac:dyDescent="0.25">
      <c r="A110" s="1059" t="s">
        <v>417</v>
      </c>
    </row>
    <row r="111" spans="1:1" x14ac:dyDescent="0.25">
      <c r="A111" s="1059" t="s">
        <v>217</v>
      </c>
    </row>
    <row r="112" spans="1:1" x14ac:dyDescent="0.25">
      <c r="A112" s="1059" t="s">
        <v>218</v>
      </c>
    </row>
    <row r="113" spans="1:1" x14ac:dyDescent="0.25">
      <c r="A113" s="1059" t="s">
        <v>245</v>
      </c>
    </row>
    <row r="114" spans="1:1" x14ac:dyDescent="0.25">
      <c r="A114" s="1059" t="s">
        <v>561</v>
      </c>
    </row>
    <row r="115" spans="1:1" x14ac:dyDescent="0.25">
      <c r="A115" s="1059" t="s">
        <v>396</v>
      </c>
    </row>
    <row r="116" spans="1:1" x14ac:dyDescent="0.25">
      <c r="A116" s="1059" t="s">
        <v>418</v>
      </c>
    </row>
    <row r="117" spans="1:1" x14ac:dyDescent="0.25">
      <c r="A117" s="1059" t="s">
        <v>246</v>
      </c>
    </row>
    <row r="118" spans="1:1" x14ac:dyDescent="0.25">
      <c r="A118" s="1059" t="s">
        <v>199</v>
      </c>
    </row>
    <row r="119" spans="1:1" x14ac:dyDescent="0.25">
      <c r="A119" s="1059" t="s">
        <v>222</v>
      </c>
    </row>
    <row r="120" spans="1:1" x14ac:dyDescent="0.25">
      <c r="A120" s="1059" t="s">
        <v>329</v>
      </c>
    </row>
    <row r="121" spans="1:1" x14ac:dyDescent="0.25">
      <c r="A121" s="1059" t="s">
        <v>562</v>
      </c>
    </row>
    <row r="122" spans="1:1" x14ac:dyDescent="0.25">
      <c r="A122" s="1059" t="s">
        <v>276</v>
      </c>
    </row>
    <row r="123" spans="1:1" x14ac:dyDescent="0.25">
      <c r="A123" s="1059" t="s">
        <v>225</v>
      </c>
    </row>
    <row r="124" spans="1:1" x14ac:dyDescent="0.25">
      <c r="A124" s="1059" t="s">
        <v>277</v>
      </c>
    </row>
    <row r="125" spans="1:1" x14ac:dyDescent="0.25">
      <c r="A125" s="1059" t="s">
        <v>227</v>
      </c>
    </row>
    <row r="126" spans="1:1" x14ac:dyDescent="0.25">
      <c r="A126" s="1059" t="s">
        <v>251</v>
      </c>
    </row>
    <row r="127" spans="1:1" x14ac:dyDescent="0.25">
      <c r="A127" s="1059" t="s">
        <v>278</v>
      </c>
    </row>
    <row r="128" spans="1:1" x14ac:dyDescent="0.25">
      <c r="A128" s="1059" t="s">
        <v>419</v>
      </c>
    </row>
    <row r="129" spans="1:1" x14ac:dyDescent="0.25">
      <c r="A129" s="1059" t="s">
        <v>589</v>
      </c>
    </row>
    <row r="130" spans="1:1" x14ac:dyDescent="0.25">
      <c r="A130" s="1059" t="s">
        <v>279</v>
      </c>
    </row>
    <row r="131" spans="1:1" x14ac:dyDescent="0.25">
      <c r="A131" s="1059" t="s">
        <v>565</v>
      </c>
    </row>
    <row r="132" spans="1:1" x14ac:dyDescent="0.25">
      <c r="A132" s="1059" t="s">
        <v>204</v>
      </c>
    </row>
    <row r="133" spans="1:1" x14ac:dyDescent="0.25">
      <c r="A133" s="1059" t="s">
        <v>229</v>
      </c>
    </row>
    <row r="134" spans="1:1" x14ac:dyDescent="0.25">
      <c r="A134" s="1059" t="s">
        <v>253</v>
      </c>
    </row>
    <row r="135" spans="1:1" x14ac:dyDescent="0.25">
      <c r="A135" s="1059" t="s">
        <v>205</v>
      </c>
    </row>
    <row r="136" spans="1:1" x14ac:dyDescent="0.25">
      <c r="A136" s="1059" t="s">
        <v>230</v>
      </c>
    </row>
    <row r="137" spans="1:1" x14ac:dyDescent="0.25">
      <c r="A137" s="1059" t="s">
        <v>420</v>
      </c>
    </row>
    <row r="138" spans="1:1" x14ac:dyDescent="0.25">
      <c r="A138" s="1059" t="s">
        <v>231</v>
      </c>
    </row>
    <row r="139" spans="1:1" x14ac:dyDescent="0.25">
      <c r="A139" s="1059" t="s">
        <v>334</v>
      </c>
    </row>
    <row r="140" spans="1:1" x14ac:dyDescent="0.25">
      <c r="A140" s="1059" t="s">
        <v>356</v>
      </c>
    </row>
    <row r="141" spans="1:1" x14ac:dyDescent="0.25">
      <c r="A141" s="1059" t="s">
        <v>564</v>
      </c>
    </row>
    <row r="142" spans="1:1" x14ac:dyDescent="0.25">
      <c r="A142" s="1059" t="s">
        <v>357</v>
      </c>
    </row>
    <row r="143" spans="1:1" x14ac:dyDescent="0.25">
      <c r="A143" s="1059" t="s">
        <v>258</v>
      </c>
    </row>
    <row r="144" spans="1:1" x14ac:dyDescent="0.25">
      <c r="A144" s="1059" t="s">
        <v>406</v>
      </c>
    </row>
    <row r="145" spans="1:1" x14ac:dyDescent="0.25">
      <c r="A145" s="1059" t="s">
        <v>408</v>
      </c>
    </row>
    <row r="146" spans="1:1" x14ac:dyDescent="0.25">
      <c r="A146" s="1059" t="s">
        <v>409</v>
      </c>
    </row>
    <row r="147" spans="1:1" x14ac:dyDescent="0.25">
      <c r="A147" s="1059" t="s">
        <v>410</v>
      </c>
    </row>
    <row r="148" spans="1:1" x14ac:dyDescent="0.25">
      <c r="A148" s="1059" t="s">
        <v>411</v>
      </c>
    </row>
    <row r="149" spans="1:1" x14ac:dyDescent="0.25">
      <c r="A149" s="1059" t="s">
        <v>423</v>
      </c>
    </row>
    <row r="150" spans="1:1" x14ac:dyDescent="0.25">
      <c r="A150" s="1059" t="s">
        <v>424</v>
      </c>
    </row>
    <row r="151" spans="1:1" x14ac:dyDescent="0.25">
      <c r="A151" s="1059" t="s">
        <v>425</v>
      </c>
    </row>
    <row r="152" spans="1:1" x14ac:dyDescent="0.25">
      <c r="A152" s="1059" t="s">
        <v>407</v>
      </c>
    </row>
    <row r="153" spans="1:1" x14ac:dyDescent="0.25">
      <c r="A153" s="1059" t="s">
        <v>428</v>
      </c>
    </row>
    <row r="154" spans="1:1" x14ac:dyDescent="0.25">
      <c r="A154" s="1059" t="s">
        <v>448</v>
      </c>
    </row>
    <row r="155" spans="1:1" x14ac:dyDescent="0.25">
      <c r="A155" s="1059" t="s">
        <v>516</v>
      </c>
    </row>
    <row r="156" spans="1:1" x14ac:dyDescent="0.25">
      <c r="A156" s="1059" t="s">
        <v>429</v>
      </c>
    </row>
    <row r="157" spans="1:1" x14ac:dyDescent="0.25">
      <c r="A157" s="1059" t="s">
        <v>430</v>
      </c>
    </row>
    <row r="158" spans="1:1" x14ac:dyDescent="0.25">
      <c r="A158" s="1059" t="s">
        <v>431</v>
      </c>
    </row>
    <row r="159" spans="1:1" x14ac:dyDescent="0.25">
      <c r="A159" s="1059" t="s">
        <v>434</v>
      </c>
    </row>
    <row r="160" spans="1:1" x14ac:dyDescent="0.25">
      <c r="A160" s="1059" t="s">
        <v>432</v>
      </c>
    </row>
    <row r="161" spans="1:1" x14ac:dyDescent="0.25">
      <c r="A161" s="1059" t="s">
        <v>433</v>
      </c>
    </row>
    <row r="162" spans="1:1" x14ac:dyDescent="0.25">
      <c r="A162" s="1059" t="s">
        <v>435</v>
      </c>
    </row>
    <row r="163" spans="1:1" x14ac:dyDescent="0.25">
      <c r="A163" s="1059" t="s">
        <v>436</v>
      </c>
    </row>
    <row r="164" spans="1:1" x14ac:dyDescent="0.25">
      <c r="A164" s="1059" t="s">
        <v>2</v>
      </c>
    </row>
    <row r="165" spans="1:1" x14ac:dyDescent="0.25">
      <c r="A165" s="1059" t="s">
        <v>444</v>
      </c>
    </row>
    <row r="166" spans="1:1" x14ac:dyDescent="0.25">
      <c r="A166" s="1059" t="s">
        <v>443</v>
      </c>
    </row>
    <row r="167" spans="1:1" x14ac:dyDescent="0.25">
      <c r="A167" s="1059" t="s">
        <v>445</v>
      </c>
    </row>
    <row r="168" spans="1:1" x14ac:dyDescent="0.25">
      <c r="A168" s="1059" t="s">
        <v>437</v>
      </c>
    </row>
    <row r="169" spans="1:1" x14ac:dyDescent="0.25">
      <c r="A169" s="1059" t="s">
        <v>446</v>
      </c>
    </row>
    <row r="170" spans="1:1" x14ac:dyDescent="0.25">
      <c r="A170" s="1059" t="s">
        <v>438</v>
      </c>
    </row>
    <row r="171" spans="1:1" x14ac:dyDescent="0.25">
      <c r="A171" s="1059" t="s">
        <v>447</v>
      </c>
    </row>
    <row r="172" spans="1:1" x14ac:dyDescent="0.25">
      <c r="A172" s="1059" t="s">
        <v>439</v>
      </c>
    </row>
    <row r="173" spans="1:1" x14ac:dyDescent="0.25">
      <c r="A173" s="1059" t="s">
        <v>440</v>
      </c>
    </row>
    <row r="174" spans="1:1" x14ac:dyDescent="0.25">
      <c r="A174" s="1059" t="s">
        <v>441</v>
      </c>
    </row>
    <row r="175" spans="1:1" x14ac:dyDescent="0.25">
      <c r="A175" s="1059" t="s">
        <v>442</v>
      </c>
    </row>
    <row r="176" spans="1:1" x14ac:dyDescent="0.25">
      <c r="A176" s="1059" t="s">
        <v>449</v>
      </c>
    </row>
    <row r="177" spans="1:1" x14ac:dyDescent="0.25">
      <c r="A177" s="1059" t="s">
        <v>450</v>
      </c>
    </row>
    <row r="178" spans="1:1" x14ac:dyDescent="0.25">
      <c r="A178" s="1059" t="s">
        <v>457</v>
      </c>
    </row>
    <row r="179" spans="1:1" x14ac:dyDescent="0.25">
      <c r="A179" s="1059" t="s">
        <v>451</v>
      </c>
    </row>
    <row r="180" spans="1:1" x14ac:dyDescent="0.25">
      <c r="A180" s="1059" t="s">
        <v>452</v>
      </c>
    </row>
    <row r="181" spans="1:1" x14ac:dyDescent="0.25">
      <c r="A181" s="1059" t="s">
        <v>454</v>
      </c>
    </row>
    <row r="182" spans="1:1" x14ac:dyDescent="0.25">
      <c r="A182" s="1059" t="s">
        <v>453</v>
      </c>
    </row>
    <row r="183" spans="1:1" x14ac:dyDescent="0.25">
      <c r="A183" s="1059" t="s">
        <v>455</v>
      </c>
    </row>
    <row r="184" spans="1:1" x14ac:dyDescent="0.25">
      <c r="A184" s="1059" t="s">
        <v>381</v>
      </c>
    </row>
    <row r="185" spans="1:1" x14ac:dyDescent="0.25">
      <c r="A185" s="1059" t="s">
        <v>456</v>
      </c>
    </row>
    <row r="186" spans="1:1" x14ac:dyDescent="0.25">
      <c r="A186" s="1059" t="s">
        <v>458</v>
      </c>
    </row>
    <row r="187" spans="1:1" x14ac:dyDescent="0.25">
      <c r="A187" s="1059" t="s">
        <v>77</v>
      </c>
    </row>
    <row r="188" spans="1:1" x14ac:dyDescent="0.25">
      <c r="A188" s="1059" t="s">
        <v>459</v>
      </c>
    </row>
    <row r="189" spans="1:1" x14ac:dyDescent="0.25">
      <c r="A189" s="1059" t="s">
        <v>51</v>
      </c>
    </row>
    <row r="190" spans="1:1" x14ac:dyDescent="0.25">
      <c r="A190" s="1059" t="s">
        <v>461</v>
      </c>
    </row>
    <row r="191" spans="1:1" x14ac:dyDescent="0.25">
      <c r="A191" s="1059" t="s">
        <v>460</v>
      </c>
    </row>
    <row r="192" spans="1:1" x14ac:dyDescent="0.25">
      <c r="A192" s="1059" t="s">
        <v>462</v>
      </c>
    </row>
    <row r="193" spans="1:1" x14ac:dyDescent="0.25">
      <c r="A193" s="1059" t="s">
        <v>466</v>
      </c>
    </row>
    <row r="194" spans="1:1" x14ac:dyDescent="0.25">
      <c r="A194" s="1059" t="s">
        <v>465</v>
      </c>
    </row>
    <row r="195" spans="1:1" x14ac:dyDescent="0.25">
      <c r="A195" s="1059" t="s">
        <v>4</v>
      </c>
    </row>
    <row r="196" spans="1:1" x14ac:dyDescent="0.25">
      <c r="A196" s="1059" t="s">
        <v>464</v>
      </c>
    </row>
    <row r="197" spans="1:1" x14ac:dyDescent="0.25">
      <c r="A197" s="1059" t="s">
        <v>463</v>
      </c>
    </row>
    <row r="198" spans="1:1" x14ac:dyDescent="0.25">
      <c r="A198" s="1059" t="s">
        <v>467</v>
      </c>
    </row>
    <row r="199" spans="1:1" x14ac:dyDescent="0.25">
      <c r="A199" s="1059" t="s">
        <v>468</v>
      </c>
    </row>
    <row r="200" spans="1:1" x14ac:dyDescent="0.25">
      <c r="A200" s="1059" t="s">
        <v>470</v>
      </c>
    </row>
    <row r="201" spans="1:1" x14ac:dyDescent="0.25">
      <c r="A201" s="1059" t="s">
        <v>471</v>
      </c>
    </row>
    <row r="202" spans="1:1" x14ac:dyDescent="0.25">
      <c r="A202" s="1059" t="s">
        <v>469</v>
      </c>
    </row>
    <row r="203" spans="1:1" x14ac:dyDescent="0.25">
      <c r="A203" s="1059" t="s">
        <v>472</v>
      </c>
    </row>
    <row r="204" spans="1:1" x14ac:dyDescent="0.25">
      <c r="A204" s="1059" t="s">
        <v>3</v>
      </c>
    </row>
    <row r="205" spans="1:1" x14ac:dyDescent="0.25">
      <c r="A205" s="1059" t="s">
        <v>473</v>
      </c>
    </row>
    <row r="206" spans="1:1" x14ac:dyDescent="0.25">
      <c r="A206" s="1059" t="s">
        <v>474</v>
      </c>
    </row>
    <row r="207" spans="1:1" x14ac:dyDescent="0.25">
      <c r="A207" s="1059" t="s">
        <v>475</v>
      </c>
    </row>
    <row r="208" spans="1:1" x14ac:dyDescent="0.25">
      <c r="A208" s="1059" t="s">
        <v>476</v>
      </c>
    </row>
    <row r="209" spans="1:1" x14ac:dyDescent="0.25">
      <c r="A209" s="1059" t="s">
        <v>477</v>
      </c>
    </row>
    <row r="210" spans="1:1" x14ac:dyDescent="0.25">
      <c r="A210" s="1059" t="s">
        <v>478</v>
      </c>
    </row>
    <row r="211" spans="1:1" x14ac:dyDescent="0.25">
      <c r="A211" s="1059" t="s">
        <v>479</v>
      </c>
    </row>
    <row r="212" spans="1:1" x14ac:dyDescent="0.25">
      <c r="A212" s="1059" t="s">
        <v>480</v>
      </c>
    </row>
    <row r="213" spans="1:1" x14ac:dyDescent="0.25">
      <c r="A213" s="1059" t="s">
        <v>481</v>
      </c>
    </row>
    <row r="214" spans="1:1" x14ac:dyDescent="0.25">
      <c r="A214" s="1059" t="s">
        <v>484</v>
      </c>
    </row>
    <row r="215" spans="1:1" x14ac:dyDescent="0.25">
      <c r="A215" s="1059" t="s">
        <v>483</v>
      </c>
    </row>
    <row r="216" spans="1:1" x14ac:dyDescent="0.25">
      <c r="A216" s="1059" t="s">
        <v>482</v>
      </c>
    </row>
    <row r="217" spans="1:1" x14ac:dyDescent="0.25">
      <c r="A217" s="1059" t="s">
        <v>485</v>
      </c>
    </row>
    <row r="218" spans="1:1" x14ac:dyDescent="0.25">
      <c r="A218" s="1059" t="s">
        <v>486</v>
      </c>
    </row>
    <row r="219" spans="1:1" x14ac:dyDescent="0.25">
      <c r="A219" s="1059" t="s">
        <v>487</v>
      </c>
    </row>
    <row r="220" spans="1:1" x14ac:dyDescent="0.25">
      <c r="A220" s="1059" t="s">
        <v>582</v>
      </c>
    </row>
    <row r="221" spans="1:1" x14ac:dyDescent="0.25">
      <c r="A221" s="1059" t="s">
        <v>488</v>
      </c>
    </row>
    <row r="222" spans="1:1" x14ac:dyDescent="0.25">
      <c r="A222" s="1059" t="s">
        <v>489</v>
      </c>
    </row>
    <row r="223" spans="1:1" x14ac:dyDescent="0.25">
      <c r="A223" s="1059" t="s">
        <v>517</v>
      </c>
    </row>
    <row r="224" spans="1:1" x14ac:dyDescent="0.25">
      <c r="A224" s="1059" t="s">
        <v>519</v>
      </c>
    </row>
    <row r="225" spans="1:1" x14ac:dyDescent="0.25">
      <c r="A225" s="1059" t="s">
        <v>520</v>
      </c>
    </row>
    <row r="226" spans="1:1" x14ac:dyDescent="0.25">
      <c r="A226" s="1059" t="s">
        <v>521</v>
      </c>
    </row>
    <row r="227" spans="1:1" x14ac:dyDescent="0.25">
      <c r="A227" s="1059" t="s">
        <v>522</v>
      </c>
    </row>
    <row r="228" spans="1:1" x14ac:dyDescent="0.25">
      <c r="A228" s="1059" t="s">
        <v>490</v>
      </c>
    </row>
    <row r="229" spans="1:1" x14ac:dyDescent="0.25">
      <c r="A229" s="1059" t="s">
        <v>523</v>
      </c>
    </row>
    <row r="230" spans="1:1" x14ac:dyDescent="0.25">
      <c r="A230" s="1059" t="s">
        <v>524</v>
      </c>
    </row>
    <row r="231" spans="1:1" x14ac:dyDescent="0.25">
      <c r="A231" s="1059" t="s">
        <v>525</v>
      </c>
    </row>
    <row r="232" spans="1:1" x14ac:dyDescent="0.25">
      <c r="A232" s="1059" t="s">
        <v>526</v>
      </c>
    </row>
    <row r="233" spans="1:1" x14ac:dyDescent="0.25">
      <c r="A233" s="1059" t="s">
        <v>527</v>
      </c>
    </row>
    <row r="234" spans="1:1" x14ac:dyDescent="0.25">
      <c r="A234" s="1059" t="s">
        <v>528</v>
      </c>
    </row>
    <row r="235" spans="1:1" x14ac:dyDescent="0.25">
      <c r="A235" s="1059" t="s">
        <v>529</v>
      </c>
    </row>
    <row r="236" spans="1:1" x14ac:dyDescent="0.25">
      <c r="A236" s="1059" t="s">
        <v>530</v>
      </c>
    </row>
    <row r="237" spans="1:1" x14ac:dyDescent="0.25">
      <c r="A237" s="1059" t="s">
        <v>531</v>
      </c>
    </row>
    <row r="238" spans="1:1" x14ac:dyDescent="0.25">
      <c r="A238" s="1059" t="s">
        <v>532</v>
      </c>
    </row>
    <row r="239" spans="1:1" x14ac:dyDescent="0.25">
      <c r="A239" s="1059" t="s">
        <v>533</v>
      </c>
    </row>
    <row r="240" spans="1:1" x14ac:dyDescent="0.25">
      <c r="A240" s="1059" t="s">
        <v>534</v>
      </c>
    </row>
    <row r="241" spans="1:1" x14ac:dyDescent="0.25">
      <c r="A241" s="1059" t="s">
        <v>535</v>
      </c>
    </row>
    <row r="242" spans="1:1" x14ac:dyDescent="0.25">
      <c r="A242" s="1059" t="s">
        <v>536</v>
      </c>
    </row>
    <row r="243" spans="1:1" x14ac:dyDescent="0.25">
      <c r="A243" s="1059" t="s">
        <v>537</v>
      </c>
    </row>
    <row r="244" spans="1:1" x14ac:dyDescent="0.25">
      <c r="A244" s="1059" t="s">
        <v>538</v>
      </c>
    </row>
    <row r="245" spans="1:1" x14ac:dyDescent="0.25">
      <c r="A245" s="1059" t="s">
        <v>539</v>
      </c>
    </row>
    <row r="246" spans="1:1" x14ac:dyDescent="0.25">
      <c r="A246" s="1059" t="s">
        <v>540</v>
      </c>
    </row>
    <row r="247" spans="1:1" x14ac:dyDescent="0.25">
      <c r="A247" s="1059" t="s">
        <v>541</v>
      </c>
    </row>
    <row r="248" spans="1:1" x14ac:dyDescent="0.25">
      <c r="A248" s="1059" t="s">
        <v>542</v>
      </c>
    </row>
    <row r="249" spans="1:1" x14ac:dyDescent="0.25">
      <c r="A249" s="1059" t="s">
        <v>543</v>
      </c>
    </row>
    <row r="250" spans="1:1" x14ac:dyDescent="0.25">
      <c r="A250" s="1059" t="s">
        <v>544</v>
      </c>
    </row>
    <row r="251" spans="1:1" x14ac:dyDescent="0.25">
      <c r="A251" s="1059" t="s">
        <v>545</v>
      </c>
    </row>
    <row r="252" spans="1:1" x14ac:dyDescent="0.25">
      <c r="A252" s="1059" t="s">
        <v>546</v>
      </c>
    </row>
    <row r="253" spans="1:1" x14ac:dyDescent="0.25">
      <c r="A253" s="1059" t="s">
        <v>547</v>
      </c>
    </row>
    <row r="254" spans="1:1" x14ac:dyDescent="0.25">
      <c r="A254" s="1059" t="s">
        <v>548</v>
      </c>
    </row>
    <row r="255" spans="1:1" x14ac:dyDescent="0.25">
      <c r="A255" s="1059" t="s">
        <v>549</v>
      </c>
    </row>
    <row r="256" spans="1:1" x14ac:dyDescent="0.25">
      <c r="A256" s="1059" t="s">
        <v>550</v>
      </c>
    </row>
    <row r="257" spans="1:1" x14ac:dyDescent="0.25">
      <c r="A257" s="1059" t="s">
        <v>551</v>
      </c>
    </row>
    <row r="258" spans="1:1" x14ac:dyDescent="0.25">
      <c r="A258" s="1059" t="s">
        <v>552</v>
      </c>
    </row>
    <row r="259" spans="1:1" x14ac:dyDescent="0.25">
      <c r="A259" s="1059" t="s">
        <v>553</v>
      </c>
    </row>
    <row r="260" spans="1:1" x14ac:dyDescent="0.25">
      <c r="A260" s="1059" t="s">
        <v>554</v>
      </c>
    </row>
    <row r="261" spans="1:1" x14ac:dyDescent="0.25">
      <c r="A261" s="1059" t="s">
        <v>584</v>
      </c>
    </row>
    <row r="262" spans="1:1" x14ac:dyDescent="0.25">
      <c r="A262" s="1059" t="s">
        <v>501</v>
      </c>
    </row>
    <row r="263" spans="1:1" x14ac:dyDescent="0.25">
      <c r="A263" s="1059" t="s">
        <v>502</v>
      </c>
    </row>
    <row r="264" spans="1:1" x14ac:dyDescent="0.25">
      <c r="A264" s="1059" t="s">
        <v>585</v>
      </c>
    </row>
    <row r="265" spans="1:1" x14ac:dyDescent="0.25">
      <c r="A265" s="1059" t="s">
        <v>503</v>
      </c>
    </row>
    <row r="266" spans="1:1" x14ac:dyDescent="0.25">
      <c r="A266" s="1059" t="s">
        <v>504</v>
      </c>
    </row>
    <row r="267" spans="1:1" x14ac:dyDescent="0.25">
      <c r="A267" s="1059" t="s">
        <v>586</v>
      </c>
    </row>
    <row r="268" spans="1:1" x14ac:dyDescent="0.25">
      <c r="A268" s="1059" t="s">
        <v>505</v>
      </c>
    </row>
    <row r="269" spans="1:1" x14ac:dyDescent="0.25">
      <c r="A269" s="1059" t="s">
        <v>506</v>
      </c>
    </row>
    <row r="270" spans="1:1" x14ac:dyDescent="0.25">
      <c r="A270" s="1059" t="s">
        <v>507</v>
      </c>
    </row>
    <row r="271" spans="1:1" x14ac:dyDescent="0.25">
      <c r="A271" s="1059" t="s">
        <v>508</v>
      </c>
    </row>
    <row r="272" spans="1:1" x14ac:dyDescent="0.25">
      <c r="A272" s="1059" t="s">
        <v>509</v>
      </c>
    </row>
    <row r="273" spans="1:1" x14ac:dyDescent="0.25">
      <c r="A273" s="1059" t="s">
        <v>510</v>
      </c>
    </row>
    <row r="274" spans="1:1" x14ac:dyDescent="0.25">
      <c r="A274" s="1059" t="s">
        <v>514</v>
      </c>
    </row>
    <row r="275" spans="1:1" x14ac:dyDescent="0.25">
      <c r="A275" s="1059" t="s">
        <v>511</v>
      </c>
    </row>
    <row r="276" spans="1:1" x14ac:dyDescent="0.25">
      <c r="A276" s="1059" t="s">
        <v>495</v>
      </c>
    </row>
    <row r="277" spans="1:1" x14ac:dyDescent="0.25">
      <c r="A277" s="1059" t="s">
        <v>28</v>
      </c>
    </row>
    <row r="278" spans="1:1" x14ac:dyDescent="0.25">
      <c r="A278" s="1059" t="s">
        <v>499</v>
      </c>
    </row>
    <row r="279" spans="1:1" x14ac:dyDescent="0.25">
      <c r="A279" s="1059" t="s">
        <v>491</v>
      </c>
    </row>
    <row r="280" spans="1:1" x14ac:dyDescent="0.25">
      <c r="A280" s="1059" t="s">
        <v>492</v>
      </c>
    </row>
    <row r="281" spans="1:1" x14ac:dyDescent="0.25">
      <c r="A281" s="1059" t="s">
        <v>597</v>
      </c>
    </row>
    <row r="282" spans="1:1" x14ac:dyDescent="0.25">
      <c r="A282" s="1059" t="s">
        <v>598</v>
      </c>
    </row>
    <row r="283" spans="1:1" x14ac:dyDescent="0.25">
      <c r="A283" s="1059" t="s">
        <v>599</v>
      </c>
    </row>
    <row r="284" spans="1:1" x14ac:dyDescent="0.25">
      <c r="A284" s="1059" t="s">
        <v>493</v>
      </c>
    </row>
    <row r="285" spans="1:1" x14ac:dyDescent="0.25">
      <c r="A285" s="1059" t="s">
        <v>494</v>
      </c>
    </row>
    <row r="286" spans="1:1" x14ac:dyDescent="0.25">
      <c r="A286" s="1059" t="s">
        <v>500</v>
      </c>
    </row>
    <row r="287" spans="1:1" x14ac:dyDescent="0.25">
      <c r="A287" s="1059" t="s">
        <v>31</v>
      </c>
    </row>
    <row r="288" spans="1:1" x14ac:dyDescent="0.25">
      <c r="A288" s="1059" t="s">
        <v>76</v>
      </c>
    </row>
    <row r="289" spans="1:1" x14ac:dyDescent="0.25">
      <c r="A289" s="1059" t="s">
        <v>587</v>
      </c>
    </row>
    <row r="290" spans="1:1" x14ac:dyDescent="0.25">
      <c r="A290" s="1059" t="s">
        <v>555</v>
      </c>
    </row>
    <row r="291" spans="1:1" x14ac:dyDescent="0.25">
      <c r="A291" s="1059" t="s">
        <v>556</v>
      </c>
    </row>
    <row r="292" spans="1:1" x14ac:dyDescent="0.25">
      <c r="A292" s="1059" t="s">
        <v>42</v>
      </c>
    </row>
    <row r="293" spans="1:1" x14ac:dyDescent="0.25">
      <c r="A293" s="1059" t="s">
        <v>59</v>
      </c>
    </row>
    <row r="294" spans="1:1" x14ac:dyDescent="0.25">
      <c r="A294" s="1059" t="s">
        <v>518</v>
      </c>
    </row>
    <row r="295" spans="1:1" x14ac:dyDescent="0.25">
      <c r="A295" s="1059" t="s">
        <v>61</v>
      </c>
    </row>
    <row r="296" spans="1:1" x14ac:dyDescent="0.25">
      <c r="A296" s="1059" t="s">
        <v>590</v>
      </c>
    </row>
    <row r="297" spans="1:1" x14ac:dyDescent="0.25">
      <c r="A297" s="1059" t="s">
        <v>557</v>
      </c>
    </row>
    <row r="298" spans="1:1" x14ac:dyDescent="0.25">
      <c r="A298" s="1059" t="s">
        <v>422</v>
      </c>
    </row>
    <row r="299" spans="1:1" x14ac:dyDescent="0.25">
      <c r="A299" s="1059" t="s">
        <v>421</v>
      </c>
    </row>
  </sheetData>
  <autoFilter ref="A1:A299"/>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3">
    <tabColor theme="6" tint="0.39997558519241921"/>
  </sheetPr>
  <dimension ref="B1:Z46"/>
  <sheetViews>
    <sheetView topLeftCell="E1" workbookViewId="0">
      <selection activeCell="P14" sqref="P14"/>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'1'!B52</f>
        <v>1</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'1'!A38</f>
        <v>15</v>
      </c>
      <c r="F7" s="997">
        <f>'1'!B38</f>
        <v>6</v>
      </c>
      <c r="G7" s="998"/>
      <c r="H7" s="997">
        <f>'1'!C38</f>
        <v>5</v>
      </c>
      <c r="I7" s="999"/>
      <c r="J7" s="997">
        <f>'1'!D38</f>
        <v>10</v>
      </c>
      <c r="K7" s="999"/>
      <c r="L7" s="971"/>
      <c r="M7" s="980"/>
      <c r="N7" s="971" t="str">
        <f>Lang!$A$7</f>
        <v>Europe</v>
      </c>
      <c r="O7" s="980"/>
      <c r="P7" s="1000">
        <f>'1'!B28</f>
        <v>0</v>
      </c>
      <c r="Q7" s="1001">
        <v>0</v>
      </c>
      <c r="R7" s="991"/>
      <c r="S7" s="970"/>
      <c r="T7" s="1002">
        <f>'1'!C28</f>
        <v>10</v>
      </c>
      <c r="U7" s="1001"/>
      <c r="V7" s="970"/>
      <c r="W7" s="1003">
        <f>'1'!D28</f>
        <v>7.0000000000000007E-2</v>
      </c>
      <c r="X7" s="1004"/>
      <c r="Y7" s="976"/>
      <c r="Z7" s="369"/>
    </row>
    <row r="8" spans="2:26" x14ac:dyDescent="0.25">
      <c r="B8" s="969"/>
      <c r="C8" s="971"/>
      <c r="D8" s="971" t="str">
        <f>Lang!$A$9</f>
        <v>Nafta</v>
      </c>
      <c r="E8" s="1005">
        <f>'1'!A39</f>
        <v>10</v>
      </c>
      <c r="F8" s="997">
        <f>'1'!B39</f>
        <v>6</v>
      </c>
      <c r="G8" s="1006"/>
      <c r="H8" s="997">
        <f>'1'!C39</f>
        <v>5</v>
      </c>
      <c r="I8" s="1007"/>
      <c r="J8" s="997">
        <f>'1'!D39</f>
        <v>5</v>
      </c>
      <c r="K8" s="1007"/>
      <c r="L8" s="971"/>
      <c r="M8" s="980"/>
      <c r="N8" s="971" t="str">
        <f>Lang!$A$9</f>
        <v>Nafta</v>
      </c>
      <c r="O8" s="980"/>
      <c r="P8" s="994">
        <f>'1'!B29</f>
        <v>0</v>
      </c>
      <c r="Q8" s="990">
        <v>0</v>
      </c>
      <c r="R8" s="991"/>
      <c r="S8" s="970"/>
      <c r="T8" s="1000">
        <f>'1'!C29</f>
        <v>8</v>
      </c>
      <c r="U8" s="1008"/>
      <c r="V8" s="970"/>
      <c r="W8" s="1009">
        <f>'1'!D29</f>
        <v>0.06</v>
      </c>
      <c r="X8" s="1008"/>
      <c r="Y8" s="976"/>
      <c r="Z8" s="369"/>
    </row>
    <row r="9" spans="2:26" x14ac:dyDescent="0.25">
      <c r="B9" s="969"/>
      <c r="C9" s="971"/>
      <c r="D9" s="971" t="str">
        <f>Lang!$A$11</f>
        <v>Internet</v>
      </c>
      <c r="E9" s="1010">
        <f>'1'!A40</f>
        <v>15</v>
      </c>
      <c r="F9" s="1011">
        <f>'1'!B40</f>
        <v>6</v>
      </c>
      <c r="G9" s="1012"/>
      <c r="H9" s="1011">
        <f>'1'!C40</f>
        <v>5</v>
      </c>
      <c r="I9" s="990"/>
      <c r="J9" s="1011">
        <f>'1'!D40</f>
        <v>5</v>
      </c>
      <c r="K9" s="990"/>
      <c r="L9" s="971"/>
      <c r="M9" s="980"/>
      <c r="N9" s="971" t="str">
        <f>Lang!$A$11</f>
        <v>Internet</v>
      </c>
      <c r="O9" s="980"/>
      <c r="P9" s="987"/>
      <c r="Q9" s="980"/>
      <c r="R9" s="980"/>
      <c r="S9" s="970"/>
      <c r="T9" s="994">
        <f>'1'!C30</f>
        <v>10</v>
      </c>
      <c r="U9" s="1013"/>
      <c r="V9" s="970"/>
      <c r="W9" s="1014">
        <f>'1'!D30</f>
        <v>7.0000000000000007E-2</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'1'!J42</f>
        <v>328</v>
      </c>
      <c r="G12" s="1008"/>
      <c r="H12" s="1021">
        <f>'1'!K42</f>
        <v>490</v>
      </c>
      <c r="I12" s="1001"/>
      <c r="J12" s="1021">
        <f>'1'!L42</f>
        <v>700</v>
      </c>
      <c r="K12" s="1001">
        <v>0</v>
      </c>
      <c r="L12" s="971"/>
      <c r="M12" s="980" t="str">
        <f>Lang!$A$289</f>
        <v>Materials to buy</v>
      </c>
      <c r="N12" s="980"/>
      <c r="O12" s="970" t="str">
        <f>Lang!$A$189</f>
        <v>Spot</v>
      </c>
      <c r="P12" s="1022">
        <f>'1'!H33/1000</f>
        <v>5</v>
      </c>
      <c r="Q12" s="1023"/>
      <c r="R12" s="980"/>
      <c r="S12" s="970" t="str">
        <f>Lang!$A$190</f>
        <v>3 mth</v>
      </c>
      <c r="T12" s="1024">
        <f>'1'!H34/1000</f>
        <v>0</v>
      </c>
      <c r="U12" s="1023"/>
      <c r="V12" s="970" t="str">
        <f>Lang!$A$191</f>
        <v>6 mth</v>
      </c>
      <c r="W12" s="1025">
        <f>'1'!H35/1000</f>
        <v>0</v>
      </c>
      <c r="X12" s="1026"/>
      <c r="Y12" s="976"/>
      <c r="Z12" s="369"/>
    </row>
    <row r="13" spans="2:26" x14ac:dyDescent="0.25">
      <c r="B13" s="969"/>
      <c r="C13" s="971"/>
      <c r="D13" s="971" t="str">
        <f>Lang!$A$9</f>
        <v>Nafta</v>
      </c>
      <c r="E13" s="971"/>
      <c r="F13" s="1027">
        <f>'1'!J43</f>
        <v>340</v>
      </c>
      <c r="G13" s="1008"/>
      <c r="H13" s="1028">
        <f>'1'!K43</f>
        <v>490</v>
      </c>
      <c r="I13" s="1008"/>
      <c r="J13" s="1028">
        <f>'1'!L43</f>
        <v>730</v>
      </c>
      <c r="K13" s="1008">
        <v>0</v>
      </c>
      <c r="L13" s="971"/>
      <c r="M13" s="1029" t="str">
        <f>Lang!$A$37</f>
        <v>Maintenance hours</v>
      </c>
      <c r="N13" s="1030"/>
      <c r="O13" s="1029"/>
      <c r="P13" s="1000">
        <f>'1'!H12</f>
        <v>20</v>
      </c>
      <c r="Q13" s="1031"/>
      <c r="R13" s="1029"/>
      <c r="S13" s="980" t="str">
        <f>Lang!$A$29</f>
        <v>Shift level</v>
      </c>
      <c r="T13" s="1032"/>
      <c r="U13" s="1033"/>
      <c r="V13" s="1032"/>
      <c r="W13" s="1000">
        <f>'1'!H11</f>
        <v>2</v>
      </c>
      <c r="X13" s="1004"/>
      <c r="Y13" s="976"/>
      <c r="Z13" s="369"/>
    </row>
    <row r="14" spans="2:26" x14ac:dyDescent="0.25">
      <c r="B14" s="969"/>
      <c r="C14" s="971"/>
      <c r="D14" s="971" t="str">
        <f>Lang!$A$11</f>
        <v>Internet</v>
      </c>
      <c r="E14" s="971"/>
      <c r="F14" s="1034">
        <f>'1'!J44</f>
        <v>380</v>
      </c>
      <c r="G14" s="1013"/>
      <c r="H14" s="1035">
        <f>'1'!K44</f>
        <v>590</v>
      </c>
      <c r="I14" s="1013"/>
      <c r="J14" s="1035">
        <f>'1'!L44</f>
        <v>850</v>
      </c>
      <c r="K14" s="1013">
        <v>0</v>
      </c>
      <c r="L14" s="971"/>
      <c r="M14" s="980" t="str">
        <f>Lang!$A$68</f>
        <v>Ports</v>
      </c>
      <c r="N14" s="970"/>
      <c r="O14" s="980"/>
      <c r="P14" s="1036">
        <f ca="1">'1'!H45</f>
        <v>8</v>
      </c>
      <c r="Q14" s="1037"/>
      <c r="R14" s="1015"/>
      <c r="S14" s="980" t="str">
        <f>Lang!$A$75</f>
        <v>Web-site development</v>
      </c>
      <c r="T14" s="980"/>
      <c r="U14" s="980"/>
      <c r="V14" s="980"/>
      <c r="W14" s="1036">
        <f>'1'!H46</f>
        <v>17</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f ca="1">'1'!B2</f>
        <v>892</v>
      </c>
      <c r="G17" s="1001"/>
      <c r="H17" s="1042">
        <f ca="1">'1'!C2</f>
        <v>713</v>
      </c>
      <c r="I17" s="1001"/>
      <c r="J17" s="1042">
        <f ca="1">'1'!D2</f>
        <v>420</v>
      </c>
      <c r="K17" s="1001"/>
      <c r="L17" s="971"/>
      <c r="M17" s="980" t="str">
        <f>Lang!$A$51</f>
        <v>Recruit workers</v>
      </c>
      <c r="N17" s="980"/>
      <c r="O17" s="980"/>
      <c r="P17" s="1002">
        <f>'1'!H21</f>
        <v>3</v>
      </c>
      <c r="Q17" s="1008">
        <v>0</v>
      </c>
      <c r="R17" s="1015"/>
      <c r="S17" s="980" t="str">
        <f>Lang!$A$55</f>
        <v>Train workers</v>
      </c>
      <c r="T17" s="980"/>
      <c r="U17" s="980"/>
      <c r="V17" s="980"/>
      <c r="W17" s="1025">
        <f>'1'!H22</f>
        <v>0</v>
      </c>
      <c r="X17" s="1026">
        <v>0</v>
      </c>
      <c r="Y17" s="976"/>
      <c r="Z17" s="369"/>
    </row>
    <row r="18" spans="2:26" x14ac:dyDescent="0.25">
      <c r="B18" s="969"/>
      <c r="C18" s="971"/>
      <c r="D18" s="971" t="str">
        <f>Lang!$A$9</f>
        <v>Nafta</v>
      </c>
      <c r="E18" s="971"/>
      <c r="F18" s="1043">
        <f ca="1">'1'!B3</f>
        <v>160</v>
      </c>
      <c r="G18" s="1008"/>
      <c r="H18" s="997">
        <f ca="1">'1'!C3</f>
        <v>202</v>
      </c>
      <c r="I18" s="1008"/>
      <c r="J18" s="997">
        <f ca="1">'1'!D3</f>
        <v>108</v>
      </c>
      <c r="K18" s="1008"/>
      <c r="L18" s="971"/>
      <c r="M18" s="980" t="str">
        <f>Lang!$A$59</f>
        <v>Workers wage rate</v>
      </c>
      <c r="N18" s="980"/>
      <c r="O18" s="980"/>
      <c r="P18" s="1027">
        <f>'1'!H26*100</f>
        <v>1220</v>
      </c>
      <c r="Q18" s="1008">
        <v>0</v>
      </c>
      <c r="R18" s="1015"/>
      <c r="S18" s="970"/>
      <c r="T18" s="980"/>
      <c r="U18" s="980"/>
      <c r="V18" s="980"/>
      <c r="W18" s="1015"/>
      <c r="X18" s="983"/>
      <c r="Y18" s="976"/>
      <c r="Z18" s="369"/>
    </row>
    <row r="19" spans="2:26" x14ac:dyDescent="0.25">
      <c r="B19" s="969"/>
      <c r="C19" s="971"/>
      <c r="D19" s="971" t="str">
        <f>Lang!$A$11</f>
        <v>Internet</v>
      </c>
      <c r="E19" s="971"/>
      <c r="F19" s="1036">
        <f ca="1">'1'!B4</f>
        <v>512</v>
      </c>
      <c r="G19" s="1013"/>
      <c r="H19" s="1011">
        <f ca="1">'1'!C4</f>
        <v>356</v>
      </c>
      <c r="I19" s="1013"/>
      <c r="J19" s="1036">
        <f ca="1">'1'!D4</f>
        <v>193</v>
      </c>
      <c r="K19" s="1013"/>
      <c r="L19" s="971"/>
      <c r="M19" s="980" t="str">
        <f>Lang!$A$115</f>
        <v>Management budget</v>
      </c>
      <c r="N19" s="980"/>
      <c r="O19" s="980"/>
      <c r="P19" s="1036">
        <f>'1'!H47</f>
        <v>80</v>
      </c>
      <c r="Q19" s="1013">
        <v>0</v>
      </c>
      <c r="R19" s="1044"/>
      <c r="S19" s="980" t="str">
        <f>Lang!$A$53</f>
        <v>Training</v>
      </c>
      <c r="T19" s="970"/>
      <c r="U19" s="980"/>
      <c r="V19" s="980"/>
      <c r="W19" s="1025">
        <f>'1'!H23</f>
        <v>3</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'1'!B18</f>
        <v>0</v>
      </c>
      <c r="G22" s="999"/>
      <c r="H22" s="1049">
        <f>'1'!C18</f>
        <v>0</v>
      </c>
      <c r="I22" s="999"/>
      <c r="J22" s="1049">
        <f>'1'!D18</f>
        <v>0</v>
      </c>
      <c r="K22" s="1050"/>
      <c r="L22" s="971"/>
      <c r="M22" s="980" t="str">
        <f>Lang!$A$293</f>
        <v>Shares to issue/repurchase</v>
      </c>
      <c r="N22" s="980"/>
      <c r="O22" s="980"/>
      <c r="P22" s="1041">
        <f>'1'!H41</f>
        <v>0</v>
      </c>
      <c r="Q22" s="1008">
        <v>0</v>
      </c>
      <c r="R22" s="1015"/>
      <c r="S22" s="980" t="str">
        <f>Lang!$A$85</f>
        <v>Dividends</v>
      </c>
      <c r="T22" s="980"/>
      <c r="U22" s="980"/>
      <c r="V22" s="980"/>
      <c r="W22" s="1003">
        <f>'1'!H42</f>
        <v>0</v>
      </c>
      <c r="X22" s="1001">
        <v>0</v>
      </c>
      <c r="Y22" s="976"/>
      <c r="Z22" s="369"/>
    </row>
    <row r="23" spans="2:26" x14ac:dyDescent="0.25">
      <c r="B23" s="969"/>
      <c r="C23" s="971" t="str">
        <f>Lang!$A$294</f>
        <v>Product development</v>
      </c>
      <c r="D23" s="971"/>
      <c r="E23" s="1015"/>
      <c r="F23" s="1043">
        <f ca="1">'1'!B19</f>
        <v>28</v>
      </c>
      <c r="G23" s="1007"/>
      <c r="H23" s="997">
        <f ca="1">'1'!C19</f>
        <v>18</v>
      </c>
      <c r="I23" s="1007"/>
      <c r="J23" s="997">
        <f ca="1">'1'!D19</f>
        <v>11</v>
      </c>
      <c r="K23" s="976"/>
      <c r="L23" s="971"/>
      <c r="M23" s="980" t="str">
        <f>Lang!$A$87</f>
        <v>Term loans</v>
      </c>
      <c r="N23" s="980"/>
      <c r="O23" s="980"/>
      <c r="P23" s="1043">
        <f>'1'!H44</f>
        <v>0</v>
      </c>
      <c r="Q23" s="1008">
        <v>0</v>
      </c>
      <c r="R23" s="1015"/>
      <c r="S23" s="970" t="str">
        <f>Lang!$A$86</f>
        <v>Term deposit</v>
      </c>
      <c r="T23" s="980"/>
      <c r="U23" s="980"/>
      <c r="V23" s="980"/>
      <c r="W23" s="1043">
        <f>'1'!H43</f>
        <v>0</v>
      </c>
      <c r="X23" s="1008">
        <v>0</v>
      </c>
      <c r="Y23" s="976"/>
      <c r="Z23" s="369"/>
    </row>
    <row r="24" spans="2:26" x14ac:dyDescent="0.25">
      <c r="B24" s="969"/>
      <c r="C24" s="971" t="str">
        <f>Lang!$A$44</f>
        <v>Assembly time</v>
      </c>
      <c r="D24" s="970"/>
      <c r="E24" s="970"/>
      <c r="F24" s="1000">
        <f>'1'!B20</f>
        <v>115</v>
      </c>
      <c r="G24" s="1004"/>
      <c r="H24" s="1000">
        <f>'1'!C20</f>
        <v>165</v>
      </c>
      <c r="I24" s="1004"/>
      <c r="J24" s="1000">
        <f>'1'!D20</f>
        <v>325</v>
      </c>
      <c r="K24" s="1004"/>
      <c r="L24" s="971"/>
      <c r="M24" s="980" t="str">
        <f>Lang!$A$295</f>
        <v>Machines to buy</v>
      </c>
      <c r="N24" s="980"/>
      <c r="O24" s="980"/>
      <c r="P24" s="1000">
        <f>'1'!H8</f>
        <v>1</v>
      </c>
      <c r="Q24" s="1008">
        <v>0</v>
      </c>
      <c r="R24" s="1015"/>
      <c r="S24" s="980" t="str">
        <f>Lang!$A$24</f>
        <v>Machines to sell</v>
      </c>
      <c r="T24" s="980"/>
      <c r="U24" s="980"/>
      <c r="V24" s="980"/>
      <c r="W24" s="1000">
        <f>'1'!H9</f>
        <v>0</v>
      </c>
      <c r="X24" s="1008">
        <v>0</v>
      </c>
      <c r="Y24" s="976"/>
      <c r="Z24" s="369"/>
    </row>
    <row r="25" spans="2:26" x14ac:dyDescent="0.25">
      <c r="B25" s="969"/>
      <c r="C25" s="971" t="str">
        <f>Lang!$A$45</f>
        <v>Premium materials</v>
      </c>
      <c r="D25" s="971"/>
      <c r="E25" s="1015"/>
      <c r="F25" s="1051">
        <f>'1'!B22</f>
        <v>0</v>
      </c>
      <c r="G25" s="1013"/>
      <c r="H25" s="1052">
        <f>'1'!C22</f>
        <v>0</v>
      </c>
      <c r="I25" s="1013"/>
      <c r="J25" s="1052">
        <f>'1'!D22</f>
        <v>0.1</v>
      </c>
      <c r="K25" s="1013">
        <v>0</v>
      </c>
      <c r="L25" s="971"/>
      <c r="M25" s="980" t="str">
        <f>Lang!$A$296</f>
        <v>Factory extension</v>
      </c>
      <c r="N25" s="980"/>
      <c r="O25" s="980"/>
      <c r="P25" s="1034">
        <f>'1'!D13</f>
        <v>50</v>
      </c>
      <c r="Q25" s="1013">
        <v>0</v>
      </c>
      <c r="R25" s="1015"/>
      <c r="S25" s="980" t="str">
        <f>Lang!$A$92</f>
        <v>Insurance plan</v>
      </c>
      <c r="T25" s="980"/>
      <c r="U25" s="980"/>
      <c r="V25" s="980"/>
      <c r="W25" s="1036">
        <f ca="1">'1'!H48</f>
        <v>0</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'1'!B8</f>
        <v>500</v>
      </c>
      <c r="G28" s="1054">
        <v>0</v>
      </c>
      <c r="H28" s="1055">
        <f>'1'!C8</f>
        <v>500</v>
      </c>
      <c r="I28" s="1054">
        <v>0</v>
      </c>
      <c r="J28" s="1055">
        <f>'1'!D8</f>
        <v>0</v>
      </c>
      <c r="K28" s="1054">
        <v>0</v>
      </c>
      <c r="L28" s="971"/>
      <c r="M28" s="980" t="str">
        <f>Lang!$A$84</f>
        <v>Market shares</v>
      </c>
      <c r="N28" s="980"/>
      <c r="O28" s="980"/>
      <c r="P28" s="1022">
        <f>'1'!H50</f>
        <v>1</v>
      </c>
      <c r="Q28" s="1056"/>
      <c r="R28" s="980"/>
      <c r="S28" s="980" t="str">
        <f>Lang!$A$93</f>
        <v>Corporate activity</v>
      </c>
      <c r="T28" s="980"/>
      <c r="U28" s="980"/>
      <c r="V28" s="980"/>
      <c r="W28" s="1022">
        <f>'1'!H49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914"/>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2">
    <tabColor theme="6" tint="0.39997558519241921"/>
  </sheetPr>
  <dimension ref="B1:Z46"/>
  <sheetViews>
    <sheetView topLeftCell="E1" workbookViewId="0">
      <selection activeCell="D19" sqref="D19"/>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'2'!B52</f>
        <v>2</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'2'!A38</f>
        <v>20</v>
      </c>
      <c r="F7" s="997">
        <f>'2'!B38</f>
        <v>6</v>
      </c>
      <c r="G7" s="998"/>
      <c r="H7" s="997">
        <f>'2'!C38</f>
        <v>5</v>
      </c>
      <c r="I7" s="999"/>
      <c r="J7" s="997">
        <f>'2'!D38</f>
        <v>5</v>
      </c>
      <c r="K7" s="999"/>
      <c r="L7" s="971"/>
      <c r="M7" s="980"/>
      <c r="N7" s="971" t="str">
        <f>Lang!$A$7</f>
        <v>Europe</v>
      </c>
      <c r="O7" s="980"/>
      <c r="P7" s="1000">
        <f>'2'!B28</f>
        <v>3</v>
      </c>
      <c r="Q7" s="1001">
        <v>0</v>
      </c>
      <c r="R7" s="991"/>
      <c r="S7" s="970"/>
      <c r="T7" s="1002">
        <f>'2'!C28</f>
        <v>10</v>
      </c>
      <c r="U7" s="1001"/>
      <c r="V7" s="970"/>
      <c r="W7" s="1003">
        <f>'2'!D28</f>
        <v>7.0000000000000007E-2</v>
      </c>
      <c r="X7" s="1004"/>
      <c r="Y7" s="976"/>
      <c r="Z7" s="369"/>
    </row>
    <row r="8" spans="2:26" x14ac:dyDescent="0.25">
      <c r="B8" s="969"/>
      <c r="C8" s="971"/>
      <c r="D8" s="971" t="str">
        <f>Lang!$A$9</f>
        <v>Nafta</v>
      </c>
      <c r="E8" s="1005">
        <f>'2'!A39</f>
        <v>15</v>
      </c>
      <c r="F8" s="997">
        <f>'2'!B39</f>
        <v>6</v>
      </c>
      <c r="G8" s="1006"/>
      <c r="H8" s="997">
        <f>'2'!C39</f>
        <v>6</v>
      </c>
      <c r="I8" s="1007"/>
      <c r="J8" s="997">
        <f>'2'!D39</f>
        <v>6</v>
      </c>
      <c r="K8" s="1007"/>
      <c r="L8" s="971"/>
      <c r="M8" s="980"/>
      <c r="N8" s="971" t="str">
        <f>Lang!$A$9</f>
        <v>Nafta</v>
      </c>
      <c r="O8" s="980"/>
      <c r="P8" s="994">
        <f>'2'!B29</f>
        <v>2</v>
      </c>
      <c r="Q8" s="990">
        <v>0</v>
      </c>
      <c r="R8" s="991"/>
      <c r="S8" s="970"/>
      <c r="T8" s="1000">
        <f>'2'!C29</f>
        <v>9</v>
      </c>
      <c r="U8" s="1008"/>
      <c r="V8" s="970"/>
      <c r="W8" s="1009">
        <f>'2'!D29</f>
        <v>7.0000000000000007E-2</v>
      </c>
      <c r="X8" s="1008"/>
      <c r="Y8" s="976"/>
      <c r="Z8" s="369"/>
    </row>
    <row r="9" spans="2:26" x14ac:dyDescent="0.25">
      <c r="B9" s="969"/>
      <c r="C9" s="971"/>
      <c r="D9" s="971" t="str">
        <f>Lang!$A$11</f>
        <v>Internet</v>
      </c>
      <c r="E9" s="1010">
        <f>'2'!A40</f>
        <v>20</v>
      </c>
      <c r="F9" s="1011">
        <f>'2'!B40</f>
        <v>6</v>
      </c>
      <c r="G9" s="1012"/>
      <c r="H9" s="1011">
        <f>'2'!C40</f>
        <v>6</v>
      </c>
      <c r="I9" s="990"/>
      <c r="J9" s="1011">
        <f>'2'!D40</f>
        <v>6</v>
      </c>
      <c r="K9" s="990"/>
      <c r="L9" s="971"/>
      <c r="M9" s="980"/>
      <c r="N9" s="971" t="str">
        <f>Lang!$A$11</f>
        <v>Internet</v>
      </c>
      <c r="O9" s="980"/>
      <c r="P9" s="987"/>
      <c r="Q9" s="980"/>
      <c r="R9" s="980"/>
      <c r="S9" s="970"/>
      <c r="T9" s="994">
        <f>'2'!C30</f>
        <v>10</v>
      </c>
      <c r="U9" s="1013"/>
      <c r="V9" s="970"/>
      <c r="W9" s="1014">
        <f>'2'!D30</f>
        <v>7.0000000000000007E-2</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'2'!J42</f>
        <v>328</v>
      </c>
      <c r="G12" s="1008"/>
      <c r="H12" s="1021">
        <f>'2'!K42</f>
        <v>490</v>
      </c>
      <c r="I12" s="1001"/>
      <c r="J12" s="1021">
        <f>'2'!L42</f>
        <v>700</v>
      </c>
      <c r="K12" s="1001">
        <v>0</v>
      </c>
      <c r="L12" s="971"/>
      <c r="M12" s="980" t="str">
        <f>Lang!$A$289</f>
        <v>Materials to buy</v>
      </c>
      <c r="N12" s="980"/>
      <c r="O12" s="970" t="str">
        <f>Lang!$A$189</f>
        <v>Spot</v>
      </c>
      <c r="P12" s="1022">
        <f>'2'!H33/1000</f>
        <v>3</v>
      </c>
      <c r="Q12" s="1023"/>
      <c r="R12" s="980"/>
      <c r="S12" s="970" t="str">
        <f>Lang!$A$190</f>
        <v>3 mth</v>
      </c>
      <c r="T12" s="1024">
        <f>'2'!H34/1000</f>
        <v>4</v>
      </c>
      <c r="U12" s="1023"/>
      <c r="V12" s="970" t="str">
        <f>Lang!$A$191</f>
        <v>6 mth</v>
      </c>
      <c r="W12" s="1025">
        <f>'2'!H35/1000</f>
        <v>4</v>
      </c>
      <c r="X12" s="1026"/>
      <c r="Y12" s="976"/>
      <c r="Z12" s="369"/>
    </row>
    <row r="13" spans="2:26" x14ac:dyDescent="0.25">
      <c r="B13" s="969"/>
      <c r="C13" s="971"/>
      <c r="D13" s="971" t="str">
        <f>Lang!$A$9</f>
        <v>Nafta</v>
      </c>
      <c r="E13" s="971"/>
      <c r="F13" s="1027">
        <f>'2'!J43</f>
        <v>340</v>
      </c>
      <c r="G13" s="1008"/>
      <c r="H13" s="1028">
        <f>'2'!K43</f>
        <v>490</v>
      </c>
      <c r="I13" s="1008"/>
      <c r="J13" s="1028">
        <f>'2'!L43</f>
        <v>730</v>
      </c>
      <c r="K13" s="1008">
        <v>0</v>
      </c>
      <c r="L13" s="971"/>
      <c r="M13" s="1029" t="str">
        <f>Lang!$A$37</f>
        <v>Maintenance hours</v>
      </c>
      <c r="N13" s="1030"/>
      <c r="O13" s="1029"/>
      <c r="P13" s="1000">
        <f>'2'!H12</f>
        <v>25</v>
      </c>
      <c r="Q13" s="1031"/>
      <c r="R13" s="1029"/>
      <c r="S13" s="980" t="str">
        <f>Lang!$A$29</f>
        <v>Shift level</v>
      </c>
      <c r="T13" s="1032"/>
      <c r="U13" s="1033"/>
      <c r="V13" s="1032"/>
      <c r="W13" s="1000">
        <f>'2'!H11</f>
        <v>2</v>
      </c>
      <c r="X13" s="1004"/>
      <c r="Y13" s="976"/>
      <c r="Z13" s="369"/>
    </row>
    <row r="14" spans="2:26" x14ac:dyDescent="0.25">
      <c r="B14" s="969"/>
      <c r="C14" s="971"/>
      <c r="D14" s="971" t="str">
        <f>Lang!$A$11</f>
        <v>Internet</v>
      </c>
      <c r="E14" s="971"/>
      <c r="F14" s="1034">
        <f>'2'!J44</f>
        <v>380</v>
      </c>
      <c r="G14" s="1013"/>
      <c r="H14" s="1035">
        <f>'2'!K44</f>
        <v>590</v>
      </c>
      <c r="I14" s="1013"/>
      <c r="J14" s="1035">
        <f>'2'!L44</f>
        <v>850</v>
      </c>
      <c r="K14" s="1013">
        <v>0</v>
      </c>
      <c r="L14" s="971"/>
      <c r="M14" s="980" t="str">
        <f>Lang!$A$68</f>
        <v>Ports</v>
      </c>
      <c r="N14" s="970"/>
      <c r="O14" s="980"/>
      <c r="P14" s="1036">
        <f ca="1">'2'!H45</f>
        <v>8</v>
      </c>
      <c r="Q14" s="1037"/>
      <c r="R14" s="1015"/>
      <c r="S14" s="980" t="str">
        <f>Lang!$A$75</f>
        <v>Web-site development</v>
      </c>
      <c r="T14" s="980"/>
      <c r="U14" s="980"/>
      <c r="V14" s="980"/>
      <c r="W14" s="1036">
        <f>'2'!H46</f>
        <v>15</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f ca="1">'2'!B2</f>
        <v>1089</v>
      </c>
      <c r="G17" s="1001"/>
      <c r="H17" s="1042">
        <f ca="1">'2'!C2</f>
        <v>790</v>
      </c>
      <c r="I17" s="1001"/>
      <c r="J17" s="1042">
        <f ca="1">'2'!D2</f>
        <v>457</v>
      </c>
      <c r="K17" s="1001"/>
      <c r="L17" s="971"/>
      <c r="M17" s="980" t="str">
        <f>Lang!$A$51</f>
        <v>Recruit workers</v>
      </c>
      <c r="N17" s="980"/>
      <c r="O17" s="980"/>
      <c r="P17" s="1002">
        <f>'2'!H21</f>
        <v>5</v>
      </c>
      <c r="Q17" s="1008">
        <v>0</v>
      </c>
      <c r="R17" s="1015"/>
      <c r="S17" s="980" t="str">
        <f>Lang!$A$55</f>
        <v>Train workers</v>
      </c>
      <c r="T17" s="980"/>
      <c r="U17" s="980"/>
      <c r="V17" s="980"/>
      <c r="W17" s="1025">
        <f>'2'!H22</f>
        <v>9</v>
      </c>
      <c r="X17" s="1026">
        <v>0</v>
      </c>
      <c r="Y17" s="976"/>
      <c r="Z17" s="369"/>
    </row>
    <row r="18" spans="2:26" x14ac:dyDescent="0.25">
      <c r="B18" s="969"/>
      <c r="C18" s="971"/>
      <c r="D18" s="971" t="str">
        <f>Lang!$A$9</f>
        <v>Nafta</v>
      </c>
      <c r="E18" s="971"/>
      <c r="F18" s="1043">
        <f ca="1">'2'!B3</f>
        <v>65</v>
      </c>
      <c r="G18" s="1008"/>
      <c r="H18" s="997">
        <f ca="1">'2'!C3</f>
        <v>104</v>
      </c>
      <c r="I18" s="1008"/>
      <c r="J18" s="997">
        <f ca="1">'2'!D3</f>
        <v>56</v>
      </c>
      <c r="K18" s="1008"/>
      <c r="L18" s="971"/>
      <c r="M18" s="980" t="str">
        <f>Lang!$A$59</f>
        <v>Workers wage rate</v>
      </c>
      <c r="N18" s="980"/>
      <c r="O18" s="980"/>
      <c r="P18" s="1027">
        <f>'2'!H26*100</f>
        <v>1260</v>
      </c>
      <c r="Q18" s="1008">
        <v>0</v>
      </c>
      <c r="R18" s="1015"/>
      <c r="S18" s="970"/>
      <c r="T18" s="980"/>
      <c r="U18" s="980"/>
      <c r="V18" s="980"/>
      <c r="W18" s="1015"/>
      <c r="X18" s="983"/>
      <c r="Y18" s="976"/>
      <c r="Z18" s="369"/>
    </row>
    <row r="19" spans="2:26" x14ac:dyDescent="0.25">
      <c r="B19" s="969"/>
      <c r="C19" s="971"/>
      <c r="D19" s="971" t="str">
        <f>Lang!$A$11</f>
        <v>Internet</v>
      </c>
      <c r="E19" s="971"/>
      <c r="F19" s="1036">
        <f ca="1">'2'!B4</f>
        <v>632</v>
      </c>
      <c r="G19" s="1013"/>
      <c r="H19" s="1011">
        <f ca="1">'2'!C4</f>
        <v>427</v>
      </c>
      <c r="I19" s="1013"/>
      <c r="J19" s="1036">
        <f ca="1">'2'!D4</f>
        <v>253</v>
      </c>
      <c r="K19" s="1013"/>
      <c r="L19" s="971"/>
      <c r="M19" s="980" t="str">
        <f>Lang!$A$115</f>
        <v>Management budget</v>
      </c>
      <c r="N19" s="980"/>
      <c r="O19" s="980"/>
      <c r="P19" s="1036">
        <f>'2'!H47</f>
        <v>90</v>
      </c>
      <c r="Q19" s="1013">
        <v>0</v>
      </c>
      <c r="R19" s="1044"/>
      <c r="S19" s="980" t="str">
        <f>Lang!$A$53</f>
        <v>Training</v>
      </c>
      <c r="T19" s="970"/>
      <c r="U19" s="980"/>
      <c r="V19" s="980"/>
      <c r="W19" s="1025">
        <f>'2'!H23</f>
        <v>8</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'2'!B18</f>
        <v>0</v>
      </c>
      <c r="G22" s="999"/>
      <c r="H22" s="1049">
        <f>'2'!C18</f>
        <v>0</v>
      </c>
      <c r="I22" s="999"/>
      <c r="J22" s="1049">
        <f>'2'!D18</f>
        <v>0</v>
      </c>
      <c r="K22" s="1050"/>
      <c r="L22" s="971"/>
      <c r="M22" s="980" t="str">
        <f>Lang!$A$293</f>
        <v>Shares to issue/repurchase</v>
      </c>
      <c r="N22" s="980"/>
      <c r="O22" s="980"/>
      <c r="P22" s="1041">
        <f ca="1">'2'!H41</f>
        <v>0</v>
      </c>
      <c r="Q22" s="1008">
        <v>0</v>
      </c>
      <c r="R22" s="1015"/>
      <c r="S22" s="980" t="str">
        <f>Lang!$A$85</f>
        <v>Dividends</v>
      </c>
      <c r="T22" s="980"/>
      <c r="U22" s="980"/>
      <c r="V22" s="980"/>
      <c r="W22" s="1003">
        <f>'2'!H42</f>
        <v>0</v>
      </c>
      <c r="X22" s="1001">
        <v>0</v>
      </c>
      <c r="Y22" s="976"/>
      <c r="Z22" s="369"/>
    </row>
    <row r="23" spans="2:26" x14ac:dyDescent="0.25">
      <c r="B23" s="969"/>
      <c r="C23" s="971" t="str">
        <f>Lang!$A$294</f>
        <v>Product development</v>
      </c>
      <c r="D23" s="971"/>
      <c r="E23" s="1015"/>
      <c r="F23" s="1043">
        <f ca="1">'2'!B19</f>
        <v>40</v>
      </c>
      <c r="G23" s="1007"/>
      <c r="H23" s="997">
        <f ca="1">'2'!C19</f>
        <v>20</v>
      </c>
      <c r="I23" s="1007"/>
      <c r="J23" s="997">
        <f ca="1">'2'!D19</f>
        <v>18</v>
      </c>
      <c r="K23" s="976"/>
      <c r="L23" s="971"/>
      <c r="M23" s="980" t="str">
        <f>Lang!$A$87</f>
        <v>Term loans</v>
      </c>
      <c r="N23" s="980"/>
      <c r="O23" s="980"/>
      <c r="P23" s="1043">
        <f>'2'!H44</f>
        <v>0</v>
      </c>
      <c r="Q23" s="1008">
        <v>0</v>
      </c>
      <c r="R23" s="1015"/>
      <c r="S23" s="970" t="str">
        <f>Lang!$A$86</f>
        <v>Term deposit</v>
      </c>
      <c r="T23" s="980"/>
      <c r="U23" s="980"/>
      <c r="V23" s="980"/>
      <c r="W23" s="1043">
        <f>'2'!H43</f>
        <v>-500</v>
      </c>
      <c r="X23" s="1008">
        <v>0</v>
      </c>
      <c r="Y23" s="976"/>
      <c r="Z23" s="369"/>
    </row>
    <row r="24" spans="2:26" x14ac:dyDescent="0.25">
      <c r="B24" s="969"/>
      <c r="C24" s="971" t="str">
        <f>Lang!$A$44</f>
        <v>Assembly time</v>
      </c>
      <c r="D24" s="970"/>
      <c r="E24" s="970"/>
      <c r="F24" s="1000">
        <f>'2'!B20</f>
        <v>115</v>
      </c>
      <c r="G24" s="1004"/>
      <c r="H24" s="1000">
        <f>'2'!C20</f>
        <v>165</v>
      </c>
      <c r="I24" s="1004"/>
      <c r="J24" s="1000">
        <f>'2'!D20</f>
        <v>325</v>
      </c>
      <c r="K24" s="1004"/>
      <c r="L24" s="971"/>
      <c r="M24" s="980" t="str">
        <f>Lang!$A$295</f>
        <v>Machines to buy</v>
      </c>
      <c r="N24" s="980"/>
      <c r="O24" s="980"/>
      <c r="P24" s="1000">
        <f>'2'!H8</f>
        <v>0</v>
      </c>
      <c r="Q24" s="1008">
        <v>0</v>
      </c>
      <c r="R24" s="1015"/>
      <c r="S24" s="980" t="str">
        <f>Lang!$A$24</f>
        <v>Machines to sell</v>
      </c>
      <c r="T24" s="980"/>
      <c r="U24" s="980"/>
      <c r="V24" s="980"/>
      <c r="W24" s="1000">
        <f>'2'!H9</f>
        <v>0</v>
      </c>
      <c r="X24" s="1008">
        <v>0</v>
      </c>
      <c r="Y24" s="976"/>
      <c r="Z24" s="369"/>
    </row>
    <row r="25" spans="2:26" x14ac:dyDescent="0.25">
      <c r="B25" s="969"/>
      <c r="C25" s="971" t="str">
        <f>Lang!$A$45</f>
        <v>Premium materials</v>
      </c>
      <c r="D25" s="971"/>
      <c r="E25" s="1015"/>
      <c r="F25" s="1051">
        <f>'2'!B22</f>
        <v>7.0000000000000007E-2</v>
      </c>
      <c r="G25" s="1013"/>
      <c r="H25" s="1052">
        <f>'2'!C22</f>
        <v>7.0000000000000007E-2</v>
      </c>
      <c r="I25" s="1013"/>
      <c r="J25" s="1052">
        <f>'2'!D22</f>
        <v>0.25</v>
      </c>
      <c r="K25" s="1013">
        <v>0</v>
      </c>
      <c r="L25" s="971"/>
      <c r="M25" s="980" t="str">
        <f>Lang!$A$296</f>
        <v>Factory extension</v>
      </c>
      <c r="N25" s="980"/>
      <c r="O25" s="980"/>
      <c r="P25" s="1034">
        <f>'2'!D13</f>
        <v>200</v>
      </c>
      <c r="Q25" s="1013">
        <v>0</v>
      </c>
      <c r="R25" s="1015"/>
      <c r="S25" s="980" t="str">
        <f>Lang!$A$92</f>
        <v>Insurance plan</v>
      </c>
      <c r="T25" s="980"/>
      <c r="U25" s="980"/>
      <c r="V25" s="980"/>
      <c r="W25" s="1036">
        <f ca="1">'2'!H48</f>
        <v>4</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'2'!B8</f>
        <v>800</v>
      </c>
      <c r="G28" s="1054">
        <v>0</v>
      </c>
      <c r="H28" s="1055">
        <f>'2'!C8</f>
        <v>800</v>
      </c>
      <c r="I28" s="1054">
        <v>0</v>
      </c>
      <c r="J28" s="1055">
        <f>'2'!D8</f>
        <v>0</v>
      </c>
      <c r="K28" s="1054">
        <v>0</v>
      </c>
      <c r="L28" s="971"/>
      <c r="M28" s="980" t="str">
        <f>Lang!$A$84</f>
        <v>Market shares</v>
      </c>
      <c r="N28" s="980"/>
      <c r="O28" s="980"/>
      <c r="P28" s="1022">
        <f>'2'!H50</f>
        <v>1</v>
      </c>
      <c r="Q28" s="1056"/>
      <c r="R28" s="980"/>
      <c r="S28" s="980" t="str">
        <f>Lang!$A$93</f>
        <v>Corporate activity</v>
      </c>
      <c r="T28" s="980"/>
      <c r="U28" s="980"/>
      <c r="V28" s="980"/>
      <c r="W28" s="1022">
        <f>'2'!H49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38"/>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1">
    <tabColor theme="6" tint="0.39997558519241921"/>
  </sheetPr>
  <dimension ref="B1:Z46"/>
  <sheetViews>
    <sheetView workbookViewId="0">
      <selection activeCell="N9" sqref="N9"/>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'3'!B52</f>
        <v>3</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'3'!A38</f>
        <v>20</v>
      </c>
      <c r="F7" s="997">
        <f>'3'!B38</f>
        <v>6</v>
      </c>
      <c r="G7" s="998"/>
      <c r="H7" s="997">
        <f>'3'!C38</f>
        <v>6</v>
      </c>
      <c r="I7" s="999"/>
      <c r="J7" s="997">
        <f>'3'!D38</f>
        <v>5</v>
      </c>
      <c r="K7" s="999"/>
      <c r="L7" s="971"/>
      <c r="M7" s="980"/>
      <c r="N7" s="971" t="str">
        <f>Lang!$A$7</f>
        <v>Europe</v>
      </c>
      <c r="O7" s="980"/>
      <c r="P7" s="1000">
        <f>'3'!B28</f>
        <v>6</v>
      </c>
      <c r="Q7" s="1001">
        <v>0</v>
      </c>
      <c r="R7" s="991"/>
      <c r="S7" s="970"/>
      <c r="T7" s="1002">
        <f>'3'!C28</f>
        <v>10</v>
      </c>
      <c r="U7" s="1001"/>
      <c r="V7" s="970"/>
      <c r="W7" s="1003">
        <f>'3'!D28</f>
        <v>0.08</v>
      </c>
      <c r="X7" s="1004"/>
      <c r="Y7" s="976"/>
      <c r="Z7" s="369"/>
    </row>
    <row r="8" spans="2:26" x14ac:dyDescent="0.25">
      <c r="B8" s="969"/>
      <c r="C8" s="971"/>
      <c r="D8" s="971" t="str">
        <f>Lang!$A$9</f>
        <v>Nafta</v>
      </c>
      <c r="E8" s="1005">
        <f>'3'!A39</f>
        <v>15</v>
      </c>
      <c r="F8" s="997">
        <f>'3'!B39</f>
        <v>6</v>
      </c>
      <c r="G8" s="1006"/>
      <c r="H8" s="997">
        <f>'3'!C39</f>
        <v>7</v>
      </c>
      <c r="I8" s="1007"/>
      <c r="J8" s="997">
        <f>'3'!D39</f>
        <v>7</v>
      </c>
      <c r="K8" s="1007"/>
      <c r="L8" s="971"/>
      <c r="M8" s="980"/>
      <c r="N8" s="971" t="str">
        <f>Lang!$A$9</f>
        <v>Nafta</v>
      </c>
      <c r="O8" s="980"/>
      <c r="P8" s="994">
        <f>'3'!B29</f>
        <v>4</v>
      </c>
      <c r="Q8" s="990">
        <v>0</v>
      </c>
      <c r="R8" s="991"/>
      <c r="S8" s="970"/>
      <c r="T8" s="1000">
        <f>'3'!C29</f>
        <v>10</v>
      </c>
      <c r="U8" s="1008"/>
      <c r="V8" s="970"/>
      <c r="W8" s="1009">
        <f>'3'!D29</f>
        <v>0.08</v>
      </c>
      <c r="X8" s="1008"/>
      <c r="Y8" s="976"/>
      <c r="Z8" s="369"/>
    </row>
    <row r="9" spans="2:26" x14ac:dyDescent="0.25">
      <c r="B9" s="969"/>
      <c r="C9" s="971"/>
      <c r="D9" s="971" t="str">
        <f>Lang!$A$11</f>
        <v>Internet</v>
      </c>
      <c r="E9" s="1010">
        <f>'3'!A40</f>
        <v>20</v>
      </c>
      <c r="F9" s="1011">
        <f>'3'!B40</f>
        <v>7</v>
      </c>
      <c r="G9" s="1012"/>
      <c r="H9" s="1011">
        <f>'3'!C40</f>
        <v>7</v>
      </c>
      <c r="I9" s="990"/>
      <c r="J9" s="1011">
        <f>'3'!D40</f>
        <v>7</v>
      </c>
      <c r="K9" s="990"/>
      <c r="L9" s="971"/>
      <c r="M9" s="980"/>
      <c r="N9" s="971" t="str">
        <f>Lang!$A$11</f>
        <v>Internet</v>
      </c>
      <c r="O9" s="980"/>
      <c r="P9" s="987"/>
      <c r="Q9" s="980"/>
      <c r="R9" s="980"/>
      <c r="S9" s="970"/>
      <c r="T9" s="994">
        <f>'3'!C30</f>
        <v>12</v>
      </c>
      <c r="U9" s="1013"/>
      <c r="V9" s="970"/>
      <c r="W9" s="1014">
        <f>'3'!D30</f>
        <v>0.08</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'3'!J42</f>
        <v>343</v>
      </c>
      <c r="G12" s="1008"/>
      <c r="H12" s="1021">
        <f>'3'!K42</f>
        <v>492</v>
      </c>
      <c r="I12" s="1001"/>
      <c r="J12" s="1021">
        <f>'3'!L42</f>
        <v>712</v>
      </c>
      <c r="K12" s="1001">
        <v>0</v>
      </c>
      <c r="L12" s="971"/>
      <c r="M12" s="980" t="str">
        <f>Lang!$A$289</f>
        <v>Materials to buy</v>
      </c>
      <c r="N12" s="980"/>
      <c r="O12" s="970" t="str">
        <f>Lang!$A$189</f>
        <v>Spot</v>
      </c>
      <c r="P12" s="1022">
        <f>'3'!H33/1000</f>
        <v>2</v>
      </c>
      <c r="Q12" s="1023"/>
      <c r="R12" s="980"/>
      <c r="S12" s="970" t="str">
        <f>Lang!$A$190</f>
        <v>3 mth</v>
      </c>
      <c r="T12" s="1024">
        <f>'3'!H34/1000</f>
        <v>3</v>
      </c>
      <c r="U12" s="1023"/>
      <c r="V12" s="970" t="str">
        <f>Lang!$A$191</f>
        <v>6 mth</v>
      </c>
      <c r="W12" s="1025">
        <f>'3'!H35/1000</f>
        <v>4</v>
      </c>
      <c r="X12" s="1026"/>
      <c r="Y12" s="976"/>
      <c r="Z12" s="369"/>
    </row>
    <row r="13" spans="2:26" x14ac:dyDescent="0.25">
      <c r="B13" s="969"/>
      <c r="C13" s="971"/>
      <c r="D13" s="971" t="str">
        <f>Lang!$A$9</f>
        <v>Nafta</v>
      </c>
      <c r="E13" s="971"/>
      <c r="F13" s="1027">
        <f>'3'!J43</f>
        <v>330</v>
      </c>
      <c r="G13" s="1008"/>
      <c r="H13" s="1028">
        <f>'3'!K43</f>
        <v>490</v>
      </c>
      <c r="I13" s="1008"/>
      <c r="J13" s="1028">
        <f>'3'!L43</f>
        <v>720</v>
      </c>
      <c r="K13" s="1008">
        <v>0</v>
      </c>
      <c r="L13" s="971"/>
      <c r="M13" s="1029" t="str">
        <f>Lang!$A$37</f>
        <v>Maintenance hours</v>
      </c>
      <c r="N13" s="1030"/>
      <c r="O13" s="1029"/>
      <c r="P13" s="1000">
        <f>'3'!H12</f>
        <v>25</v>
      </c>
      <c r="Q13" s="1031"/>
      <c r="R13" s="1029"/>
      <c r="S13" s="980" t="str">
        <f>Lang!$A$29</f>
        <v>Shift level</v>
      </c>
      <c r="T13" s="1032"/>
      <c r="U13" s="1033"/>
      <c r="V13" s="1032"/>
      <c r="W13" s="1000">
        <f>'3'!H11</f>
        <v>2</v>
      </c>
      <c r="X13" s="1004"/>
      <c r="Y13" s="976"/>
      <c r="Z13" s="369"/>
    </row>
    <row r="14" spans="2:26" x14ac:dyDescent="0.25">
      <c r="B14" s="969"/>
      <c r="C14" s="971"/>
      <c r="D14" s="971" t="str">
        <f>Lang!$A$11</f>
        <v>Internet</v>
      </c>
      <c r="E14" s="971"/>
      <c r="F14" s="1034">
        <f>'3'!J44</f>
        <v>365</v>
      </c>
      <c r="G14" s="1013"/>
      <c r="H14" s="1035">
        <f>'3'!K44</f>
        <v>580</v>
      </c>
      <c r="I14" s="1013"/>
      <c r="J14" s="1035">
        <f>'3'!L44</f>
        <v>855</v>
      </c>
      <c r="K14" s="1013">
        <v>0</v>
      </c>
      <c r="L14" s="971"/>
      <c r="M14" s="980" t="str">
        <f>Lang!$A$68</f>
        <v>Ports</v>
      </c>
      <c r="N14" s="970"/>
      <c r="O14" s="980"/>
      <c r="P14" s="1036">
        <f ca="1">'3'!H45</f>
        <v>9</v>
      </c>
      <c r="Q14" s="1037"/>
      <c r="R14" s="1015"/>
      <c r="S14" s="980" t="str">
        <f>Lang!$A$75</f>
        <v>Web-site development</v>
      </c>
      <c r="T14" s="980"/>
      <c r="U14" s="980"/>
      <c r="V14" s="980"/>
      <c r="W14" s="1036">
        <f>'3'!H46</f>
        <v>18</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f ca="1">'3'!B2</f>
        <v>1174</v>
      </c>
      <c r="G17" s="1001"/>
      <c r="H17" s="1042">
        <f ca="1">'3'!C2</f>
        <v>787</v>
      </c>
      <c r="I17" s="1001"/>
      <c r="J17" s="1042">
        <f ca="1">'3'!D2</f>
        <v>415</v>
      </c>
      <c r="K17" s="1001"/>
      <c r="L17" s="971"/>
      <c r="M17" s="980" t="str">
        <f>Lang!$A$51</f>
        <v>Recruit workers</v>
      </c>
      <c r="N17" s="980"/>
      <c r="O17" s="980"/>
      <c r="P17" s="1002">
        <f>'3'!H21</f>
        <v>2</v>
      </c>
      <c r="Q17" s="1008">
        <v>0</v>
      </c>
      <c r="R17" s="1015"/>
      <c r="S17" s="980" t="str">
        <f>Lang!$A$55</f>
        <v>Train workers</v>
      </c>
      <c r="T17" s="980"/>
      <c r="U17" s="980"/>
      <c r="V17" s="980"/>
      <c r="W17" s="1025">
        <f>'3'!H22</f>
        <v>5</v>
      </c>
      <c r="X17" s="1026">
        <v>0</v>
      </c>
      <c r="Y17" s="976"/>
      <c r="Z17" s="369"/>
    </row>
    <row r="18" spans="2:26" x14ac:dyDescent="0.25">
      <c r="B18" s="969"/>
      <c r="C18" s="971"/>
      <c r="D18" s="971" t="str">
        <f>Lang!$A$9</f>
        <v>Nafta</v>
      </c>
      <c r="E18" s="971"/>
      <c r="F18" s="1043">
        <f ca="1">'3'!B3</f>
        <v>595</v>
      </c>
      <c r="G18" s="1008"/>
      <c r="H18" s="997">
        <f ca="1">'3'!C3</f>
        <v>362</v>
      </c>
      <c r="I18" s="1008"/>
      <c r="J18" s="997">
        <f ca="1">'3'!D3</f>
        <v>190</v>
      </c>
      <c r="K18" s="1008"/>
      <c r="L18" s="971"/>
      <c r="M18" s="980" t="str">
        <f>Lang!$A$59</f>
        <v>Workers wage rate</v>
      </c>
      <c r="N18" s="980"/>
      <c r="O18" s="980"/>
      <c r="P18" s="1027">
        <f>'3'!H26*100</f>
        <v>1280</v>
      </c>
      <c r="Q18" s="1008">
        <v>0</v>
      </c>
      <c r="R18" s="1015"/>
      <c r="S18" s="970"/>
      <c r="T18" s="980"/>
      <c r="U18" s="980"/>
      <c r="V18" s="980"/>
      <c r="W18" s="1015"/>
      <c r="X18" s="983"/>
      <c r="Y18" s="976"/>
      <c r="Z18" s="369"/>
    </row>
    <row r="19" spans="2:26" x14ac:dyDescent="0.25">
      <c r="B19" s="969"/>
      <c r="C19" s="971"/>
      <c r="D19" s="971" t="str">
        <f>Lang!$A$11</f>
        <v>Internet</v>
      </c>
      <c r="E19" s="971"/>
      <c r="F19" s="1036">
        <f ca="1">'3'!B4</f>
        <v>928</v>
      </c>
      <c r="G19" s="1013"/>
      <c r="H19" s="1011">
        <f ca="1">'3'!C4</f>
        <v>479</v>
      </c>
      <c r="I19" s="1013"/>
      <c r="J19" s="1036">
        <f ca="1">'3'!D4</f>
        <v>253.99999999999997</v>
      </c>
      <c r="K19" s="1013"/>
      <c r="L19" s="971"/>
      <c r="M19" s="980" t="str">
        <f>Lang!$A$115</f>
        <v>Management budget</v>
      </c>
      <c r="N19" s="980"/>
      <c r="O19" s="980"/>
      <c r="P19" s="1036">
        <f>'3'!H47</f>
        <v>90</v>
      </c>
      <c r="Q19" s="1013">
        <v>0</v>
      </c>
      <c r="R19" s="1044"/>
      <c r="S19" s="980" t="str">
        <f>Lang!$A$53</f>
        <v>Training</v>
      </c>
      <c r="T19" s="970"/>
      <c r="U19" s="980"/>
      <c r="V19" s="980"/>
      <c r="W19" s="1025">
        <f>'3'!H23</f>
        <v>10</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'3'!B18</f>
        <v>1</v>
      </c>
      <c r="G22" s="999"/>
      <c r="H22" s="1049">
        <f>'3'!C18</f>
        <v>1</v>
      </c>
      <c r="I22" s="999"/>
      <c r="J22" s="1049">
        <f>'3'!D18</f>
        <v>1</v>
      </c>
      <c r="K22" s="1050"/>
      <c r="L22" s="971"/>
      <c r="M22" s="980" t="str">
        <f>Lang!$A$293</f>
        <v>Shares to issue/repurchase</v>
      </c>
      <c r="N22" s="980"/>
      <c r="O22" s="980"/>
      <c r="P22" s="1041">
        <f ca="1">'3'!H41</f>
        <v>0</v>
      </c>
      <c r="Q22" s="1008">
        <v>0</v>
      </c>
      <c r="R22" s="1015"/>
      <c r="S22" s="980" t="str">
        <f>Lang!$A$85</f>
        <v>Dividends</v>
      </c>
      <c r="T22" s="980"/>
      <c r="U22" s="980"/>
      <c r="V22" s="980"/>
      <c r="W22" s="1003">
        <f>'3'!H42</f>
        <v>0</v>
      </c>
      <c r="X22" s="1001">
        <v>0</v>
      </c>
      <c r="Y22" s="976"/>
      <c r="Z22" s="369"/>
    </row>
    <row r="23" spans="2:26" x14ac:dyDescent="0.25">
      <c r="B23" s="969"/>
      <c r="C23" s="971" t="str">
        <f>Lang!$A$294</f>
        <v>Product development</v>
      </c>
      <c r="D23" s="971"/>
      <c r="E23" s="1015"/>
      <c r="F23" s="1043">
        <f ca="1">'3'!B19</f>
        <v>45</v>
      </c>
      <c r="G23" s="1007"/>
      <c r="H23" s="997">
        <f ca="1">'3'!C19</f>
        <v>35</v>
      </c>
      <c r="I23" s="1007"/>
      <c r="J23" s="997">
        <f ca="1">'3'!D19</f>
        <v>30</v>
      </c>
      <c r="K23" s="976"/>
      <c r="L23" s="971"/>
      <c r="M23" s="980" t="str">
        <f>Lang!$A$87</f>
        <v>Term loans</v>
      </c>
      <c r="N23" s="980"/>
      <c r="O23" s="980"/>
      <c r="P23" s="1043">
        <f>'3'!H44</f>
        <v>0</v>
      </c>
      <c r="Q23" s="1008">
        <v>0</v>
      </c>
      <c r="R23" s="1015"/>
      <c r="S23" s="970" t="str">
        <f>Lang!$A$86</f>
        <v>Term deposit</v>
      </c>
      <c r="T23" s="980"/>
      <c r="U23" s="980"/>
      <c r="V23" s="980"/>
      <c r="W23" s="1043">
        <f>'3'!H43</f>
        <v>0</v>
      </c>
      <c r="X23" s="1008">
        <v>0</v>
      </c>
      <c r="Y23" s="976"/>
      <c r="Z23" s="369"/>
    </row>
    <row r="24" spans="2:26" x14ac:dyDescent="0.25">
      <c r="B24" s="969"/>
      <c r="C24" s="971" t="str">
        <f>Lang!$A$44</f>
        <v>Assembly time</v>
      </c>
      <c r="D24" s="970"/>
      <c r="E24" s="970"/>
      <c r="F24" s="1000">
        <f>'3'!B20</f>
        <v>120</v>
      </c>
      <c r="G24" s="1004"/>
      <c r="H24" s="1000">
        <f>'3'!C20</f>
        <v>170</v>
      </c>
      <c r="I24" s="1004"/>
      <c r="J24" s="1000">
        <f>'3'!D20</f>
        <v>330</v>
      </c>
      <c r="K24" s="1004"/>
      <c r="L24" s="971"/>
      <c r="M24" s="980" t="str">
        <f>Lang!$A$295</f>
        <v>Machines to buy</v>
      </c>
      <c r="N24" s="980"/>
      <c r="O24" s="980"/>
      <c r="P24" s="1000">
        <f>'3'!H8</f>
        <v>0</v>
      </c>
      <c r="Q24" s="1008">
        <v>0</v>
      </c>
      <c r="R24" s="1015"/>
      <c r="S24" s="980" t="str">
        <f>Lang!$A$24</f>
        <v>Machines to sell</v>
      </c>
      <c r="T24" s="980"/>
      <c r="U24" s="980"/>
      <c r="V24" s="980"/>
      <c r="W24" s="1000">
        <f>'3'!H9</f>
        <v>0</v>
      </c>
      <c r="X24" s="1008">
        <v>0</v>
      </c>
      <c r="Y24" s="976"/>
      <c r="Z24" s="369"/>
    </row>
    <row r="25" spans="2:26" x14ac:dyDescent="0.25">
      <c r="B25" s="969"/>
      <c r="C25" s="971" t="str">
        <f>Lang!$A$45</f>
        <v>Premium materials</v>
      </c>
      <c r="D25" s="971"/>
      <c r="E25" s="1015"/>
      <c r="F25" s="1051">
        <f>'3'!B22</f>
        <v>7.0000000000000007E-2</v>
      </c>
      <c r="G25" s="1013"/>
      <c r="H25" s="1052">
        <f>'3'!C22</f>
        <v>7.0000000000000007E-2</v>
      </c>
      <c r="I25" s="1013"/>
      <c r="J25" s="1052">
        <f>'3'!D22</f>
        <v>0.1</v>
      </c>
      <c r="K25" s="1013">
        <v>0</v>
      </c>
      <c r="L25" s="971"/>
      <c r="M25" s="980" t="str">
        <f>Lang!$A$296</f>
        <v>Factory extension</v>
      </c>
      <c r="N25" s="980"/>
      <c r="O25" s="980"/>
      <c r="P25" s="1034">
        <f>'3'!D13</f>
        <v>50</v>
      </c>
      <c r="Q25" s="1013">
        <v>0</v>
      </c>
      <c r="R25" s="1015"/>
      <c r="S25" s="980" t="str">
        <f>Lang!$A$92</f>
        <v>Insurance plan</v>
      </c>
      <c r="T25" s="980"/>
      <c r="U25" s="980"/>
      <c r="V25" s="980"/>
      <c r="W25" s="1036">
        <f ca="1">'3'!H48</f>
        <v>4</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'3'!B8</f>
        <v>1000</v>
      </c>
      <c r="G28" s="1054">
        <v>0</v>
      </c>
      <c r="H28" s="1055">
        <f>'3'!C8</f>
        <v>1000</v>
      </c>
      <c r="I28" s="1054">
        <v>0</v>
      </c>
      <c r="J28" s="1055">
        <f>'3'!D8</f>
        <v>500</v>
      </c>
      <c r="K28" s="1054">
        <v>0</v>
      </c>
      <c r="L28" s="971"/>
      <c r="M28" s="980" t="str">
        <f>Lang!$A$84</f>
        <v>Market shares</v>
      </c>
      <c r="N28" s="980"/>
      <c r="O28" s="980"/>
      <c r="P28" s="1022">
        <f>'3'!H50</f>
        <v>1</v>
      </c>
      <c r="Q28" s="1056"/>
      <c r="R28" s="980"/>
      <c r="S28" s="980" t="str">
        <f>Lang!$A$93</f>
        <v>Corporate activity</v>
      </c>
      <c r="T28" s="980"/>
      <c r="U28" s="980"/>
      <c r="V28" s="980"/>
      <c r="W28" s="1022">
        <f>'3'!H49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38"/>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6">
    <tabColor theme="6" tint="0.39997558519241921"/>
  </sheetPr>
  <dimension ref="B1:Z46"/>
  <sheetViews>
    <sheetView workbookViewId="0">
      <selection activeCell="N9" sqref="N9"/>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'4'!B52</f>
        <v>4</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'4'!A38</f>
        <v>25</v>
      </c>
      <c r="F7" s="997">
        <f>'4'!B38</f>
        <v>12</v>
      </c>
      <c r="G7" s="998"/>
      <c r="H7" s="997">
        <f>'4'!C38</f>
        <v>10</v>
      </c>
      <c r="I7" s="999"/>
      <c r="J7" s="997">
        <f>'4'!D38</f>
        <v>10</v>
      </c>
      <c r="K7" s="999"/>
      <c r="L7" s="971"/>
      <c r="M7" s="980"/>
      <c r="N7" s="971" t="str">
        <f>Lang!$A$7</f>
        <v>Europe</v>
      </c>
      <c r="O7" s="980"/>
      <c r="P7" s="1000">
        <f>'4'!B28</f>
        <v>7</v>
      </c>
      <c r="Q7" s="1001">
        <v>0</v>
      </c>
      <c r="R7" s="991"/>
      <c r="S7" s="970"/>
      <c r="T7" s="1002">
        <f>'4'!C28</f>
        <v>12</v>
      </c>
      <c r="U7" s="1001"/>
      <c r="V7" s="970"/>
      <c r="W7" s="1003">
        <f>'4'!D28</f>
        <v>0.08</v>
      </c>
      <c r="X7" s="1004"/>
      <c r="Y7" s="976"/>
      <c r="Z7" s="369"/>
    </row>
    <row r="8" spans="2:26" x14ac:dyDescent="0.25">
      <c r="B8" s="969"/>
      <c r="C8" s="971"/>
      <c r="D8" s="971" t="str">
        <f>Lang!$A$9</f>
        <v>Nafta</v>
      </c>
      <c r="E8" s="1005">
        <f>'4'!A39</f>
        <v>20</v>
      </c>
      <c r="F8" s="997">
        <f>'4'!B39</f>
        <v>10</v>
      </c>
      <c r="G8" s="1006"/>
      <c r="H8" s="997">
        <f>'4'!C39</f>
        <v>10</v>
      </c>
      <c r="I8" s="1007"/>
      <c r="J8" s="997">
        <f>'4'!D39</f>
        <v>10</v>
      </c>
      <c r="K8" s="1007"/>
      <c r="L8" s="971"/>
      <c r="M8" s="980"/>
      <c r="N8" s="971" t="str">
        <f>Lang!$A$9</f>
        <v>Nafta</v>
      </c>
      <c r="O8" s="980"/>
      <c r="P8" s="994">
        <f>'4'!B29</f>
        <v>5</v>
      </c>
      <c r="Q8" s="990">
        <v>0</v>
      </c>
      <c r="R8" s="991"/>
      <c r="S8" s="970"/>
      <c r="T8" s="1000">
        <f>'4'!C29</f>
        <v>12</v>
      </c>
      <c r="U8" s="1008"/>
      <c r="V8" s="970"/>
      <c r="W8" s="1009">
        <f>'4'!D29</f>
        <v>0.08</v>
      </c>
      <c r="X8" s="1008"/>
      <c r="Y8" s="976"/>
      <c r="Z8" s="369"/>
    </row>
    <row r="9" spans="2:26" x14ac:dyDescent="0.25">
      <c r="B9" s="969"/>
      <c r="C9" s="971"/>
      <c r="D9" s="971" t="str">
        <f>Lang!$A$11</f>
        <v>Internet</v>
      </c>
      <c r="E9" s="1010">
        <f>'4'!A40</f>
        <v>25</v>
      </c>
      <c r="F9" s="1011">
        <f>'4'!B40</f>
        <v>10</v>
      </c>
      <c r="G9" s="1012"/>
      <c r="H9" s="1011">
        <f>'4'!C40</f>
        <v>10</v>
      </c>
      <c r="I9" s="990"/>
      <c r="J9" s="1011">
        <f>'4'!D40</f>
        <v>10</v>
      </c>
      <c r="K9" s="990"/>
      <c r="L9" s="971"/>
      <c r="M9" s="980"/>
      <c r="N9" s="971" t="str">
        <f>Lang!$A$11</f>
        <v>Internet</v>
      </c>
      <c r="O9" s="980"/>
      <c r="P9" s="987"/>
      <c r="Q9" s="980"/>
      <c r="R9" s="980"/>
      <c r="S9" s="970"/>
      <c r="T9" s="994">
        <f>'4'!C30</f>
        <v>13</v>
      </c>
      <c r="U9" s="1013"/>
      <c r="V9" s="970"/>
      <c r="W9" s="1014">
        <f>'4'!D30</f>
        <v>0.08</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'4'!J42</f>
        <v>343</v>
      </c>
      <c r="G12" s="1008"/>
      <c r="H12" s="1021">
        <f>'4'!K42</f>
        <v>492</v>
      </c>
      <c r="I12" s="1001"/>
      <c r="J12" s="1021">
        <f>'4'!L42</f>
        <v>712</v>
      </c>
      <c r="K12" s="1001">
        <v>0</v>
      </c>
      <c r="L12" s="971"/>
      <c r="M12" s="980" t="str">
        <f>Lang!$A$289</f>
        <v>Materials to buy</v>
      </c>
      <c r="N12" s="980"/>
      <c r="O12" s="970" t="str">
        <f>Lang!$A$189</f>
        <v>Spot</v>
      </c>
      <c r="P12" s="1022">
        <f>'4'!H33/1000</f>
        <v>0</v>
      </c>
      <c r="Q12" s="1023"/>
      <c r="R12" s="980"/>
      <c r="S12" s="970" t="str">
        <f>Lang!$A$190</f>
        <v>3 mth</v>
      </c>
      <c r="T12" s="1024">
        <f>'4'!H34/1000</f>
        <v>2</v>
      </c>
      <c r="U12" s="1023"/>
      <c r="V12" s="970" t="str">
        <f>Lang!$A$191</f>
        <v>6 mth</v>
      </c>
      <c r="W12" s="1025">
        <f>'4'!H35/1000</f>
        <v>0</v>
      </c>
      <c r="X12" s="1026"/>
      <c r="Y12" s="976"/>
      <c r="Z12" s="369"/>
    </row>
    <row r="13" spans="2:26" x14ac:dyDescent="0.25">
      <c r="B13" s="969"/>
      <c r="C13" s="971"/>
      <c r="D13" s="971" t="str">
        <f>Lang!$A$9</f>
        <v>Nafta</v>
      </c>
      <c r="E13" s="971"/>
      <c r="F13" s="1027">
        <f>'4'!J43</f>
        <v>330</v>
      </c>
      <c r="G13" s="1008"/>
      <c r="H13" s="1028">
        <f>'4'!K43</f>
        <v>490</v>
      </c>
      <c r="I13" s="1008"/>
      <c r="J13" s="1028">
        <f>'4'!L43</f>
        <v>720</v>
      </c>
      <c r="K13" s="1008">
        <v>0</v>
      </c>
      <c r="L13" s="971"/>
      <c r="M13" s="1029" t="str">
        <f>Lang!$A$37</f>
        <v>Maintenance hours</v>
      </c>
      <c r="N13" s="1030"/>
      <c r="O13" s="1029"/>
      <c r="P13" s="1000">
        <f>'4'!H12</f>
        <v>40</v>
      </c>
      <c r="Q13" s="1031"/>
      <c r="R13" s="1029"/>
      <c r="S13" s="980" t="str">
        <f>Lang!$A$29</f>
        <v>Shift level</v>
      </c>
      <c r="T13" s="1032"/>
      <c r="U13" s="1033"/>
      <c r="V13" s="1032"/>
      <c r="W13" s="1000">
        <f>'4'!H11</f>
        <v>2</v>
      </c>
      <c r="X13" s="1004"/>
      <c r="Y13" s="976"/>
      <c r="Z13" s="369"/>
    </row>
    <row r="14" spans="2:26" x14ac:dyDescent="0.25">
      <c r="B14" s="969"/>
      <c r="C14" s="971"/>
      <c r="D14" s="971" t="str">
        <f>Lang!$A$11</f>
        <v>Internet</v>
      </c>
      <c r="E14" s="971"/>
      <c r="F14" s="1034">
        <f>'4'!J44</f>
        <v>365</v>
      </c>
      <c r="G14" s="1013"/>
      <c r="H14" s="1035">
        <f>'4'!K44</f>
        <v>560</v>
      </c>
      <c r="I14" s="1013"/>
      <c r="J14" s="1035">
        <f>'4'!L44</f>
        <v>845</v>
      </c>
      <c r="K14" s="1013">
        <v>0</v>
      </c>
      <c r="L14" s="971"/>
      <c r="M14" s="980" t="str">
        <f>Lang!$A$68</f>
        <v>Ports</v>
      </c>
      <c r="N14" s="970"/>
      <c r="O14" s="980"/>
      <c r="P14" s="1036">
        <f ca="1">'4'!H45</f>
        <v>10</v>
      </c>
      <c r="Q14" s="1037"/>
      <c r="R14" s="1015"/>
      <c r="S14" s="980" t="str">
        <f>Lang!$A$75</f>
        <v>Web-site development</v>
      </c>
      <c r="T14" s="980"/>
      <c r="U14" s="980"/>
      <c r="V14" s="980"/>
      <c r="W14" s="1036">
        <f>'4'!H46</f>
        <v>27</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f ca="1">'4'!B2</f>
        <v>1704.0307028523102</v>
      </c>
      <c r="G17" s="1001"/>
      <c r="H17" s="1042">
        <f ca="1">'4'!C2</f>
        <v>972.76154528578707</v>
      </c>
      <c r="I17" s="1001"/>
      <c r="J17" s="1042">
        <f ca="1">'4'!D2</f>
        <v>504.61955568684544</v>
      </c>
      <c r="K17" s="1001"/>
      <c r="L17" s="971"/>
      <c r="M17" s="980" t="str">
        <f>Lang!$A$51</f>
        <v>Recruit workers</v>
      </c>
      <c r="N17" s="980"/>
      <c r="O17" s="980"/>
      <c r="P17" s="1002">
        <f>'4'!H21</f>
        <v>8</v>
      </c>
      <c r="Q17" s="1008">
        <v>0</v>
      </c>
      <c r="R17" s="1015"/>
      <c r="S17" s="980" t="str">
        <f>Lang!$A$55</f>
        <v>Train workers</v>
      </c>
      <c r="T17" s="980"/>
      <c r="U17" s="980"/>
      <c r="V17" s="980"/>
      <c r="W17" s="1025">
        <f>'4'!H22</f>
        <v>3</v>
      </c>
      <c r="X17" s="1026">
        <v>0</v>
      </c>
      <c r="Y17" s="976"/>
      <c r="Z17" s="369"/>
    </row>
    <row r="18" spans="2:26" x14ac:dyDescent="0.25">
      <c r="B18" s="969"/>
      <c r="C18" s="971"/>
      <c r="D18" s="971" t="str">
        <f>Lang!$A$9</f>
        <v>Nafta</v>
      </c>
      <c r="E18" s="971"/>
      <c r="F18" s="1043">
        <f ca="1">'4'!B3</f>
        <v>1024.7805450298436</v>
      </c>
      <c r="G18" s="1008"/>
      <c r="H18" s="997">
        <f ca="1">'4'!C3</f>
        <v>530.44824602410017</v>
      </c>
      <c r="I18" s="1008"/>
      <c r="J18" s="997">
        <f ca="1">'4'!D3</f>
        <v>405.0480767591547</v>
      </c>
      <c r="K18" s="1008"/>
      <c r="L18" s="971"/>
      <c r="M18" s="980" t="str">
        <f>Lang!$A$59</f>
        <v>Workers wage rate</v>
      </c>
      <c r="N18" s="980"/>
      <c r="O18" s="980"/>
      <c r="P18" s="1027">
        <f>'4'!H26*100</f>
        <v>1325</v>
      </c>
      <c r="Q18" s="1008">
        <v>0</v>
      </c>
      <c r="R18" s="1015"/>
      <c r="S18" s="970"/>
      <c r="T18" s="980"/>
      <c r="U18" s="980"/>
      <c r="V18" s="980"/>
      <c r="W18" s="1015"/>
      <c r="X18" s="983"/>
      <c r="Y18" s="976"/>
      <c r="Z18" s="369"/>
    </row>
    <row r="19" spans="2:26" x14ac:dyDescent="0.25">
      <c r="B19" s="969"/>
      <c r="C19" s="971"/>
      <c r="D19" s="971" t="str">
        <f>Lang!$A$11</f>
        <v>Internet</v>
      </c>
      <c r="E19" s="971"/>
      <c r="F19" s="1036">
        <f ca="1">'4'!B4</f>
        <v>1195.7795213788227</v>
      </c>
      <c r="G19" s="1013"/>
      <c r="H19" s="1011">
        <f ca="1">'4'!C4</f>
        <v>233.88460347086436</v>
      </c>
      <c r="I19" s="1013"/>
      <c r="J19" s="1036">
        <f ca="1">'4'!D4</f>
        <v>186.45769231228871</v>
      </c>
      <c r="K19" s="1013"/>
      <c r="L19" s="971"/>
      <c r="M19" s="980" t="str">
        <f>Lang!$A$115</f>
        <v>Management budget</v>
      </c>
      <c r="N19" s="980"/>
      <c r="O19" s="980"/>
      <c r="P19" s="1036">
        <f>'4'!H47</f>
        <v>100</v>
      </c>
      <c r="Q19" s="1013">
        <v>0</v>
      </c>
      <c r="R19" s="1044"/>
      <c r="S19" s="980" t="str">
        <f>Lang!$A$53</f>
        <v>Training</v>
      </c>
      <c r="T19" s="970"/>
      <c r="U19" s="980"/>
      <c r="V19" s="980"/>
      <c r="W19" s="1025">
        <f>'4'!H23</f>
        <v>12</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'4'!B18</f>
        <v>1</v>
      </c>
      <c r="G22" s="999"/>
      <c r="H22" s="1049">
        <f>'4'!C18</f>
        <v>0</v>
      </c>
      <c r="I22" s="999"/>
      <c r="J22" s="1049">
        <f>'4'!D18</f>
        <v>0</v>
      </c>
      <c r="K22" s="1050"/>
      <c r="L22" s="971"/>
      <c r="M22" s="980" t="str">
        <f>Lang!$A$293</f>
        <v>Shares to issue/repurchase</v>
      </c>
      <c r="N22" s="980"/>
      <c r="O22" s="980"/>
      <c r="P22" s="1041">
        <f ca="1">'4'!H41</f>
        <v>0</v>
      </c>
      <c r="Q22" s="1008">
        <v>0</v>
      </c>
      <c r="R22" s="1015"/>
      <c r="S22" s="980" t="str">
        <f>Lang!$A$85</f>
        <v>Dividends</v>
      </c>
      <c r="T22" s="980"/>
      <c r="U22" s="980"/>
      <c r="V22" s="980"/>
      <c r="W22" s="1003">
        <f>'4'!H42</f>
        <v>0.01</v>
      </c>
      <c r="X22" s="1001">
        <v>0</v>
      </c>
      <c r="Y22" s="976"/>
      <c r="Z22" s="369"/>
    </row>
    <row r="23" spans="2:26" x14ac:dyDescent="0.25">
      <c r="B23" s="969"/>
      <c r="C23" s="971" t="str">
        <f>Lang!$A$294</f>
        <v>Product development</v>
      </c>
      <c r="D23" s="971"/>
      <c r="E23" s="1015"/>
      <c r="F23" s="1043">
        <f ca="1">'4'!B19</f>
        <v>10</v>
      </c>
      <c r="G23" s="1007"/>
      <c r="H23" s="997">
        <f ca="1">'4'!C19</f>
        <v>35</v>
      </c>
      <c r="I23" s="1007"/>
      <c r="J23" s="997">
        <f ca="1">'4'!D19</f>
        <v>15</v>
      </c>
      <c r="K23" s="976"/>
      <c r="L23" s="971"/>
      <c r="M23" s="980" t="str">
        <f>Lang!$A$87</f>
        <v>Term loans</v>
      </c>
      <c r="N23" s="980"/>
      <c r="O23" s="980"/>
      <c r="P23" s="1043">
        <f>'4'!H44</f>
        <v>0</v>
      </c>
      <c r="Q23" s="1008">
        <v>0</v>
      </c>
      <c r="R23" s="1015"/>
      <c r="S23" s="970" t="str">
        <f>Lang!$A$86</f>
        <v>Term deposit</v>
      </c>
      <c r="T23" s="980"/>
      <c r="U23" s="980"/>
      <c r="V23" s="980"/>
      <c r="W23" s="1043">
        <f>'4'!H43</f>
        <v>-300</v>
      </c>
      <c r="X23" s="1008">
        <v>0</v>
      </c>
      <c r="Y23" s="976"/>
      <c r="Z23" s="369"/>
    </row>
    <row r="24" spans="2:26" x14ac:dyDescent="0.25">
      <c r="B24" s="969"/>
      <c r="C24" s="971" t="str">
        <f>Lang!$A$44</f>
        <v>Assembly time</v>
      </c>
      <c r="D24" s="970"/>
      <c r="E24" s="970"/>
      <c r="F24" s="1000">
        <f>'4'!B20</f>
        <v>120</v>
      </c>
      <c r="G24" s="1004"/>
      <c r="H24" s="1000">
        <f>'4'!C20</f>
        <v>170</v>
      </c>
      <c r="I24" s="1004"/>
      <c r="J24" s="1000">
        <f>'4'!D20</f>
        <v>330</v>
      </c>
      <c r="K24" s="1004"/>
      <c r="L24" s="971"/>
      <c r="M24" s="980" t="str">
        <f>Lang!$A$295</f>
        <v>Machines to buy</v>
      </c>
      <c r="N24" s="980"/>
      <c r="O24" s="980"/>
      <c r="P24" s="1000">
        <f>'4'!H8</f>
        <v>0</v>
      </c>
      <c r="Q24" s="1008">
        <v>0</v>
      </c>
      <c r="R24" s="1015"/>
      <c r="S24" s="980" t="str">
        <f>Lang!$A$24</f>
        <v>Machines to sell</v>
      </c>
      <c r="T24" s="980"/>
      <c r="U24" s="980"/>
      <c r="V24" s="980"/>
      <c r="W24" s="1000">
        <f>'4'!H9</f>
        <v>0</v>
      </c>
      <c r="X24" s="1008">
        <v>0</v>
      </c>
      <c r="Y24" s="976"/>
      <c r="Z24" s="369"/>
    </row>
    <row r="25" spans="2:26" x14ac:dyDescent="0.25">
      <c r="B25" s="969"/>
      <c r="C25" s="971" t="str">
        <f>Lang!$A$45</f>
        <v>Premium materials</v>
      </c>
      <c r="D25" s="971"/>
      <c r="E25" s="1015"/>
      <c r="F25" s="1051">
        <f>'4'!B22</f>
        <v>7.0000000000000007E-2</v>
      </c>
      <c r="G25" s="1013"/>
      <c r="H25" s="1052">
        <f>'4'!C22</f>
        <v>7.0000000000000007E-2</v>
      </c>
      <c r="I25" s="1013"/>
      <c r="J25" s="1052">
        <f>'4'!D22</f>
        <v>0.1</v>
      </c>
      <c r="K25" s="1013">
        <v>0</v>
      </c>
      <c r="L25" s="971"/>
      <c r="M25" s="980" t="str">
        <f>Lang!$A$296</f>
        <v>Factory extension</v>
      </c>
      <c r="N25" s="980"/>
      <c r="O25" s="980"/>
      <c r="P25" s="1034">
        <f>'4'!D13</f>
        <v>0</v>
      </c>
      <c r="Q25" s="1013">
        <v>0</v>
      </c>
      <c r="R25" s="1015"/>
      <c r="S25" s="980" t="str">
        <f>Lang!$A$92</f>
        <v>Insurance plan</v>
      </c>
      <c r="T25" s="980"/>
      <c r="U25" s="980"/>
      <c r="V25" s="980"/>
      <c r="W25" s="1036">
        <f ca="1">'4'!H48</f>
        <v>0</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'4'!B8</f>
        <v>1500</v>
      </c>
      <c r="G28" s="1054">
        <v>0</v>
      </c>
      <c r="H28" s="1055">
        <f>'4'!C8</f>
        <v>1500</v>
      </c>
      <c r="I28" s="1054">
        <v>0</v>
      </c>
      <c r="J28" s="1055">
        <f>'4'!D8</f>
        <v>1250</v>
      </c>
      <c r="K28" s="1054">
        <v>0</v>
      </c>
      <c r="L28" s="971"/>
      <c r="M28" s="980" t="str">
        <f>Lang!$A$84</f>
        <v>Market shares</v>
      </c>
      <c r="N28" s="980"/>
      <c r="O28" s="980"/>
      <c r="P28" s="1022">
        <f>'4'!H50</f>
        <v>1</v>
      </c>
      <c r="Q28" s="1056"/>
      <c r="R28" s="980"/>
      <c r="S28" s="980" t="str">
        <f>Lang!$A$93</f>
        <v>Corporate activity</v>
      </c>
      <c r="T28" s="980"/>
      <c r="U28" s="980"/>
      <c r="V28" s="980"/>
      <c r="W28" s="1022">
        <f>'4'!H49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38"/>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theme="6" tint="0.39997558519241921"/>
  </sheetPr>
  <dimension ref="B1:Z46"/>
  <sheetViews>
    <sheetView workbookViewId="0">
      <selection activeCell="M13" sqref="M13"/>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'5'!B52</f>
        <v>5</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'5'!A38</f>
        <v>0</v>
      </c>
      <c r="F7" s="997">
        <f>'5'!B38</f>
        <v>12</v>
      </c>
      <c r="G7" s="998"/>
      <c r="H7" s="997">
        <f>'5'!C38</f>
        <v>12</v>
      </c>
      <c r="I7" s="999"/>
      <c r="J7" s="997">
        <f>'5'!D38</f>
        <v>14</v>
      </c>
      <c r="K7" s="999"/>
      <c r="L7" s="971"/>
      <c r="M7" s="980"/>
      <c r="N7" s="971" t="str">
        <f>Lang!$A$7</f>
        <v>Europe</v>
      </c>
      <c r="O7" s="980"/>
      <c r="P7" s="1000">
        <f>'5'!B28</f>
        <v>5</v>
      </c>
      <c r="Q7" s="1001">
        <v>0</v>
      </c>
      <c r="R7" s="991"/>
      <c r="S7" s="970"/>
      <c r="T7" s="1002">
        <f>'5'!C28</f>
        <v>12</v>
      </c>
      <c r="U7" s="1001"/>
      <c r="V7" s="970"/>
      <c r="W7" s="1003">
        <f>'5'!D28</f>
        <v>0.08</v>
      </c>
      <c r="X7" s="1004"/>
      <c r="Y7" s="976"/>
      <c r="Z7" s="369"/>
    </row>
    <row r="8" spans="2:26" x14ac:dyDescent="0.25">
      <c r="B8" s="969"/>
      <c r="C8" s="971"/>
      <c r="D8" s="971" t="str">
        <f>Lang!$A$9</f>
        <v>Nafta</v>
      </c>
      <c r="E8" s="1005">
        <f>'5'!A39</f>
        <v>0</v>
      </c>
      <c r="F8" s="997">
        <f>'5'!B39</f>
        <v>20</v>
      </c>
      <c r="G8" s="1006"/>
      <c r="H8" s="997">
        <f>'5'!C39</f>
        <v>10</v>
      </c>
      <c r="I8" s="1007"/>
      <c r="J8" s="997">
        <f>'5'!D39</f>
        <v>12</v>
      </c>
      <c r="K8" s="1007"/>
      <c r="L8" s="971"/>
      <c r="M8" s="980"/>
      <c r="N8" s="971" t="str">
        <f>Lang!$A$9</f>
        <v>Nafta</v>
      </c>
      <c r="O8" s="980"/>
      <c r="P8" s="994">
        <f>'5'!B29</f>
        <v>3</v>
      </c>
      <c r="Q8" s="990">
        <v>0</v>
      </c>
      <c r="R8" s="991"/>
      <c r="S8" s="970"/>
      <c r="T8" s="1000">
        <f>'5'!C29</f>
        <v>12</v>
      </c>
      <c r="U8" s="1008"/>
      <c r="V8" s="970"/>
      <c r="W8" s="1009">
        <f>'5'!D29</f>
        <v>0.08</v>
      </c>
      <c r="X8" s="1008"/>
      <c r="Y8" s="976"/>
      <c r="Z8" s="369"/>
    </row>
    <row r="9" spans="2:26" x14ac:dyDescent="0.25">
      <c r="B9" s="969"/>
      <c r="C9" s="971"/>
      <c r="D9" s="971" t="str">
        <f>Lang!$A$11</f>
        <v>Internet</v>
      </c>
      <c r="E9" s="1010">
        <f>'5'!A40</f>
        <v>0</v>
      </c>
      <c r="F9" s="1011">
        <f>'5'!B40</f>
        <v>8</v>
      </c>
      <c r="G9" s="1012"/>
      <c r="H9" s="1011">
        <f>'5'!C40</f>
        <v>8</v>
      </c>
      <c r="I9" s="990"/>
      <c r="J9" s="1011">
        <f>'5'!D40</f>
        <v>10</v>
      </c>
      <c r="K9" s="990"/>
      <c r="L9" s="971"/>
      <c r="M9" s="980"/>
      <c r="N9" s="971" t="str">
        <f>Lang!$A$11</f>
        <v>Internet</v>
      </c>
      <c r="O9" s="980"/>
      <c r="P9" s="987"/>
      <c r="Q9" s="980"/>
      <c r="R9" s="980"/>
      <c r="S9" s="970"/>
      <c r="T9" s="994">
        <f>'5'!C30</f>
        <v>10</v>
      </c>
      <c r="U9" s="1013"/>
      <c r="V9" s="970"/>
      <c r="W9" s="1014">
        <f>'5'!D30</f>
        <v>0.06</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'5'!J42</f>
        <v>330</v>
      </c>
      <c r="G12" s="1008"/>
      <c r="H12" s="1021">
        <f>'5'!K42</f>
        <v>488</v>
      </c>
      <c r="I12" s="1001"/>
      <c r="J12" s="1021">
        <f>'5'!L42</f>
        <v>708</v>
      </c>
      <c r="K12" s="1001">
        <v>0</v>
      </c>
      <c r="L12" s="971"/>
      <c r="M12" s="980" t="str">
        <f>Lang!$A$289</f>
        <v>Materials to buy</v>
      </c>
      <c r="N12" s="980"/>
      <c r="O12" s="970" t="str">
        <f>Lang!$A$189</f>
        <v>Spot</v>
      </c>
      <c r="P12" s="1022">
        <f>'5'!H33/1000</f>
        <v>4</v>
      </c>
      <c r="Q12" s="1023"/>
      <c r="R12" s="980"/>
      <c r="S12" s="970" t="str">
        <f>Lang!$A$190</f>
        <v>3 mth</v>
      </c>
      <c r="T12" s="1024">
        <f>'5'!H34/1000</f>
        <v>0</v>
      </c>
      <c r="U12" s="1023"/>
      <c r="V12" s="970" t="str">
        <f>Lang!$A$191</f>
        <v>6 mth</v>
      </c>
      <c r="W12" s="1025">
        <f>'5'!H35/1000</f>
        <v>0</v>
      </c>
      <c r="X12" s="1026"/>
      <c r="Y12" s="976"/>
      <c r="Z12" s="369"/>
    </row>
    <row r="13" spans="2:26" x14ac:dyDescent="0.25">
      <c r="B13" s="969"/>
      <c r="C13" s="971"/>
      <c r="D13" s="971" t="str">
        <f>Lang!$A$9</f>
        <v>Nafta</v>
      </c>
      <c r="E13" s="971"/>
      <c r="F13" s="1027">
        <f>'5'!J43</f>
        <v>340</v>
      </c>
      <c r="G13" s="1008"/>
      <c r="H13" s="1028">
        <f>'5'!K43</f>
        <v>490</v>
      </c>
      <c r="I13" s="1008"/>
      <c r="J13" s="1028">
        <f>'5'!L43</f>
        <v>705</v>
      </c>
      <c r="K13" s="1008">
        <v>0</v>
      </c>
      <c r="L13" s="971"/>
      <c r="M13" s="1029" t="str">
        <f>Lang!$A$37</f>
        <v>Maintenance hours</v>
      </c>
      <c r="N13" s="1030"/>
      <c r="O13" s="1029"/>
      <c r="P13" s="1000">
        <f>'5'!H12</f>
        <v>35</v>
      </c>
      <c r="Q13" s="1031"/>
      <c r="R13" s="1029"/>
      <c r="S13" s="980" t="str">
        <f>Lang!$A$29</f>
        <v>Shift level</v>
      </c>
      <c r="T13" s="1032"/>
      <c r="U13" s="1033"/>
      <c r="V13" s="1032"/>
      <c r="W13" s="1000">
        <f>'5'!H11</f>
        <v>2</v>
      </c>
      <c r="X13" s="1004"/>
      <c r="Y13" s="976"/>
      <c r="Z13" s="369"/>
    </row>
    <row r="14" spans="2:26" x14ac:dyDescent="0.25">
      <c r="B14" s="969"/>
      <c r="C14" s="971"/>
      <c r="D14" s="971" t="str">
        <f>Lang!$A$11</f>
        <v>Internet</v>
      </c>
      <c r="E14" s="971"/>
      <c r="F14" s="1034">
        <f>'5'!J44</f>
        <v>378</v>
      </c>
      <c r="G14" s="1013"/>
      <c r="H14" s="1035">
        <f>'5'!K44</f>
        <v>598</v>
      </c>
      <c r="I14" s="1013"/>
      <c r="J14" s="1035">
        <f>'5'!L44</f>
        <v>850</v>
      </c>
      <c r="K14" s="1013">
        <v>0</v>
      </c>
      <c r="L14" s="971"/>
      <c r="M14" s="980" t="str">
        <f>Lang!$A$68</f>
        <v>Ports</v>
      </c>
      <c r="N14" s="970"/>
      <c r="O14" s="980"/>
      <c r="P14" s="1036">
        <f ca="1">'5'!H45</f>
        <v>12</v>
      </c>
      <c r="Q14" s="1037"/>
      <c r="R14" s="1015"/>
      <c r="S14" s="980" t="str">
        <f>Lang!$A$75</f>
        <v>Web-site development</v>
      </c>
      <c r="T14" s="980"/>
      <c r="U14" s="980"/>
      <c r="V14" s="980"/>
      <c r="W14" s="1036">
        <f>'5'!H46</f>
        <v>30</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t="e">
        <f ca="1">'5'!B2</f>
        <v>#VALUE!</v>
      </c>
      <c r="G17" s="1001"/>
      <c r="H17" s="1042" t="e">
        <f ca="1">'5'!C2</f>
        <v>#VALUE!</v>
      </c>
      <c r="I17" s="1001"/>
      <c r="J17" s="1042" t="e">
        <f ca="1">'5'!D2</f>
        <v>#VALUE!</v>
      </c>
      <c r="K17" s="1001"/>
      <c r="L17" s="971"/>
      <c r="M17" s="980" t="str">
        <f>Lang!$A$51</f>
        <v>Recruit workers</v>
      </c>
      <c r="N17" s="980"/>
      <c r="O17" s="980"/>
      <c r="P17" s="1002">
        <f>'5'!H21</f>
        <v>6</v>
      </c>
      <c r="Q17" s="1008">
        <v>0</v>
      </c>
      <c r="R17" s="1015"/>
      <c r="S17" s="980" t="str">
        <f>Lang!$A$55</f>
        <v>Train workers</v>
      </c>
      <c r="T17" s="980"/>
      <c r="U17" s="980"/>
      <c r="V17" s="980"/>
      <c r="W17" s="1025">
        <f>'5'!H22</f>
        <v>0</v>
      </c>
      <c r="X17" s="1026">
        <v>0</v>
      </c>
      <c r="Y17" s="976"/>
      <c r="Z17" s="369"/>
    </row>
    <row r="18" spans="2:26" x14ac:dyDescent="0.25">
      <c r="B18" s="969"/>
      <c r="C18" s="971"/>
      <c r="D18" s="971" t="str">
        <f>Lang!$A$9</f>
        <v>Nafta</v>
      </c>
      <c r="E18" s="971"/>
      <c r="F18" s="1043" t="e">
        <f ca="1">'5'!B3</f>
        <v>#VALUE!</v>
      </c>
      <c r="G18" s="1008"/>
      <c r="H18" s="997" t="e">
        <f ca="1">'5'!C3</f>
        <v>#VALUE!</v>
      </c>
      <c r="I18" s="1008"/>
      <c r="J18" s="997" t="e">
        <f ca="1">'5'!D3</f>
        <v>#VALUE!</v>
      </c>
      <c r="K18" s="1008"/>
      <c r="L18" s="971"/>
      <c r="M18" s="980" t="str">
        <f>Lang!$A$59</f>
        <v>Workers wage rate</v>
      </c>
      <c r="N18" s="980"/>
      <c r="O18" s="980"/>
      <c r="P18" s="1027">
        <f>'5'!H26*100</f>
        <v>1325</v>
      </c>
      <c r="Q18" s="1008">
        <v>0</v>
      </c>
      <c r="R18" s="1015"/>
      <c r="S18" s="970"/>
      <c r="T18" s="980"/>
      <c r="U18" s="980"/>
      <c r="V18" s="980"/>
      <c r="W18" s="1015"/>
      <c r="X18" s="983"/>
      <c r="Y18" s="976"/>
      <c r="Z18" s="369"/>
    </row>
    <row r="19" spans="2:26" x14ac:dyDescent="0.25">
      <c r="B19" s="969"/>
      <c r="C19" s="971"/>
      <c r="D19" s="971" t="str">
        <f>Lang!$A$11</f>
        <v>Internet</v>
      </c>
      <c r="E19" s="971"/>
      <c r="F19" s="1036" t="e">
        <f ca="1">'5'!B4</f>
        <v>#VALUE!</v>
      </c>
      <c r="G19" s="1013"/>
      <c r="H19" s="1011" t="e">
        <f ca="1">'5'!C4</f>
        <v>#VALUE!</v>
      </c>
      <c r="I19" s="1013"/>
      <c r="J19" s="1036" t="e">
        <f ca="1">'5'!D4</f>
        <v>#VALUE!</v>
      </c>
      <c r="K19" s="1013"/>
      <c r="L19" s="971"/>
      <c r="M19" s="980" t="str">
        <f>Lang!$A$115</f>
        <v>Management budget</v>
      </c>
      <c r="N19" s="980"/>
      <c r="O19" s="980"/>
      <c r="P19" s="1036">
        <f>'5'!H47</f>
        <v>70</v>
      </c>
      <c r="Q19" s="1013">
        <v>0</v>
      </c>
      <c r="R19" s="1044"/>
      <c r="S19" s="980" t="str">
        <f>Lang!$A$53</f>
        <v>Training</v>
      </c>
      <c r="T19" s="970"/>
      <c r="U19" s="980"/>
      <c r="V19" s="980"/>
      <c r="W19" s="1025">
        <f>'5'!H23</f>
        <v>12</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'5'!B18</f>
        <v>0</v>
      </c>
      <c r="G22" s="999"/>
      <c r="H22" s="1049">
        <f>'5'!C18</f>
        <v>0</v>
      </c>
      <c r="I22" s="999"/>
      <c r="J22" s="1049">
        <f>'5'!D18</f>
        <v>1</v>
      </c>
      <c r="K22" s="1050"/>
      <c r="L22" s="971"/>
      <c r="M22" s="980" t="str">
        <f>Lang!$A$293</f>
        <v>Shares to issue/repurchase</v>
      </c>
      <c r="N22" s="980"/>
      <c r="O22" s="980"/>
      <c r="P22" s="1041">
        <f ca="1">'5'!H41</f>
        <v>0</v>
      </c>
      <c r="Q22" s="1008">
        <v>0</v>
      </c>
      <c r="R22" s="1015"/>
      <c r="S22" s="980" t="str">
        <f>Lang!$A$85</f>
        <v>Dividends</v>
      </c>
      <c r="T22" s="980"/>
      <c r="U22" s="980"/>
      <c r="V22" s="980"/>
      <c r="W22" s="1003">
        <f>'5'!H42</f>
        <v>0</v>
      </c>
      <c r="X22" s="1001">
        <v>0</v>
      </c>
      <c r="Y22" s="976"/>
      <c r="Z22" s="369"/>
    </row>
    <row r="23" spans="2:26" x14ac:dyDescent="0.25">
      <c r="B23" s="969"/>
      <c r="C23" s="971" t="str">
        <f>Lang!$A$294</f>
        <v>Product development</v>
      </c>
      <c r="D23" s="971"/>
      <c r="E23" s="1015"/>
      <c r="F23" s="1043">
        <f ca="1">'5'!B19</f>
        <v>11</v>
      </c>
      <c r="G23" s="1007"/>
      <c r="H23" s="997">
        <f ca="1">'5'!C19</f>
        <v>25</v>
      </c>
      <c r="I23" s="1007"/>
      <c r="J23" s="997">
        <f ca="1">'5'!D19</f>
        <v>16</v>
      </c>
      <c r="K23" s="976"/>
      <c r="L23" s="971"/>
      <c r="M23" s="980" t="str">
        <f>Lang!$A$87</f>
        <v>Term loans</v>
      </c>
      <c r="N23" s="980"/>
      <c r="O23" s="980"/>
      <c r="P23" s="1043">
        <f>'5'!H44</f>
        <v>0</v>
      </c>
      <c r="Q23" s="1008">
        <v>0</v>
      </c>
      <c r="R23" s="1015"/>
      <c r="S23" s="970" t="str">
        <f>Lang!$A$86</f>
        <v>Term deposit</v>
      </c>
      <c r="T23" s="980"/>
      <c r="U23" s="980"/>
      <c r="V23" s="980"/>
      <c r="W23" s="1043">
        <f>'5'!H43</f>
        <v>-500</v>
      </c>
      <c r="X23" s="1008">
        <v>0</v>
      </c>
      <c r="Y23" s="976"/>
      <c r="Z23" s="369"/>
    </row>
    <row r="24" spans="2:26" x14ac:dyDescent="0.25">
      <c r="B24" s="969"/>
      <c r="C24" s="971" t="str">
        <f>Lang!$A$44</f>
        <v>Assembly time</v>
      </c>
      <c r="D24" s="970"/>
      <c r="E24" s="970"/>
      <c r="F24" s="1000">
        <f>'5'!B20</f>
        <v>140</v>
      </c>
      <c r="G24" s="1004"/>
      <c r="H24" s="1000">
        <f>'5'!C20</f>
        <v>176</v>
      </c>
      <c r="I24" s="1004"/>
      <c r="J24" s="1000">
        <f>'5'!D20</f>
        <v>335</v>
      </c>
      <c r="K24" s="1004"/>
      <c r="L24" s="971"/>
      <c r="M24" s="980" t="str">
        <f>Lang!$A$295</f>
        <v>Machines to buy</v>
      </c>
      <c r="N24" s="980"/>
      <c r="O24" s="980"/>
      <c r="P24" s="1000">
        <f>'5'!H8</f>
        <v>0</v>
      </c>
      <c r="Q24" s="1008">
        <v>0</v>
      </c>
      <c r="R24" s="1015"/>
      <c r="S24" s="980" t="str">
        <f>Lang!$A$24</f>
        <v>Machines to sell</v>
      </c>
      <c r="T24" s="980"/>
      <c r="U24" s="980"/>
      <c r="V24" s="980"/>
      <c r="W24" s="1000">
        <f>'5'!H9</f>
        <v>0</v>
      </c>
      <c r="X24" s="1008">
        <v>0</v>
      </c>
      <c r="Y24" s="976"/>
      <c r="Z24" s="369"/>
    </row>
    <row r="25" spans="2:26" x14ac:dyDescent="0.25">
      <c r="B25" s="969"/>
      <c r="C25" s="971" t="str">
        <f>Lang!$A$45</f>
        <v>Premium materials</v>
      </c>
      <c r="D25" s="971"/>
      <c r="E25" s="1015"/>
      <c r="F25" s="1051">
        <f>'5'!B22</f>
        <v>0.22</v>
      </c>
      <c r="G25" s="1013"/>
      <c r="H25" s="1052">
        <f>'5'!C22</f>
        <v>0.22</v>
      </c>
      <c r="I25" s="1013"/>
      <c r="J25" s="1052">
        <f>'5'!D22</f>
        <v>0.1</v>
      </c>
      <c r="K25" s="1013">
        <v>0</v>
      </c>
      <c r="L25" s="971"/>
      <c r="M25" s="980" t="str">
        <f>Lang!$A$296</f>
        <v>Factory extension</v>
      </c>
      <c r="N25" s="980"/>
      <c r="O25" s="980"/>
      <c r="P25" s="1034">
        <f>'5'!D13</f>
        <v>0</v>
      </c>
      <c r="Q25" s="1013">
        <v>0</v>
      </c>
      <c r="R25" s="1015"/>
      <c r="S25" s="980" t="str">
        <f>Lang!$A$92</f>
        <v>Insurance plan</v>
      </c>
      <c r="T25" s="980"/>
      <c r="U25" s="980"/>
      <c r="V25" s="980"/>
      <c r="W25" s="1036">
        <f ca="1">'5'!H48</f>
        <v>0</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'5'!B8</f>
        <v>0</v>
      </c>
      <c r="G28" s="1054">
        <v>0</v>
      </c>
      <c r="H28" s="1055">
        <f>'5'!C8</f>
        <v>0</v>
      </c>
      <c r="I28" s="1054">
        <v>0</v>
      </c>
      <c r="J28" s="1055">
        <f>'5'!D8</f>
        <v>0</v>
      </c>
      <c r="K28" s="1054">
        <v>0</v>
      </c>
      <c r="L28" s="971"/>
      <c r="M28" s="980" t="str">
        <f>Lang!$A$84</f>
        <v>Market shares</v>
      </c>
      <c r="N28" s="980"/>
      <c r="O28" s="980"/>
      <c r="P28" s="1022">
        <f>'5'!H50</f>
        <v>1</v>
      </c>
      <c r="Q28" s="1056"/>
      <c r="R28" s="980"/>
      <c r="S28" s="980" t="str">
        <f>Lang!$A$93</f>
        <v>Corporate activity</v>
      </c>
      <c r="T28" s="980"/>
      <c r="U28" s="980"/>
      <c r="V28" s="980"/>
      <c r="W28" s="1022">
        <f>'5'!H49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38"/>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theme="8" tint="0.79998168889431442"/>
  </sheetPr>
  <dimension ref="B1:Y55"/>
  <sheetViews>
    <sheetView showGridLines="0" workbookViewId="0">
      <selection activeCell="AB23" sqref="AB23"/>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LEFT(TRIM('15'!A699),4)</f>
        <v xml:space="preserve">032 </v>
      </c>
      <c r="W1" t="str">
        <f>RIGHT(TRIM('15'!A699),10)</f>
        <v>17/06/2016</v>
      </c>
    </row>
    <row r="2" spans="2:25" ht="33" x14ac:dyDescent="0.6">
      <c r="G2" s="157" t="s">
        <v>82</v>
      </c>
      <c r="H2" s="156"/>
    </row>
    <row r="3" spans="2:25" x14ac:dyDescent="0.25">
      <c r="B3" t="str">
        <f>'15'!A861</f>
        <v xml:space="preserve"> This is a history quarter</v>
      </c>
      <c r="C3" s="506"/>
      <c r="V3" s="158" t="s">
        <v>83</v>
      </c>
      <c r="W3" s="159" t="str">
        <f>'15'!A6</f>
        <v xml:space="preserve">  17C1</v>
      </c>
    </row>
    <row r="4" spans="2:25" x14ac:dyDescent="0.25">
      <c r="B4">
        <f>'15'!A862</f>
        <v>0</v>
      </c>
      <c r="C4" s="506"/>
    </row>
    <row r="5" spans="2:25" ht="17.399999999999999" x14ac:dyDescent="0.3">
      <c r="B5">
        <f>'15'!A863</f>
        <v>0</v>
      </c>
      <c r="H5" s="160" t="s">
        <v>85</v>
      </c>
      <c r="J5" s="161"/>
      <c r="K5" s="161"/>
      <c r="L5" s="161">
        <f>'15'!$A2</f>
        <v>1</v>
      </c>
      <c r="M5" s="160" t="s">
        <v>84</v>
      </c>
      <c r="N5" s="160"/>
      <c r="O5" s="162">
        <f>'15'!$A1</f>
        <v>1</v>
      </c>
      <c r="P5" s="161"/>
      <c r="Q5" s="161"/>
      <c r="S5" s="163"/>
      <c r="T5" s="164"/>
      <c r="U5" s="163"/>
      <c r="V5" s="163"/>
    </row>
    <row r="6" spans="2:25" x14ac:dyDescent="0.25">
      <c r="B6">
        <f>'15'!A864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'15'!$A4</f>
        <v>2016</v>
      </c>
      <c r="Q9" s="164"/>
      <c r="R9" s="171" t="s">
        <v>80</v>
      </c>
      <c r="S9" s="172">
        <f>'15'!$A5</f>
        <v>2</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'15'!A7</f>
        <v>15</v>
      </c>
      <c r="F14" s="196">
        <f>'15'!A11</f>
        <v>0</v>
      </c>
      <c r="G14" s="197"/>
      <c r="H14" s="196">
        <f>'15'!A14</f>
        <v>0</v>
      </c>
      <c r="I14" s="198"/>
      <c r="J14" s="196">
        <f>'15'!A17</f>
        <v>0</v>
      </c>
      <c r="K14" s="198"/>
      <c r="L14" s="40"/>
      <c r="M14" s="182"/>
      <c r="N14" s="182" t="s">
        <v>36</v>
      </c>
      <c r="O14" s="182"/>
      <c r="P14" s="201">
        <f>'15'!A61</f>
        <v>2</v>
      </c>
      <c r="Q14" s="200">
        <f>'15'!B61</f>
        <v>0</v>
      </c>
      <c r="R14" s="190"/>
      <c r="S14" s="175"/>
      <c r="T14" s="201">
        <f>'15'!A62</f>
        <v>6</v>
      </c>
      <c r="U14" s="200">
        <f>'15'!B62</f>
        <v>0</v>
      </c>
      <c r="V14" s="175"/>
      <c r="W14" s="201">
        <f>'15'!A63</f>
        <v>7</v>
      </c>
      <c r="X14" s="202"/>
      <c r="Y14" s="179"/>
    </row>
    <row r="15" spans="2:25" x14ac:dyDescent="0.25">
      <c r="B15" s="168"/>
      <c r="C15" s="40"/>
      <c r="D15" s="40" t="s">
        <v>5</v>
      </c>
      <c r="E15" s="203">
        <f>'15'!A8</f>
        <v>0</v>
      </c>
      <c r="F15" s="196">
        <f>'15'!A12</f>
        <v>0</v>
      </c>
      <c r="G15" s="204"/>
      <c r="H15" s="196">
        <f>'15'!A15</f>
        <v>0</v>
      </c>
      <c r="I15" s="205"/>
      <c r="J15" s="196">
        <f>'15'!A18</f>
        <v>0</v>
      </c>
      <c r="K15" s="205"/>
      <c r="L15" s="40"/>
      <c r="M15" s="182"/>
      <c r="N15" s="182" t="s">
        <v>38</v>
      </c>
      <c r="O15" s="182"/>
      <c r="P15" s="193">
        <f>'15'!A64</f>
        <v>0</v>
      </c>
      <c r="Q15" s="189">
        <f>'15'!B64</f>
        <v>0</v>
      </c>
      <c r="R15" s="190"/>
      <c r="S15" s="175"/>
      <c r="T15" s="199">
        <f>'15'!A65</f>
        <v>0</v>
      </c>
      <c r="U15" s="206" t="str">
        <f>'15'!B65</f>
        <v>*</v>
      </c>
      <c r="V15" s="175"/>
      <c r="W15" s="207">
        <f>'15'!A66</f>
        <v>0</v>
      </c>
      <c r="X15" s="206"/>
      <c r="Y15" s="179"/>
    </row>
    <row r="16" spans="2:25" x14ac:dyDescent="0.25">
      <c r="B16" s="168"/>
      <c r="C16" s="40"/>
      <c r="D16" s="40" t="s">
        <v>6</v>
      </c>
      <c r="E16" s="208">
        <f>'15'!A9</f>
        <v>0</v>
      </c>
      <c r="F16" s="209">
        <f>'15'!A13</f>
        <v>0</v>
      </c>
      <c r="G16" s="210"/>
      <c r="H16" s="209">
        <f>'15'!A16</f>
        <v>0</v>
      </c>
      <c r="I16" s="189"/>
      <c r="J16" s="209">
        <f>'15'!A19</f>
        <v>0</v>
      </c>
      <c r="K16" s="189"/>
      <c r="L16" s="40"/>
      <c r="M16" s="182"/>
      <c r="N16" s="182" t="s">
        <v>40</v>
      </c>
      <c r="O16" s="182"/>
      <c r="P16" s="187"/>
      <c r="Q16" s="182"/>
      <c r="R16" s="182"/>
      <c r="S16" s="175"/>
      <c r="T16" s="193">
        <f>'15'!A68</f>
        <v>0</v>
      </c>
      <c r="U16" s="211" t="str">
        <f>'15'!B68</f>
        <v>*</v>
      </c>
      <c r="V16" s="175"/>
      <c r="W16" s="212">
        <f>'15'!A69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'15'!A21</f>
        <v>0</v>
      </c>
      <c r="G19" s="206">
        <f>'15'!B21</f>
        <v>0</v>
      </c>
      <c r="H19" s="218">
        <f>'15'!A24</f>
        <v>0</v>
      </c>
      <c r="I19" s="200">
        <f>'15'!B24</f>
        <v>0</v>
      </c>
      <c r="J19" s="218">
        <f>'15'!A27</f>
        <v>0</v>
      </c>
      <c r="K19" s="200">
        <f>'15'!B27</f>
        <v>0</v>
      </c>
      <c r="L19" s="40"/>
      <c r="M19" s="182" t="s">
        <v>50</v>
      </c>
      <c r="N19" s="182"/>
      <c r="O19" s="187" t="s">
        <v>51</v>
      </c>
      <c r="P19" s="219">
        <f>'15'!A57</f>
        <v>0</v>
      </c>
      <c r="Q19" s="220"/>
      <c r="R19" s="182"/>
      <c r="S19" s="216" t="s">
        <v>74</v>
      </c>
      <c r="T19" s="221">
        <f>'15'!A58</f>
        <v>3</v>
      </c>
      <c r="U19" s="220"/>
      <c r="V19" s="217" t="s">
        <v>75</v>
      </c>
      <c r="W19" s="219">
        <f>'15'!A59</f>
        <v>0</v>
      </c>
      <c r="X19" s="222"/>
      <c r="Y19" s="179"/>
    </row>
    <row r="20" spans="2:25" x14ac:dyDescent="0.25">
      <c r="B20" s="168"/>
      <c r="C20" s="40"/>
      <c r="D20" s="40" t="s">
        <v>5</v>
      </c>
      <c r="E20" s="40"/>
      <c r="F20" s="199">
        <f>'15'!A22</f>
        <v>0</v>
      </c>
      <c r="G20" s="206">
        <f>'15'!B22</f>
        <v>0</v>
      </c>
      <c r="H20" s="196">
        <f>'15'!A25</f>
        <v>0</v>
      </c>
      <c r="I20" s="206">
        <f>'15'!B25</f>
        <v>0</v>
      </c>
      <c r="J20" s="196">
        <f>'15'!A28</f>
        <v>0</v>
      </c>
      <c r="K20" s="206">
        <f>'15'!B28</f>
        <v>0</v>
      </c>
      <c r="L20" s="40"/>
      <c r="M20" s="224" t="s">
        <v>52</v>
      </c>
      <c r="N20" s="223"/>
      <c r="O20" s="224"/>
      <c r="P20" s="199">
        <f>'15'!A75</f>
        <v>0</v>
      </c>
      <c r="Q20" s="225"/>
      <c r="R20" s="224"/>
      <c r="S20" s="182" t="s">
        <v>65</v>
      </c>
      <c r="T20" s="226"/>
      <c r="U20" s="227"/>
      <c r="V20" s="226"/>
      <c r="W20" s="199">
        <f>'15'!A76</f>
        <v>1</v>
      </c>
      <c r="X20" s="202"/>
      <c r="Y20" s="179"/>
    </row>
    <row r="21" spans="2:25" x14ac:dyDescent="0.25">
      <c r="B21" s="168"/>
      <c r="C21" s="40"/>
      <c r="D21" s="40" t="s">
        <v>6</v>
      </c>
      <c r="E21" s="40"/>
      <c r="F21" s="193">
        <f>'15'!A23</f>
        <v>0</v>
      </c>
      <c r="G21" s="211">
        <f>'15'!B23</f>
        <v>0</v>
      </c>
      <c r="H21" s="209">
        <f>'15'!A26</f>
        <v>0</v>
      </c>
      <c r="I21" s="211">
        <f>'15'!B26</f>
        <v>0</v>
      </c>
      <c r="J21" s="209">
        <f>'15'!A29</f>
        <v>0</v>
      </c>
      <c r="K21" s="211">
        <f>'15'!B29</f>
        <v>0</v>
      </c>
      <c r="L21" s="40"/>
      <c r="M21" s="182" t="s">
        <v>53</v>
      </c>
      <c r="N21" s="175"/>
      <c r="O21" s="182"/>
      <c r="P21" s="193">
        <f>'15'!A77</f>
        <v>0</v>
      </c>
      <c r="Q21" s="228"/>
      <c r="R21" s="196"/>
      <c r="S21" s="182" t="s">
        <v>66</v>
      </c>
      <c r="T21" s="182"/>
      <c r="U21" s="182"/>
      <c r="V21" s="182"/>
      <c r="W21" s="193">
        <f>'15'!A78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'15'!A31</f>
        <v>0</v>
      </c>
      <c r="G24" s="200">
        <f>'15'!B31</f>
        <v>0</v>
      </c>
      <c r="H24" s="218">
        <f>'15'!A34</f>
        <v>0</v>
      </c>
      <c r="I24" s="200">
        <f>'15'!B34</f>
        <v>0</v>
      </c>
      <c r="J24" s="218">
        <f>'15'!A37</f>
        <v>0</v>
      </c>
      <c r="K24" s="200">
        <f>'15'!B37</f>
        <v>0</v>
      </c>
      <c r="L24" s="40"/>
      <c r="M24" s="182" t="s">
        <v>55</v>
      </c>
      <c r="N24" s="182"/>
      <c r="O24" s="182"/>
      <c r="P24" s="201">
        <f>'15'!A81</f>
        <v>2</v>
      </c>
      <c r="Q24" s="206">
        <f>'15'!B81</f>
        <v>0</v>
      </c>
      <c r="R24" s="196"/>
      <c r="S24" s="182" t="s">
        <v>67</v>
      </c>
      <c r="T24" s="182"/>
      <c r="U24" s="182"/>
      <c r="V24" s="182"/>
      <c r="W24" s="219">
        <f>'15'!A82</f>
        <v>9</v>
      </c>
      <c r="X24" s="222">
        <f>'15'!B82</f>
        <v>0</v>
      </c>
      <c r="Y24" s="179"/>
    </row>
    <row r="25" spans="2:25" x14ac:dyDescent="0.25">
      <c r="B25" s="168"/>
      <c r="C25" s="40" t="s">
        <v>37</v>
      </c>
      <c r="D25" s="40" t="s">
        <v>38</v>
      </c>
      <c r="E25" s="40"/>
      <c r="F25" s="199">
        <f>'15'!A32</f>
        <v>0</v>
      </c>
      <c r="G25" s="206">
        <f>'15'!B32</f>
        <v>0</v>
      </c>
      <c r="H25" s="196">
        <f>'15'!A35</f>
        <v>0</v>
      </c>
      <c r="I25" s="206">
        <f>'15'!B35</f>
        <v>0</v>
      </c>
      <c r="J25" s="196">
        <f>'15'!A38</f>
        <v>0</v>
      </c>
      <c r="K25" s="206">
        <f>'15'!B38</f>
        <v>0</v>
      </c>
      <c r="L25" s="40"/>
      <c r="M25" s="182" t="s">
        <v>56</v>
      </c>
      <c r="N25" s="182"/>
      <c r="O25" s="182"/>
      <c r="P25" s="230">
        <f>'15'!A83/100</f>
        <v>9</v>
      </c>
      <c r="Q25" s="206">
        <f>'15'!B83</f>
        <v>0</v>
      </c>
      <c r="R25" s="196"/>
      <c r="S25" s="175"/>
      <c r="T25" s="182"/>
      <c r="U25" s="182"/>
      <c r="V25" s="182"/>
      <c r="W25" s="196"/>
      <c r="X25" s="184"/>
      <c r="Y25" s="179"/>
    </row>
    <row r="26" spans="2:25" x14ac:dyDescent="0.25">
      <c r="B26" s="168"/>
      <c r="C26" s="40" t="s">
        <v>39</v>
      </c>
      <c r="D26" s="40" t="s">
        <v>40</v>
      </c>
      <c r="E26" s="40"/>
      <c r="F26" s="193">
        <f>'15'!A33</f>
        <v>0</v>
      </c>
      <c r="G26" s="211">
        <f>'15'!B33</f>
        <v>0</v>
      </c>
      <c r="H26" s="209">
        <f>'15'!A36</f>
        <v>0</v>
      </c>
      <c r="I26" s="211">
        <f>'15'!B36</f>
        <v>0</v>
      </c>
      <c r="J26" s="193">
        <f>'15'!A39</f>
        <v>0</v>
      </c>
      <c r="K26" s="211">
        <f>'15'!B39</f>
        <v>0</v>
      </c>
      <c r="L26" s="40"/>
      <c r="M26" s="182" t="s">
        <v>57</v>
      </c>
      <c r="N26" s="182"/>
      <c r="O26" s="182"/>
      <c r="P26" s="193">
        <f>'15'!A85</f>
        <v>40</v>
      </c>
      <c r="Q26" s="211">
        <f>'15'!B85</f>
        <v>0</v>
      </c>
      <c r="R26" s="231"/>
      <c r="S26" s="182" t="s">
        <v>68</v>
      </c>
      <c r="T26" s="175"/>
      <c r="U26" s="182"/>
      <c r="V26" s="182"/>
      <c r="W26" s="219">
        <f>'15'!A86</f>
        <v>1</v>
      </c>
      <c r="X26" s="232">
        <f>'15'!B86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'15'!A41</f>
        <v>0</v>
      </c>
      <c r="G29" s="198"/>
      <c r="H29" s="218">
        <f>'15'!A42</f>
        <v>0</v>
      </c>
      <c r="I29" s="198"/>
      <c r="J29" s="218">
        <f>'15'!A43</f>
        <v>0</v>
      </c>
      <c r="K29" s="237"/>
      <c r="L29" s="40"/>
      <c r="M29" s="182" t="s">
        <v>59</v>
      </c>
      <c r="N29" s="182"/>
      <c r="O29" s="182"/>
      <c r="P29" s="201">
        <f>'15'!A91</f>
        <v>0</v>
      </c>
      <c r="Q29" s="206">
        <f>'15'!B91</f>
        <v>0</v>
      </c>
      <c r="R29" s="196"/>
      <c r="S29" s="182" t="s">
        <v>69</v>
      </c>
      <c r="T29" s="182"/>
      <c r="U29" s="182"/>
      <c r="V29" s="182"/>
      <c r="W29" s="201">
        <f>'15'!A92</f>
        <v>0</v>
      </c>
      <c r="X29" s="200">
        <f>'15'!B92</f>
        <v>0</v>
      </c>
      <c r="Y29" s="179"/>
    </row>
    <row r="30" spans="2:25" x14ac:dyDescent="0.25">
      <c r="B30" s="168"/>
      <c r="C30" s="40" t="s">
        <v>43</v>
      </c>
      <c r="D30" s="40"/>
      <c r="E30" s="196"/>
      <c r="F30" s="199">
        <f>'15'!A44</f>
        <v>25</v>
      </c>
      <c r="G30" s="205"/>
      <c r="H30" s="196">
        <f>'15'!A45</f>
        <v>20</v>
      </c>
      <c r="I30" s="205"/>
      <c r="J30" s="196">
        <f>'15'!A46</f>
        <v>15</v>
      </c>
      <c r="K30" s="179"/>
      <c r="L30" s="40"/>
      <c r="M30" s="182" t="s">
        <v>60</v>
      </c>
      <c r="N30" s="182"/>
      <c r="O30" s="182"/>
      <c r="P30" s="199">
        <f>'15'!A93</f>
        <v>0</v>
      </c>
      <c r="Q30" s="206">
        <f>'15'!B93</f>
        <v>0</v>
      </c>
      <c r="R30" s="196"/>
      <c r="S30" s="175" t="s">
        <v>70</v>
      </c>
      <c r="T30" s="182"/>
      <c r="U30" s="182"/>
      <c r="V30" s="182"/>
      <c r="W30" s="199">
        <f>'15'!A94</f>
        <v>2400</v>
      </c>
      <c r="X30" s="206">
        <f>'15'!B94</f>
        <v>0</v>
      </c>
      <c r="Y30" s="179"/>
    </row>
    <row r="31" spans="2:25" x14ac:dyDescent="0.25">
      <c r="B31" s="168"/>
      <c r="C31" s="40" t="s">
        <v>44</v>
      </c>
      <c r="D31" s="175"/>
      <c r="E31" s="175"/>
      <c r="F31" s="199">
        <f>'15'!A47</f>
        <v>100</v>
      </c>
      <c r="G31" s="202"/>
      <c r="H31" s="199">
        <f>'15'!A48</f>
        <v>155</v>
      </c>
      <c r="I31" s="202"/>
      <c r="J31" s="199">
        <f>'15'!A49</f>
        <v>300</v>
      </c>
      <c r="K31" s="202"/>
      <c r="L31" s="40"/>
      <c r="M31" s="182" t="s">
        <v>61</v>
      </c>
      <c r="N31" s="182"/>
      <c r="O31" s="182"/>
      <c r="P31" s="199">
        <f>'15'!A73</f>
        <v>2</v>
      </c>
      <c r="Q31" s="206">
        <f>'15'!B73</f>
        <v>0</v>
      </c>
      <c r="R31" s="196"/>
      <c r="S31" s="182" t="s">
        <v>71</v>
      </c>
      <c r="T31" s="182"/>
      <c r="U31" s="182"/>
      <c r="V31" s="182"/>
      <c r="W31" s="199">
        <f>'15'!A74</f>
        <v>0</v>
      </c>
      <c r="X31" s="206">
        <f>'15'!B74</f>
        <v>0</v>
      </c>
      <c r="Y31" s="179"/>
    </row>
    <row r="32" spans="2:25" x14ac:dyDescent="0.25">
      <c r="B32" s="168"/>
      <c r="C32" s="269" t="s">
        <v>45</v>
      </c>
      <c r="D32" s="40"/>
      <c r="E32" s="196"/>
      <c r="F32" s="193">
        <f>'15'!A51</f>
        <v>0</v>
      </c>
      <c r="G32" s="211">
        <f>'15'!B51</f>
        <v>0</v>
      </c>
      <c r="H32" s="209">
        <f>'15'!A52</f>
        <v>0</v>
      </c>
      <c r="I32" s="211">
        <f>'15'!B52</f>
        <v>0</v>
      </c>
      <c r="J32" s="209">
        <f>'15'!A53</f>
        <v>0</v>
      </c>
      <c r="K32" s="211">
        <f>'15'!B53</f>
        <v>0</v>
      </c>
      <c r="L32" s="40"/>
      <c r="M32" s="44" t="s">
        <v>62</v>
      </c>
      <c r="N32" s="182"/>
      <c r="O32" s="182"/>
      <c r="P32" s="193">
        <f>'15'!A72</f>
        <v>500</v>
      </c>
      <c r="Q32" s="211">
        <f>'15'!B72</f>
        <v>0</v>
      </c>
      <c r="R32" s="196"/>
      <c r="S32" s="182" t="s">
        <v>72</v>
      </c>
      <c r="T32" s="182"/>
      <c r="U32" s="182"/>
      <c r="V32" s="182"/>
      <c r="W32" s="193">
        <f>'15'!A99</f>
        <v>0</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'15'!A54</f>
        <v>0</v>
      </c>
      <c r="G35" s="238">
        <f>'15'!B54</f>
        <v>0</v>
      </c>
      <c r="H35" s="188">
        <f>'15'!A55</f>
        <v>0</v>
      </c>
      <c r="I35" s="238">
        <f>'15'!B55</f>
        <v>0</v>
      </c>
      <c r="J35" s="188">
        <f>'15'!A56</f>
        <v>0</v>
      </c>
      <c r="K35" s="238">
        <f>'15'!B56</f>
        <v>0</v>
      </c>
      <c r="L35" s="40"/>
      <c r="M35" s="182" t="s">
        <v>64</v>
      </c>
      <c r="N35" s="182"/>
      <c r="O35" s="182"/>
      <c r="P35" s="219">
        <f>'15'!A97</f>
        <v>0</v>
      </c>
      <c r="Q35" s="239"/>
      <c r="R35" s="182"/>
      <c r="S35" s="182" t="s">
        <v>73</v>
      </c>
      <c r="T35" s="182"/>
      <c r="U35" s="182"/>
      <c r="V35" s="182"/>
      <c r="W35" s="219">
        <f>'15'!A98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8" tint="0.79998168889431442"/>
    <pageSetUpPr fitToPage="1"/>
  </sheetPr>
  <dimension ref="A1:AL65"/>
  <sheetViews>
    <sheetView showGridLines="0" workbookViewId="0">
      <selection activeCell="AH31" sqref="AH31"/>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'15'!A1</f>
        <v>1</v>
      </c>
      <c r="F1" s="512" t="s">
        <v>87</v>
      </c>
      <c r="H1" s="172">
        <f>'15'!A2</f>
        <v>1</v>
      </c>
      <c r="M1" s="513" t="s">
        <v>88</v>
      </c>
      <c r="T1" s="170" t="s">
        <v>81</v>
      </c>
      <c r="U1" s="172">
        <f>'15'!A4</f>
        <v>2016</v>
      </c>
      <c r="V1" s="164"/>
      <c r="W1" s="171" t="s">
        <v>80</v>
      </c>
      <c r="X1" s="172">
        <f>'15'!A5</f>
        <v>2</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'15'!A108</f>
        <v>0</v>
      </c>
      <c r="V6" s="251"/>
      <c r="W6" s="196">
        <f>'15'!A109</f>
        <v>0</v>
      </c>
      <c r="X6" s="182"/>
      <c r="Y6" s="199">
        <f>'15'!A110</f>
        <v>0</v>
      </c>
      <c r="Z6" s="182"/>
      <c r="AA6" s="179"/>
      <c r="AC6" s="40"/>
      <c r="AD6" s="40"/>
      <c r="AE6" s="40"/>
      <c r="AF6" s="196"/>
      <c r="AG6" s="182"/>
      <c r="AH6" s="196"/>
      <c r="AI6" s="182"/>
      <c r="AJ6" s="196"/>
      <c r="AK6" s="182"/>
      <c r="AL6" s="40"/>
    </row>
    <row r="7" spans="2:38" x14ac:dyDescent="0.2">
      <c r="B7" s="244"/>
      <c r="C7" s="175" t="s">
        <v>91</v>
      </c>
      <c r="F7" s="40"/>
      <c r="G7" s="252">
        <f>'15'!A281</f>
        <v>1000</v>
      </c>
      <c r="H7" s="179"/>
      <c r="I7" s="40"/>
      <c r="J7" s="244"/>
      <c r="K7" s="40" t="s">
        <v>129</v>
      </c>
      <c r="L7" s="40"/>
      <c r="M7" s="40"/>
      <c r="N7" s="253">
        <f>'15'!A191</f>
        <v>0</v>
      </c>
      <c r="O7" s="253">
        <f>'15'!A192</f>
        <v>0</v>
      </c>
      <c r="P7" s="179"/>
      <c r="R7" s="244"/>
      <c r="S7" s="40" t="s">
        <v>161</v>
      </c>
      <c r="T7" s="40"/>
      <c r="U7" s="199">
        <f>'15'!A111</f>
        <v>0</v>
      </c>
      <c r="V7" s="251"/>
      <c r="W7" s="196">
        <f>'15'!A112</f>
        <v>0</v>
      </c>
      <c r="X7" s="182"/>
      <c r="Y7" s="199">
        <f>'15'!A113</f>
        <v>0</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'15'!A193</f>
        <v>2</v>
      </c>
      <c r="O8" s="253">
        <f>'15'!A194</f>
        <v>0</v>
      </c>
      <c r="P8" s="179"/>
      <c r="R8" s="244"/>
      <c r="S8" s="40" t="s">
        <v>162</v>
      </c>
      <c r="T8" s="40"/>
      <c r="U8" s="199">
        <f>'15'!A114</f>
        <v>0</v>
      </c>
      <c r="V8" s="251"/>
      <c r="W8" s="196">
        <f>'15'!A115</f>
        <v>0</v>
      </c>
      <c r="X8" s="182"/>
      <c r="Y8" s="199">
        <f>'15'!A116</f>
        <v>0</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'15'!A82</f>
        <v>9</v>
      </c>
      <c r="O9" s="253"/>
      <c r="P9" s="179"/>
      <c r="R9" s="244"/>
      <c r="S9" s="40" t="s">
        <v>163</v>
      </c>
      <c r="T9" s="40"/>
      <c r="U9" s="199">
        <f>'15'!A117</f>
        <v>0</v>
      </c>
      <c r="V9" s="254">
        <f>'15'!B117</f>
        <v>0</v>
      </c>
      <c r="W9" s="196">
        <f>'15'!A118</f>
        <v>0</v>
      </c>
      <c r="X9" s="184">
        <f>'15'!B118</f>
        <v>0</v>
      </c>
      <c r="Y9" s="199">
        <f>'15'!A119</f>
        <v>0</v>
      </c>
      <c r="Z9" s="184">
        <f>'15'!B119</f>
        <v>0</v>
      </c>
      <c r="AA9" s="179"/>
      <c r="AC9" s="40"/>
      <c r="AD9" s="40"/>
      <c r="AE9" s="40"/>
      <c r="AF9" s="196"/>
      <c r="AG9" s="184"/>
      <c r="AH9" s="196"/>
      <c r="AI9" s="184"/>
      <c r="AJ9" s="196"/>
      <c r="AK9" s="184"/>
      <c r="AL9" s="40"/>
    </row>
    <row r="10" spans="2:38" x14ac:dyDescent="0.2">
      <c r="B10" s="244"/>
      <c r="C10" s="175" t="s">
        <v>94</v>
      </c>
      <c r="F10" s="40"/>
      <c r="G10" s="252">
        <f>'15'!A284</f>
        <v>500</v>
      </c>
      <c r="H10" s="179"/>
      <c r="I10" s="40"/>
      <c r="J10" s="244"/>
      <c r="K10" s="182" t="s">
        <v>132</v>
      </c>
      <c r="L10" s="40"/>
      <c r="M10" s="40"/>
      <c r="N10" s="253">
        <f>'15'!A195</f>
        <v>0</v>
      </c>
      <c r="O10" s="253">
        <f>'15'!A196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'15'!A285</f>
        <v>50</v>
      </c>
      <c r="H12" s="179"/>
      <c r="I12" s="40"/>
      <c r="J12" s="244"/>
      <c r="K12" s="40" t="s">
        <v>134</v>
      </c>
      <c r="L12" s="40"/>
      <c r="M12" s="40"/>
      <c r="N12" s="255">
        <f>'15'!A197</f>
        <v>11</v>
      </c>
      <c r="O12" s="255">
        <f>'15'!A198</f>
        <v>0</v>
      </c>
      <c r="P12" s="179"/>
      <c r="R12" s="244"/>
      <c r="S12" s="182" t="s">
        <v>165</v>
      </c>
      <c r="T12" s="40"/>
      <c r="U12" s="199">
        <f>'15'!A121</f>
        <v>0</v>
      </c>
      <c r="V12" s="251"/>
      <c r="W12" s="199">
        <f>'15'!A124</f>
        <v>0</v>
      </c>
      <c r="X12" s="182"/>
      <c r="Y12" s="199">
        <f>'15'!A127</f>
        <v>0</v>
      </c>
      <c r="Z12" s="182"/>
      <c r="AA12" s="179"/>
      <c r="AC12" s="40"/>
      <c r="AD12" s="182"/>
      <c r="AE12" s="40"/>
      <c r="AF12" s="196"/>
      <c r="AG12" s="182"/>
      <c r="AH12" s="196"/>
      <c r="AI12" s="182"/>
      <c r="AJ12" s="196"/>
      <c r="AK12" s="182"/>
      <c r="AL12" s="40"/>
    </row>
    <row r="13" spans="2:38" ht="13.2" x14ac:dyDescent="0.3">
      <c r="B13" s="244"/>
      <c r="C13" s="175" t="s">
        <v>97</v>
      </c>
      <c r="F13" s="40"/>
      <c r="G13" s="252">
        <f>'15'!A286</f>
        <v>110</v>
      </c>
      <c r="H13" s="179"/>
      <c r="I13" s="40"/>
      <c r="J13" s="245"/>
      <c r="K13" s="214"/>
      <c r="L13" s="214"/>
      <c r="M13" s="214"/>
      <c r="N13" s="214"/>
      <c r="O13" s="214"/>
      <c r="P13" s="229"/>
      <c r="R13" s="244"/>
      <c r="S13" s="256" t="s">
        <v>166</v>
      </c>
      <c r="T13" s="40"/>
      <c r="U13" s="199">
        <f>'15'!A122</f>
        <v>0</v>
      </c>
      <c r="V13" s="251"/>
      <c r="W13" s="199">
        <f>'15'!A125</f>
        <v>0</v>
      </c>
      <c r="X13" s="182"/>
      <c r="Y13" s="199">
        <f>'15'!A128</f>
        <v>0</v>
      </c>
      <c r="Z13" s="182"/>
      <c r="AA13" s="179"/>
      <c r="AC13" s="40"/>
      <c r="AD13" s="256"/>
      <c r="AE13" s="40"/>
      <c r="AF13" s="196"/>
      <c r="AG13" s="182"/>
      <c r="AH13" s="196"/>
      <c r="AI13" s="182"/>
      <c r="AJ13" s="196"/>
      <c r="AK13" s="182"/>
      <c r="AL13" s="40"/>
    </row>
    <row r="14" spans="2:38" x14ac:dyDescent="0.2">
      <c r="B14" s="244"/>
      <c r="C14" s="175" t="s">
        <v>98</v>
      </c>
      <c r="F14" s="40"/>
      <c r="G14" s="257">
        <f>'15'!A287</f>
        <v>0</v>
      </c>
      <c r="H14" s="179"/>
      <c r="I14" s="40"/>
      <c r="J14" s="244"/>
      <c r="K14" s="40"/>
      <c r="L14" s="40"/>
      <c r="M14" s="40"/>
      <c r="N14" s="40"/>
      <c r="O14" s="213"/>
      <c r="P14" s="179"/>
      <c r="R14" s="244"/>
      <c r="S14" s="182" t="s">
        <v>167</v>
      </c>
      <c r="T14" s="40"/>
      <c r="U14" s="199">
        <f>'15'!A123</f>
        <v>0</v>
      </c>
      <c r="V14" s="251"/>
      <c r="W14" s="199">
        <f>'15'!A126</f>
        <v>0</v>
      </c>
      <c r="X14" s="182"/>
      <c r="Y14" s="199">
        <f>'15'!A129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215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'15'!A305</f>
        <v>0</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'15'!A306</f>
        <v>0</v>
      </c>
      <c r="P17" s="254">
        <f>'15'!B307</f>
        <v>0</v>
      </c>
      <c r="R17" s="244"/>
      <c r="S17" s="40" t="s">
        <v>169</v>
      </c>
      <c r="T17" s="40"/>
      <c r="U17" s="199">
        <f>'15'!A131</f>
        <v>0</v>
      </c>
      <c r="V17" s="251"/>
      <c r="W17" s="199">
        <f>'15'!A134</f>
        <v>0</v>
      </c>
      <c r="X17" s="182"/>
      <c r="Y17" s="199">
        <f>'15'!A137</f>
        <v>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'15'!A291</f>
        <v>0</v>
      </c>
      <c r="H18" s="179"/>
      <c r="I18" s="40"/>
      <c r="J18" s="244"/>
      <c r="K18" s="182" t="s">
        <v>107</v>
      </c>
      <c r="L18" s="40"/>
      <c r="M18" s="40"/>
      <c r="N18" s="40"/>
      <c r="O18" s="252">
        <f>'15'!A307</f>
        <v>0</v>
      </c>
      <c r="P18" s="179"/>
      <c r="R18" s="244"/>
      <c r="S18" s="259" t="s">
        <v>170</v>
      </c>
      <c r="T18" s="40"/>
      <c r="U18" s="199">
        <f>'15'!A132</f>
        <v>0</v>
      </c>
      <c r="V18" s="251"/>
      <c r="W18" s="199">
        <f>'15'!A135</f>
        <v>0</v>
      </c>
      <c r="X18" s="182"/>
      <c r="Y18" s="199">
        <f>'15'!A138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'15'!A292</f>
        <v>0</v>
      </c>
      <c r="H19" s="179"/>
      <c r="I19" s="40"/>
      <c r="J19" s="244"/>
      <c r="P19" s="179"/>
      <c r="R19" s="244"/>
      <c r="S19" s="40" t="s">
        <v>18</v>
      </c>
      <c r="T19" s="40"/>
      <c r="U19" s="199">
        <f>'15'!A133</f>
        <v>0</v>
      </c>
      <c r="V19" s="251"/>
      <c r="W19" s="199">
        <f>'15'!A136</f>
        <v>0</v>
      </c>
      <c r="X19" s="182"/>
      <c r="Y19" s="199">
        <f>'15'!A139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'15'!A293</f>
        <v>2</v>
      </c>
      <c r="H20" s="179"/>
      <c r="I20" s="40"/>
      <c r="J20" s="244"/>
      <c r="K20" s="40" t="s">
        <v>138</v>
      </c>
      <c r="L20" s="40"/>
      <c r="M20" s="40"/>
      <c r="N20" s="40"/>
      <c r="O20" s="196">
        <f>'15'!A308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'15'!A294</f>
        <v>2</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'15'!A141</f>
        <v>0</v>
      </c>
      <c r="V22" s="251"/>
      <c r="W22" s="199">
        <f>'15'!A144</f>
        <v>0</v>
      </c>
      <c r="X22" s="182"/>
      <c r="Y22" s="199">
        <f>'15'!A147</f>
        <v>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'15'!A301</f>
        <v>0</v>
      </c>
      <c r="H23" s="205"/>
      <c r="I23" s="40"/>
      <c r="R23" s="244"/>
      <c r="S23" s="259" t="s">
        <v>170</v>
      </c>
      <c r="T23" s="40"/>
      <c r="U23" s="199">
        <f>'15'!A142</f>
        <v>0</v>
      </c>
      <c r="V23" s="251"/>
      <c r="W23" s="199">
        <f>'15'!A145</f>
        <v>0</v>
      </c>
      <c r="X23" s="182"/>
      <c r="Y23" s="199">
        <f>'15'!A148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'15'!A302</f>
        <v>0</v>
      </c>
      <c r="H24" s="260">
        <f>'15'!B302</f>
        <v>0</v>
      </c>
      <c r="I24" s="40"/>
      <c r="J24" s="243"/>
      <c r="K24" s="227"/>
      <c r="L24" s="227"/>
      <c r="M24" s="227"/>
      <c r="N24" s="188"/>
      <c r="O24" s="188"/>
      <c r="P24" s="237"/>
      <c r="R24" s="244"/>
      <c r="S24" s="40" t="s">
        <v>18</v>
      </c>
      <c r="T24" s="40"/>
      <c r="U24" s="199">
        <f>'15'!A143</f>
        <v>0</v>
      </c>
      <c r="V24" s="251"/>
      <c r="W24" s="199">
        <f>'15'!A146</f>
        <v>0</v>
      </c>
      <c r="X24" s="182"/>
      <c r="Y24" s="199">
        <f>'15'!A149</f>
        <v>0</v>
      </c>
      <c r="Z24" s="182"/>
      <c r="AA24" s="179"/>
      <c r="AC24" s="40"/>
      <c r="AD24" s="40"/>
      <c r="AE24" s="40"/>
      <c r="AF24" s="196"/>
      <c r="AG24" s="182"/>
      <c r="AH24" s="196"/>
      <c r="AI24" s="182"/>
      <c r="AJ24" s="196"/>
      <c r="AK24" s="182"/>
      <c r="AL24" s="40"/>
    </row>
    <row r="25" spans="2:38" ht="12" x14ac:dyDescent="0.25">
      <c r="B25" s="244"/>
      <c r="C25" s="182" t="s">
        <v>107</v>
      </c>
      <c r="G25" s="196">
        <f>'15'!A303</f>
        <v>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G19*'15'!A75-G24</f>
        <v>0</v>
      </c>
      <c r="H26" s="179"/>
      <c r="I26" s="40"/>
      <c r="J26" s="244"/>
      <c r="K26" s="182" t="s">
        <v>142</v>
      </c>
      <c r="L26" s="40"/>
      <c r="M26" s="253">
        <f>'15'!A321</f>
        <v>0</v>
      </c>
      <c r="N26" s="253">
        <f>'15'!A322</f>
        <v>0</v>
      </c>
      <c r="O26" s="196">
        <f>IF('15'!A327&gt;0,1,0)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'15'!A304</f>
        <v>100</v>
      </c>
      <c r="H27" s="179"/>
      <c r="I27" s="40"/>
      <c r="J27" s="244"/>
      <c r="K27" s="182" t="s">
        <v>143</v>
      </c>
      <c r="L27" s="40"/>
      <c r="M27" s="253">
        <f>'15'!A323</f>
        <v>0</v>
      </c>
      <c r="N27" s="253">
        <f>'15'!A324</f>
        <v>0</v>
      </c>
      <c r="O27" s="196"/>
      <c r="P27" s="261"/>
      <c r="R27" s="244"/>
      <c r="S27" s="40" t="s">
        <v>169</v>
      </c>
      <c r="T27" s="40"/>
      <c r="U27" s="199">
        <f>'15'!A151</f>
        <v>0</v>
      </c>
      <c r="V27" s="251"/>
      <c r="W27" s="199">
        <f>'15'!A154</f>
        <v>0</v>
      </c>
      <c r="X27" s="182"/>
      <c r="Y27" s="199">
        <f>'15'!A157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'15'!A152</f>
        <v>0</v>
      </c>
      <c r="V28" s="251"/>
      <c r="W28" s="199">
        <f>'15'!A155</f>
        <v>0</v>
      </c>
      <c r="X28" s="182"/>
      <c r="Y28" s="199">
        <f>'15'!A158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2</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'15'!A311</f>
        <v>0</v>
      </c>
      <c r="H30" s="179"/>
      <c r="I30" s="40"/>
      <c r="J30" s="244"/>
      <c r="K30" s="182" t="s">
        <v>146</v>
      </c>
      <c r="L30" s="40"/>
      <c r="M30" s="255">
        <f>'15'!A325</f>
        <v>2</v>
      </c>
      <c r="N30" s="255">
        <f>'15'!A326</f>
        <v>0</v>
      </c>
      <c r="O30" s="193">
        <f>IF('15'!A328&gt;0,1,0)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1000*'15'!A57+'15'!A312</f>
        <v>0</v>
      </c>
      <c r="H31" s="179"/>
      <c r="I31" s="40"/>
      <c r="J31" s="245"/>
      <c r="K31" s="214"/>
      <c r="L31" s="214"/>
      <c r="M31" s="214"/>
      <c r="N31" s="214"/>
      <c r="O31" s="214"/>
      <c r="P31" s="229"/>
      <c r="R31" s="244"/>
      <c r="S31" s="40" t="s">
        <v>169</v>
      </c>
      <c r="T31" s="40"/>
      <c r="U31" s="199">
        <f>'15'!A161</f>
        <v>0</v>
      </c>
      <c r="V31" s="251"/>
      <c r="W31" s="199">
        <f>'15'!A164</f>
        <v>0</v>
      </c>
      <c r="X31" s="182"/>
      <c r="Y31" s="199">
        <f>'15'!A167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'15'!A313</f>
        <v>0</v>
      </c>
      <c r="H32" s="179"/>
      <c r="I32" s="40"/>
      <c r="M32" s="175" t="s">
        <v>0</v>
      </c>
      <c r="R32" s="244"/>
      <c r="S32" s="259" t="s">
        <v>170</v>
      </c>
      <c r="T32" s="40"/>
      <c r="U32" s="199">
        <f>'15'!A162</f>
        <v>0</v>
      </c>
      <c r="V32" s="251"/>
      <c r="W32" s="199">
        <f>'15'!A165</f>
        <v>0</v>
      </c>
      <c r="X32" s="182"/>
      <c r="Y32" s="199">
        <f>'15'!A168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'15'!A314</f>
        <v>0</v>
      </c>
      <c r="H33" s="263">
        <f>'15'!B313</f>
        <v>0</v>
      </c>
      <c r="I33" s="40"/>
      <c r="M33" s="40"/>
      <c r="R33" s="244"/>
      <c r="S33" s="40" t="s">
        <v>18</v>
      </c>
      <c r="T33" s="40"/>
      <c r="U33" s="199">
        <f>'15'!A163</f>
        <v>0</v>
      </c>
      <c r="V33" s="251"/>
      <c r="W33" s="199">
        <f>'15'!A166</f>
        <v>0</v>
      </c>
      <c r="X33" s="182"/>
      <c r="Y33" s="199">
        <f>'15'!A169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'15'!A315</f>
        <v>0</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'15'!A316</f>
        <v>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'15'!A295</f>
        <v>0</v>
      </c>
      <c r="N36" s="199">
        <f>'15'!A297</f>
        <v>0</v>
      </c>
      <c r="O36" s="253">
        <f>'15'!A299</f>
        <v>0</v>
      </c>
      <c r="P36" s="179"/>
      <c r="R36" s="244"/>
      <c r="S36" s="247" t="s">
        <v>174</v>
      </c>
      <c r="T36" s="264"/>
      <c r="U36" s="196">
        <f>'15'!A171</f>
        <v>0</v>
      </c>
      <c r="V36" s="254">
        <f>'15'!B171</f>
        <v>0</v>
      </c>
      <c r="W36" s="196">
        <f>'15'!A172</f>
        <v>0</v>
      </c>
      <c r="X36" s="254">
        <f>'15'!B172</f>
        <v>0</v>
      </c>
      <c r="Y36" s="196">
        <f>'15'!A173</f>
        <v>0</v>
      </c>
      <c r="Z36" s="184">
        <f>'15'!B173</f>
        <v>0</v>
      </c>
      <c r="AA36" s="179"/>
      <c r="AC36" s="40"/>
      <c r="AD36" s="247"/>
      <c r="AE36" s="247"/>
      <c r="AF36" s="196"/>
      <c r="AG36" s="184"/>
      <c r="AH36" s="196"/>
      <c r="AI36" s="184"/>
      <c r="AJ36" s="196"/>
      <c r="AK36" s="184"/>
      <c r="AL36" s="40"/>
    </row>
    <row r="37" spans="2:38" x14ac:dyDescent="0.2">
      <c r="B37" s="244"/>
      <c r="C37" s="40" t="s">
        <v>118</v>
      </c>
      <c r="D37" s="40"/>
      <c r="E37" s="40"/>
      <c r="F37" s="40"/>
      <c r="G37" s="196">
        <f>1000*'15'!A58</f>
        <v>3000</v>
      </c>
      <c r="H37" s="179"/>
      <c r="I37" s="40"/>
      <c r="J37" s="244"/>
      <c r="K37" s="40" t="s">
        <v>149</v>
      </c>
      <c r="L37" s="40"/>
      <c r="M37" s="255">
        <f>'15'!A296</f>
        <v>0</v>
      </c>
      <c r="N37" s="255">
        <f>'15'!A298</f>
        <v>0</v>
      </c>
      <c r="O37" s="255">
        <f>'15'!A300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'15'!A317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1000*'15'!A59</f>
        <v>0</v>
      </c>
      <c r="H39" s="179"/>
      <c r="I39" s="40"/>
      <c r="R39" s="244"/>
      <c r="S39" s="247" t="s">
        <v>175</v>
      </c>
      <c r="T39" s="247"/>
      <c r="U39" s="266" t="str">
        <f>'15'!A177</f>
        <v>None</v>
      </c>
      <c r="V39" s="251"/>
      <c r="W39" s="266" t="str">
        <f>'15'!A178</f>
        <v>None</v>
      </c>
      <c r="X39" s="182"/>
      <c r="Y39" s="266" t="str">
        <f>'15'!A179</f>
        <v>None</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'15'!A318</f>
        <v>0</v>
      </c>
      <c r="H42" s="179"/>
      <c r="I42" s="40"/>
      <c r="J42" s="244"/>
      <c r="K42" s="215" t="s">
        <v>150</v>
      </c>
      <c r="N42" s="177" t="s">
        <v>154</v>
      </c>
      <c r="P42" s="179"/>
      <c r="R42" s="244"/>
      <c r="S42" s="269" t="s">
        <v>177</v>
      </c>
      <c r="T42" s="40"/>
      <c r="U42" s="199">
        <f>'15'!A181</f>
        <v>0</v>
      </c>
      <c r="V42" s="251"/>
      <c r="W42" s="196">
        <f>'15'!A182</f>
        <v>0</v>
      </c>
      <c r="X42" s="182"/>
      <c r="Y42" s="199">
        <f>'15'!A183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'15'!A319</f>
        <v>0</v>
      </c>
      <c r="H43" s="179"/>
      <c r="I43" s="40"/>
      <c r="J43" s="244"/>
      <c r="K43" s="175" t="s">
        <v>151</v>
      </c>
      <c r="N43" s="271">
        <f>0.00019*50*G10</f>
        <v>4.75</v>
      </c>
      <c r="P43" s="179"/>
      <c r="R43" s="244"/>
      <c r="S43" s="269" t="s">
        <v>178</v>
      </c>
      <c r="T43" s="40"/>
      <c r="U43" s="199">
        <f>'15'!A54</f>
        <v>0</v>
      </c>
      <c r="V43" s="251"/>
      <c r="W43" s="199">
        <f>'15'!A55</f>
        <v>0</v>
      </c>
      <c r="X43" s="182"/>
      <c r="Y43" s="199">
        <f>'15'!A56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100-'15'!A320/10</f>
        <v>100</v>
      </c>
      <c r="H44" s="179"/>
      <c r="I44" s="40"/>
      <c r="J44" s="244"/>
      <c r="K44" s="175" t="s">
        <v>152</v>
      </c>
      <c r="N44" s="272">
        <f>0.00052*(6*G25+O18)</f>
        <v>0</v>
      </c>
      <c r="P44" s="179"/>
      <c r="R44" s="244"/>
      <c r="S44" s="269" t="s">
        <v>179</v>
      </c>
      <c r="T44" s="40"/>
      <c r="U44" s="199">
        <f>'15'!A184</f>
        <v>0</v>
      </c>
      <c r="V44" s="251"/>
      <c r="W44" s="196">
        <f>'15'!A185</f>
        <v>0</v>
      </c>
      <c r="X44" s="182"/>
      <c r="Y44" s="199">
        <f>'15'!A186</f>
        <v>0</v>
      </c>
      <c r="Z44" s="182"/>
      <c r="AA44" s="179"/>
      <c r="AC44" s="40"/>
      <c r="AD44" s="269"/>
      <c r="AE44" s="40"/>
      <c r="AF44" s="196"/>
      <c r="AG44" s="182"/>
      <c r="AH44" s="196"/>
      <c r="AI44" s="182"/>
      <c r="AJ44" s="196"/>
      <c r="AK44" s="182"/>
      <c r="AL44" s="40"/>
    </row>
    <row r="45" spans="2:38" x14ac:dyDescent="0.2">
      <c r="B45" s="244"/>
      <c r="C45" s="44" t="s">
        <v>125</v>
      </c>
      <c r="G45" s="175">
        <f>'15'!A329</f>
        <v>0</v>
      </c>
      <c r="H45" s="179"/>
      <c r="I45" s="40"/>
      <c r="J45" s="244"/>
      <c r="K45" s="175" t="s">
        <v>153</v>
      </c>
      <c r="N45" s="271">
        <f>N43+N44</f>
        <v>4.75</v>
      </c>
      <c r="P45" s="179"/>
      <c r="R45" s="244"/>
      <c r="S45" s="269" t="s">
        <v>180</v>
      </c>
      <c r="T45" s="40"/>
      <c r="U45" s="199">
        <f>'15'!A187</f>
        <v>0</v>
      </c>
      <c r="V45" s="251"/>
      <c r="W45" s="196">
        <f>'15'!A188</f>
        <v>0</v>
      </c>
      <c r="X45" s="182"/>
      <c r="Y45" s="199">
        <f>'15'!A189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theme="8" tint="0.79998168889431442"/>
  </sheetPr>
  <dimension ref="A1:Z59"/>
  <sheetViews>
    <sheetView showGridLines="0" workbookViewId="0">
      <selection activeCell="R33" sqref="R33"/>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'15'!A1</f>
        <v>1</v>
      </c>
      <c r="F1" s="512" t="s">
        <v>285</v>
      </c>
      <c r="G1" s="175"/>
      <c r="I1" s="172">
        <f>'15'!A2</f>
        <v>1</v>
      </c>
      <c r="J1" s="175"/>
      <c r="K1" s="175"/>
      <c r="L1" s="175"/>
      <c r="M1" s="513" t="s">
        <v>284</v>
      </c>
      <c r="N1" s="175"/>
      <c r="O1" s="175"/>
      <c r="P1" s="175"/>
      <c r="Q1" s="175"/>
      <c r="S1" s="175"/>
      <c r="U1" s="170" t="s">
        <v>81</v>
      </c>
      <c r="V1" s="172">
        <f>'15'!A4</f>
        <v>2016</v>
      </c>
      <c r="W1" s="171" t="s">
        <v>80</v>
      </c>
      <c r="X1" s="172">
        <f>'15'!A5</f>
        <v>2</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'15'!A201</f>
        <v>15000</v>
      </c>
      <c r="G8" s="283"/>
      <c r="H8" s="45"/>
      <c r="I8" s="45" t="s">
        <v>207</v>
      </c>
      <c r="J8" s="45"/>
      <c r="K8" s="45"/>
      <c r="L8" s="286">
        <f>'15'!A241</f>
        <v>0</v>
      </c>
      <c r="M8" s="283"/>
      <c r="N8" s="45"/>
      <c r="O8" s="268" t="s">
        <v>234</v>
      </c>
      <c r="P8" s="268"/>
      <c r="Q8" s="45"/>
      <c r="R8" s="45"/>
      <c r="S8" s="283"/>
      <c r="T8" s="45"/>
      <c r="U8" s="290" t="s">
        <v>260</v>
      </c>
      <c r="Y8" s="283"/>
    </row>
    <row r="9" spans="2:26" ht="12" x14ac:dyDescent="0.3">
      <c r="B9" s="281"/>
      <c r="C9" s="325" t="s">
        <v>184</v>
      </c>
      <c r="D9" s="45"/>
      <c r="E9" s="45"/>
      <c r="F9" s="286">
        <f>'15'!A202</f>
        <v>0</v>
      </c>
      <c r="G9" s="283"/>
      <c r="H9" s="45"/>
      <c r="I9" s="45"/>
      <c r="J9" s="45"/>
      <c r="K9" s="45"/>
      <c r="L9" s="286"/>
      <c r="M9" s="283"/>
      <c r="N9" s="45"/>
      <c r="O9" s="242" t="s">
        <v>235</v>
      </c>
      <c r="Q9" s="289"/>
      <c r="R9" s="289">
        <f>'15'!A261</f>
        <v>50000</v>
      </c>
      <c r="S9" s="283"/>
      <c r="T9" s="45"/>
      <c r="U9" s="45" t="s">
        <v>261</v>
      </c>
      <c r="V9" s="45"/>
      <c r="W9" s="45"/>
      <c r="X9" s="286">
        <f>'15'!A221</f>
        <v>0</v>
      </c>
      <c r="Y9" s="283"/>
    </row>
    <row r="10" spans="2:26" x14ac:dyDescent="0.2">
      <c r="B10" s="281"/>
      <c r="C10" s="45" t="s">
        <v>185</v>
      </c>
      <c r="D10" s="45"/>
      <c r="E10" s="45"/>
      <c r="F10" s="286">
        <f>'15'!A203</f>
        <v>0</v>
      </c>
      <c r="G10" s="283"/>
      <c r="H10" s="45"/>
      <c r="I10" s="45" t="s">
        <v>208</v>
      </c>
      <c r="J10" s="45"/>
      <c r="K10" s="45"/>
      <c r="L10" s="286">
        <f>'15'!A242</f>
        <v>0</v>
      </c>
      <c r="M10" s="283"/>
      <c r="N10" s="45"/>
      <c r="O10" s="45" t="s">
        <v>236</v>
      </c>
      <c r="P10" s="45"/>
      <c r="Q10" s="289"/>
      <c r="R10" s="289">
        <f>'15'!A262</f>
        <v>250000</v>
      </c>
      <c r="S10" s="283"/>
      <c r="T10" s="45"/>
      <c r="U10" s="45" t="s">
        <v>220</v>
      </c>
      <c r="V10" s="45"/>
      <c r="W10" s="45"/>
      <c r="X10" s="286">
        <f>'15'!A222</f>
        <v>0</v>
      </c>
      <c r="Y10" s="283"/>
    </row>
    <row r="11" spans="2:26" x14ac:dyDescent="0.2">
      <c r="B11" s="281"/>
      <c r="C11" s="45" t="s">
        <v>186</v>
      </c>
      <c r="D11" s="45"/>
      <c r="E11" s="45"/>
      <c r="F11" s="286">
        <f>'15'!A204</f>
        <v>15000</v>
      </c>
      <c r="G11" s="283"/>
      <c r="H11" s="45"/>
      <c r="I11" s="287" t="s">
        <v>209</v>
      </c>
      <c r="L11" s="286">
        <f>'15'!A243</f>
        <v>0</v>
      </c>
      <c r="M11" s="283"/>
      <c r="N11" s="45"/>
      <c r="O11" s="45" t="s">
        <v>237</v>
      </c>
      <c r="P11" s="45"/>
      <c r="Q11" s="45"/>
      <c r="R11" s="292">
        <f>'15'!A263</f>
        <v>585000</v>
      </c>
      <c r="S11" s="283"/>
      <c r="T11" s="45"/>
      <c r="U11" s="45" t="s">
        <v>262</v>
      </c>
      <c r="V11" s="45"/>
      <c r="W11" s="45"/>
      <c r="X11" s="286">
        <f>'15'!A223</f>
        <v>288459</v>
      </c>
      <c r="Y11" s="283"/>
    </row>
    <row r="12" spans="2:26" x14ac:dyDescent="0.2">
      <c r="B12" s="281"/>
      <c r="C12" s="45" t="s">
        <v>187</v>
      </c>
      <c r="D12" s="45"/>
      <c r="E12" s="45"/>
      <c r="F12" s="286">
        <f>'15'!A205</f>
        <v>0</v>
      </c>
      <c r="G12" s="283"/>
      <c r="H12" s="45"/>
      <c r="I12" s="45" t="s">
        <v>210</v>
      </c>
      <c r="J12" s="45"/>
      <c r="K12" s="45"/>
      <c r="L12" s="286">
        <f>'15'!A244</f>
        <v>183537</v>
      </c>
      <c r="M12" s="283"/>
      <c r="N12" s="45"/>
      <c r="O12" s="45" t="s">
        <v>238</v>
      </c>
      <c r="P12" s="45"/>
      <c r="Q12" s="45"/>
      <c r="R12" s="286">
        <f>SUM(R9:R11)</f>
        <v>885000</v>
      </c>
      <c r="S12" s="283"/>
      <c r="T12" s="45"/>
      <c r="U12" s="45" t="s">
        <v>263</v>
      </c>
      <c r="V12" s="45"/>
      <c r="W12" s="45"/>
      <c r="X12" s="288">
        <f>'15'!A224</f>
        <v>0</v>
      </c>
      <c r="Y12" s="283"/>
    </row>
    <row r="13" spans="2:26" x14ac:dyDescent="0.2">
      <c r="B13" s="281"/>
      <c r="C13" s="45" t="s">
        <v>188</v>
      </c>
      <c r="D13" s="45"/>
      <c r="E13" s="45"/>
      <c r="F13" s="286">
        <f>'15'!A206</f>
        <v>0</v>
      </c>
      <c r="G13" s="283"/>
      <c r="H13" s="45"/>
      <c r="I13" s="45" t="s">
        <v>211</v>
      </c>
      <c r="J13" s="45"/>
      <c r="K13" s="45"/>
      <c r="L13" s="286">
        <f>'15'!A245</f>
        <v>0</v>
      </c>
      <c r="M13" s="283"/>
      <c r="N13" s="45"/>
      <c r="S13" s="283"/>
      <c r="T13" s="45"/>
      <c r="U13" s="287" t="s">
        <v>264</v>
      </c>
      <c r="X13" s="289">
        <f>X9+X10-X11-X12</f>
        <v>-288459</v>
      </c>
      <c r="Y13" s="283"/>
    </row>
    <row r="14" spans="2:26" x14ac:dyDescent="0.2">
      <c r="B14" s="281"/>
      <c r="C14" s="45" t="s">
        <v>189</v>
      </c>
      <c r="D14" s="45"/>
      <c r="E14" s="45"/>
      <c r="F14" s="286">
        <f>'15'!A207</f>
        <v>60000</v>
      </c>
      <c r="G14" s="283"/>
      <c r="H14" s="45"/>
      <c r="I14" s="45" t="s">
        <v>212</v>
      </c>
      <c r="J14" s="45"/>
      <c r="K14" s="45"/>
      <c r="L14" s="286">
        <f>'15'!A246</f>
        <v>0</v>
      </c>
      <c r="M14" s="283"/>
      <c r="N14" s="45"/>
      <c r="O14" s="290" t="s">
        <v>239</v>
      </c>
      <c r="S14" s="283"/>
      <c r="T14" s="45"/>
      <c r="Y14" s="283"/>
    </row>
    <row r="15" spans="2:26" ht="12" x14ac:dyDescent="0.3">
      <c r="B15" s="281"/>
      <c r="C15" s="325" t="s">
        <v>190</v>
      </c>
      <c r="D15" s="45"/>
      <c r="E15" s="45"/>
      <c r="F15" s="286">
        <f>'15'!A208</f>
        <v>0</v>
      </c>
      <c r="G15" s="283"/>
      <c r="H15" s="45"/>
      <c r="I15" s="45" t="s">
        <v>213</v>
      </c>
      <c r="J15" s="45"/>
      <c r="K15" s="45"/>
      <c r="L15" s="286">
        <f>'15'!A247</f>
        <v>0</v>
      </c>
      <c r="M15" s="283"/>
      <c r="N15" s="45"/>
      <c r="O15" s="45" t="s">
        <v>240</v>
      </c>
      <c r="P15" s="45"/>
      <c r="Q15" s="45"/>
      <c r="R15" s="286">
        <f>'15'!A265</f>
        <v>0</v>
      </c>
      <c r="S15" s="283"/>
      <c r="T15" s="45"/>
      <c r="U15" s="290" t="s">
        <v>265</v>
      </c>
      <c r="Y15" s="283"/>
    </row>
    <row r="16" spans="2:26" x14ac:dyDescent="0.2">
      <c r="B16" s="281"/>
      <c r="C16" s="45" t="s">
        <v>191</v>
      </c>
      <c r="D16" s="45"/>
      <c r="E16" s="45"/>
      <c r="F16" s="286">
        <f>'15'!A209</f>
        <v>81500</v>
      </c>
      <c r="G16" s="283"/>
      <c r="H16" s="45"/>
      <c r="I16" s="45" t="s">
        <v>214</v>
      </c>
      <c r="J16" s="45"/>
      <c r="K16" s="45"/>
      <c r="L16" s="286">
        <f>'15'!A248</f>
        <v>0</v>
      </c>
      <c r="M16" s="283"/>
      <c r="N16" s="45"/>
      <c r="O16" s="287" t="s">
        <v>241</v>
      </c>
      <c r="R16" s="286">
        <f>'15'!A266</f>
        <v>0</v>
      </c>
      <c r="S16" s="283"/>
      <c r="T16" s="45"/>
      <c r="U16" s="45" t="s">
        <v>266</v>
      </c>
      <c r="V16" s="45"/>
      <c r="W16" s="45"/>
      <c r="X16" s="286">
        <f>'15'!A225</f>
        <v>6000</v>
      </c>
      <c r="Y16" s="283"/>
    </row>
    <row r="17" spans="2:25" x14ac:dyDescent="0.2">
      <c r="B17" s="281"/>
      <c r="C17" s="45" t="s">
        <v>192</v>
      </c>
      <c r="D17" s="45"/>
      <c r="E17" s="45"/>
      <c r="F17" s="286">
        <f>'15'!A210</f>
        <v>0</v>
      </c>
      <c r="G17" s="283"/>
      <c r="H17" s="45"/>
      <c r="I17" s="45" t="s">
        <v>215</v>
      </c>
      <c r="L17" s="286">
        <f>'15'!A249</f>
        <v>0</v>
      </c>
      <c r="M17" s="283"/>
      <c r="N17" s="45"/>
      <c r="O17" s="45" t="s">
        <v>242</v>
      </c>
      <c r="P17" s="45"/>
      <c r="Q17" s="45"/>
      <c r="R17" s="286">
        <f>'15'!A267</f>
        <v>160480</v>
      </c>
      <c r="S17" s="283"/>
      <c r="T17" s="45"/>
      <c r="U17" s="45" t="s">
        <v>267</v>
      </c>
      <c r="X17" s="286">
        <f>'15'!A226</f>
        <v>0</v>
      </c>
      <c r="Y17" s="283"/>
    </row>
    <row r="18" spans="2:25" x14ac:dyDescent="0.2">
      <c r="B18" s="281"/>
      <c r="C18" s="45" t="s">
        <v>193</v>
      </c>
      <c r="D18" s="45"/>
      <c r="E18" s="45"/>
      <c r="F18" s="286">
        <f>'15'!A211</f>
        <v>0</v>
      </c>
      <c r="G18" s="283"/>
      <c r="H18" s="45"/>
      <c r="I18" s="43" t="s">
        <v>216</v>
      </c>
      <c r="J18" s="45"/>
      <c r="K18" s="45"/>
      <c r="L18" s="288">
        <f>'15'!A250</f>
        <v>160480</v>
      </c>
      <c r="M18" s="283"/>
      <c r="N18" s="45"/>
      <c r="O18" s="45" t="s">
        <v>243</v>
      </c>
      <c r="P18" s="45"/>
      <c r="Q18" s="45"/>
      <c r="R18" s="286">
        <f>'15'!A268</f>
        <v>0</v>
      </c>
      <c r="S18" s="283"/>
      <c r="T18" s="45"/>
      <c r="U18" s="45" t="s">
        <v>268</v>
      </c>
      <c r="V18" s="45"/>
      <c r="W18" s="45"/>
      <c r="X18" s="288">
        <f>'15'!A227</f>
        <v>850000</v>
      </c>
      <c r="Y18" s="283"/>
    </row>
    <row r="19" spans="2:25" x14ac:dyDescent="0.2">
      <c r="B19" s="281"/>
      <c r="C19" s="45" t="s">
        <v>194</v>
      </c>
      <c r="D19" s="45"/>
      <c r="E19" s="45"/>
      <c r="F19" s="286">
        <f>'15'!A212</f>
        <v>7500</v>
      </c>
      <c r="G19" s="283"/>
      <c r="H19" s="45"/>
      <c r="I19" s="45" t="s">
        <v>217</v>
      </c>
      <c r="J19" s="45"/>
      <c r="K19" s="45"/>
      <c r="L19" s="291">
        <f>'15'!A251</f>
        <v>23057</v>
      </c>
      <c r="M19" s="283"/>
      <c r="N19" s="45"/>
      <c r="O19" s="45" t="s">
        <v>244</v>
      </c>
      <c r="P19" s="45"/>
      <c r="Q19" s="45"/>
      <c r="R19" s="288">
        <f>'15'!A269</f>
        <v>2817541</v>
      </c>
      <c r="S19" s="283"/>
      <c r="T19" s="45"/>
      <c r="U19" s="287" t="s">
        <v>269</v>
      </c>
      <c r="X19" s="289">
        <f>X16+X17-X18</f>
        <v>-844000</v>
      </c>
      <c r="Y19" s="283"/>
    </row>
    <row r="20" spans="2:25" x14ac:dyDescent="0.2">
      <c r="B20" s="281"/>
      <c r="C20" s="45" t="s">
        <v>195</v>
      </c>
      <c r="D20" s="45"/>
      <c r="E20" s="45"/>
      <c r="F20" s="286">
        <f>'15'!A213</f>
        <v>0</v>
      </c>
      <c r="G20" s="283"/>
      <c r="H20" s="45"/>
      <c r="I20" s="45" t="s">
        <v>218</v>
      </c>
      <c r="J20" s="45"/>
      <c r="K20" s="45"/>
      <c r="L20" s="286">
        <f>'15'!A252</f>
        <v>-23057</v>
      </c>
      <c r="M20" s="283"/>
      <c r="N20" s="45"/>
      <c r="O20" s="287" t="s">
        <v>245</v>
      </c>
      <c r="R20" s="515">
        <f>SUM(R15:R19)</f>
        <v>2978021</v>
      </c>
      <c r="S20" s="283"/>
      <c r="T20" s="45"/>
      <c r="Y20" s="283"/>
    </row>
    <row r="21" spans="2:25" x14ac:dyDescent="0.2">
      <c r="B21" s="281"/>
      <c r="C21" s="45" t="s">
        <v>196</v>
      </c>
      <c r="D21" s="45"/>
      <c r="E21" s="45"/>
      <c r="F21" s="286">
        <f>'15'!A214</f>
        <v>0</v>
      </c>
      <c r="G21" s="283"/>
      <c r="H21" s="45"/>
      <c r="I21" s="45" t="s">
        <v>219</v>
      </c>
      <c r="J21" s="45"/>
      <c r="K21" s="45"/>
      <c r="L21" s="286">
        <f>'15'!A217</f>
        <v>219190</v>
      </c>
      <c r="M21" s="283"/>
      <c r="N21" s="45"/>
      <c r="O21" s="45" t="s">
        <v>246</v>
      </c>
      <c r="P21" s="45"/>
      <c r="Q21" s="45"/>
      <c r="R21" s="286">
        <f>R12+R20</f>
        <v>3863021</v>
      </c>
      <c r="S21" s="283"/>
      <c r="T21" s="45"/>
      <c r="U21" s="290" t="s">
        <v>270</v>
      </c>
      <c r="Y21" s="283"/>
    </row>
    <row r="22" spans="2:25" x14ac:dyDescent="0.2">
      <c r="B22" s="281"/>
      <c r="C22" s="45" t="s">
        <v>197</v>
      </c>
      <c r="D22" s="45"/>
      <c r="E22" s="45"/>
      <c r="F22" s="286">
        <f>'15'!A215</f>
        <v>40000</v>
      </c>
      <c r="G22" s="283"/>
      <c r="H22" s="45"/>
      <c r="I22" s="45" t="s">
        <v>220</v>
      </c>
      <c r="J22" s="45"/>
      <c r="K22" s="45"/>
      <c r="L22" s="286">
        <f>'15'!A222</f>
        <v>0</v>
      </c>
      <c r="M22" s="283"/>
      <c r="N22" s="45"/>
      <c r="S22" s="283"/>
      <c r="T22" s="45"/>
      <c r="U22" s="242" t="s">
        <v>271</v>
      </c>
      <c r="X22" s="286">
        <f>'15'!A228</f>
        <v>0</v>
      </c>
      <c r="Y22" s="283"/>
    </row>
    <row r="23" spans="2:25" x14ac:dyDescent="0.2">
      <c r="B23" s="281"/>
      <c r="C23" s="45" t="s">
        <v>198</v>
      </c>
      <c r="D23" s="45"/>
      <c r="E23" s="45"/>
      <c r="F23" s="288">
        <f>'15'!A216</f>
        <v>190</v>
      </c>
      <c r="G23" s="283"/>
      <c r="H23" s="45"/>
      <c r="I23" s="45" t="s">
        <v>221</v>
      </c>
      <c r="J23" s="45"/>
      <c r="K23" s="45"/>
      <c r="L23" s="292">
        <f>'15'!A254</f>
        <v>15000</v>
      </c>
      <c r="M23" s="283"/>
      <c r="N23" s="45"/>
      <c r="O23" s="268" t="s">
        <v>247</v>
      </c>
      <c r="P23" s="45"/>
      <c r="Q23" s="45"/>
      <c r="R23" s="286"/>
      <c r="S23" s="283"/>
      <c r="T23" s="45"/>
      <c r="U23" s="242" t="s">
        <v>272</v>
      </c>
      <c r="V23" s="45"/>
      <c r="W23" s="45"/>
      <c r="X23" s="286">
        <f>'15'!A229</f>
        <v>0</v>
      </c>
      <c r="Y23" s="283"/>
    </row>
    <row r="24" spans="2:25" x14ac:dyDescent="0.2">
      <c r="B24" s="281"/>
      <c r="C24" s="45" t="s">
        <v>199</v>
      </c>
      <c r="D24" s="268"/>
      <c r="E24" s="45"/>
      <c r="F24" s="288">
        <f>'15'!A217</f>
        <v>219190</v>
      </c>
      <c r="G24" s="283"/>
      <c r="H24" s="45"/>
      <c r="I24" s="287" t="s">
        <v>222</v>
      </c>
      <c r="L24" s="286">
        <f>L20-L21+L22-L23</f>
        <v>-257247</v>
      </c>
      <c r="M24" s="283"/>
      <c r="N24" s="45"/>
      <c r="O24" s="45" t="s">
        <v>248</v>
      </c>
      <c r="P24" s="45"/>
      <c r="Q24" s="45"/>
      <c r="R24" s="286">
        <f>'15'!A271</f>
        <v>0</v>
      </c>
      <c r="S24" s="283"/>
      <c r="T24" s="45"/>
      <c r="U24" s="45" t="s">
        <v>273</v>
      </c>
      <c r="V24" s="45"/>
      <c r="W24" s="45"/>
      <c r="X24" s="286">
        <f>'15'!A230</f>
        <v>0</v>
      </c>
      <c r="Y24" s="283"/>
    </row>
    <row r="25" spans="2:25" ht="12" x14ac:dyDescent="0.3">
      <c r="B25" s="281"/>
      <c r="C25" s="45"/>
      <c r="F25" s="293"/>
      <c r="G25" s="283"/>
      <c r="H25" s="45"/>
      <c r="I25" s="45" t="s">
        <v>223</v>
      </c>
      <c r="J25" s="45"/>
      <c r="K25" s="45"/>
      <c r="L25" s="286">
        <f>'15'!A225</f>
        <v>6000</v>
      </c>
      <c r="M25" s="283"/>
      <c r="N25" s="45"/>
      <c r="O25" s="325" t="s">
        <v>249</v>
      </c>
      <c r="P25" s="45"/>
      <c r="Q25" s="45"/>
      <c r="R25" s="286">
        <f>'15'!A272</f>
        <v>114268</v>
      </c>
      <c r="S25" s="283"/>
      <c r="T25" s="45"/>
      <c r="U25" s="45" t="s">
        <v>274</v>
      </c>
      <c r="V25" s="45"/>
      <c r="W25" s="45"/>
      <c r="X25" s="286">
        <f>'15'!A231</f>
        <v>0</v>
      </c>
      <c r="Y25" s="283"/>
    </row>
    <row r="26" spans="2:25" x14ac:dyDescent="0.2">
      <c r="B26" s="281"/>
      <c r="C26" s="326" t="s">
        <v>200</v>
      </c>
      <c r="D26" s="45"/>
      <c r="E26" s="45"/>
      <c r="F26" s="286"/>
      <c r="G26" s="283"/>
      <c r="H26" s="45"/>
      <c r="I26" s="45" t="s">
        <v>224</v>
      </c>
      <c r="J26" s="45"/>
      <c r="K26" s="45"/>
      <c r="L26" s="288">
        <f>'15'!A232</f>
        <v>0</v>
      </c>
      <c r="M26" s="283"/>
      <c r="N26" s="45"/>
      <c r="O26" s="45" t="s">
        <v>250</v>
      </c>
      <c r="P26" s="45"/>
      <c r="Q26" s="45"/>
      <c r="R26" s="288">
        <f>'15'!A273</f>
        <v>0</v>
      </c>
      <c r="S26" s="283"/>
      <c r="T26" s="45"/>
      <c r="U26" s="45" t="s">
        <v>275</v>
      </c>
      <c r="V26" s="45"/>
      <c r="W26" s="45"/>
      <c r="X26" s="288">
        <f>'15'!A232</f>
        <v>0</v>
      </c>
      <c r="Y26" s="283"/>
    </row>
    <row r="27" spans="2:25" x14ac:dyDescent="0.2">
      <c r="B27" s="281"/>
      <c r="C27" s="287" t="s">
        <v>201</v>
      </c>
      <c r="D27" s="45"/>
      <c r="E27" s="45"/>
      <c r="F27" s="289">
        <f>L27</f>
        <v>-251247</v>
      </c>
      <c r="G27" s="283"/>
      <c r="H27" s="45"/>
      <c r="I27" s="287" t="s">
        <v>225</v>
      </c>
      <c r="J27" s="45"/>
      <c r="K27" s="45"/>
      <c r="L27" s="289">
        <f>L24+L25-L26</f>
        <v>-251247</v>
      </c>
      <c r="M27" s="283"/>
      <c r="N27" s="45"/>
      <c r="O27" s="43" t="s">
        <v>251</v>
      </c>
      <c r="P27" s="45"/>
      <c r="Q27" s="45"/>
      <c r="R27" s="286">
        <f>SUM(R24:R26)</f>
        <v>114268</v>
      </c>
      <c r="S27" s="283"/>
      <c r="T27" s="45"/>
      <c r="U27" s="287" t="s">
        <v>276</v>
      </c>
      <c r="X27" s="289">
        <f>X22-X23-X24+X25-X26</f>
        <v>0</v>
      </c>
      <c r="Y27" s="283"/>
    </row>
    <row r="28" spans="2:25" x14ac:dyDescent="0.2">
      <c r="B28" s="281"/>
      <c r="C28" s="287" t="s">
        <v>202</v>
      </c>
      <c r="D28" s="45"/>
      <c r="E28" s="45"/>
      <c r="F28" s="288">
        <f>'15'!A240</f>
        <v>0</v>
      </c>
      <c r="G28" s="283"/>
      <c r="H28" s="45"/>
      <c r="I28" s="45" t="s">
        <v>226</v>
      </c>
      <c r="J28" s="45"/>
      <c r="K28" s="45"/>
      <c r="L28" s="288">
        <f>'15'!A255</f>
        <v>0</v>
      </c>
      <c r="M28" s="283"/>
      <c r="N28" s="45"/>
      <c r="O28" s="45" t="s">
        <v>252</v>
      </c>
      <c r="P28" s="45"/>
      <c r="Q28" s="45"/>
      <c r="R28" s="286">
        <f>'15'!A274</f>
        <v>0</v>
      </c>
      <c r="S28" s="283"/>
      <c r="X28" s="294"/>
      <c r="Y28" s="283"/>
    </row>
    <row r="29" spans="2:25" x14ac:dyDescent="0.2">
      <c r="B29" s="281"/>
      <c r="C29" s="287" t="s">
        <v>203</v>
      </c>
      <c r="F29" s="289">
        <f>'15'!A257</f>
        <v>-251247</v>
      </c>
      <c r="G29" s="283"/>
      <c r="H29" s="45"/>
      <c r="I29" s="45" t="s">
        <v>227</v>
      </c>
      <c r="J29" s="45"/>
      <c r="K29" s="45"/>
      <c r="L29" s="286">
        <f>'15'!A256</f>
        <v>-251247</v>
      </c>
      <c r="M29" s="283"/>
      <c r="N29" s="45"/>
      <c r="S29" s="283"/>
      <c r="U29" s="45" t="s">
        <v>277</v>
      </c>
      <c r="V29" s="45"/>
      <c r="W29" s="45"/>
      <c r="X29" s="289">
        <f>'15'!A233</f>
        <v>-1132459</v>
      </c>
      <c r="Y29" s="283"/>
    </row>
    <row r="30" spans="2:25" x14ac:dyDescent="0.2">
      <c r="B30" s="281"/>
      <c r="C30" s="45"/>
      <c r="G30" s="283"/>
      <c r="H30" s="45"/>
      <c r="I30" s="287" t="s">
        <v>228</v>
      </c>
      <c r="L30" s="295">
        <f>IF(R33&gt;0,100*L29/R33,0)</f>
        <v>-6.2811750000000002</v>
      </c>
      <c r="M30" s="283"/>
      <c r="N30" s="45"/>
      <c r="O30" s="45" t="s">
        <v>253</v>
      </c>
      <c r="P30" s="45"/>
      <c r="Q30" s="45"/>
      <c r="R30" s="286">
        <f>R21-R27-R28</f>
        <v>3748753</v>
      </c>
      <c r="S30" s="283"/>
      <c r="U30" s="287" t="s">
        <v>278</v>
      </c>
      <c r="V30" s="45"/>
      <c r="W30" s="45"/>
      <c r="X30" s="292">
        <f>'15'!A234</f>
        <v>3950000</v>
      </c>
      <c r="Y30" s="283"/>
    </row>
    <row r="31" spans="2:25" x14ac:dyDescent="0.2">
      <c r="B31" s="281"/>
      <c r="C31" s="45"/>
      <c r="G31" s="283"/>
      <c r="H31" s="45"/>
      <c r="M31" s="283"/>
      <c r="N31" s="45"/>
      <c r="S31" s="283"/>
      <c r="U31" s="287" t="s">
        <v>279</v>
      </c>
      <c r="X31" s="45">
        <f>R19-R26</f>
        <v>2817541</v>
      </c>
      <c r="Y31" s="283"/>
    </row>
    <row r="32" spans="2:25" x14ac:dyDescent="0.2">
      <c r="B32" s="281"/>
      <c r="G32" s="283"/>
      <c r="H32" s="45"/>
      <c r="I32" s="43" t="s">
        <v>229</v>
      </c>
      <c r="J32" s="45"/>
      <c r="K32" s="45"/>
      <c r="L32" s="288">
        <f>'15'!A230</f>
        <v>0</v>
      </c>
      <c r="M32" s="283"/>
      <c r="N32" s="45"/>
      <c r="O32" s="290" t="s">
        <v>254</v>
      </c>
      <c r="S32" s="283"/>
      <c r="U32" s="242" t="s">
        <v>280</v>
      </c>
      <c r="X32" s="289">
        <f>'15'!A270</f>
        <v>2400000</v>
      </c>
      <c r="Y32" s="296" t="s">
        <v>9</v>
      </c>
    </row>
    <row r="33" spans="1:25" x14ac:dyDescent="0.2">
      <c r="B33" s="281"/>
      <c r="C33" s="45" t="s">
        <v>204</v>
      </c>
      <c r="D33" s="45"/>
      <c r="E33" s="45"/>
      <c r="F33" s="286">
        <f>'15'!A219</f>
        <v>0</v>
      </c>
      <c r="G33" s="283"/>
      <c r="H33" s="45"/>
      <c r="I33" s="45" t="s">
        <v>230</v>
      </c>
      <c r="J33" s="45"/>
      <c r="K33" s="45"/>
      <c r="L33" s="286">
        <f>L29-L32</f>
        <v>-251247</v>
      </c>
      <c r="M33" s="283"/>
      <c r="O33" s="43" t="s">
        <v>255</v>
      </c>
      <c r="P33" s="45"/>
      <c r="Q33" s="45"/>
      <c r="R33" s="286">
        <f>'15'!A275</f>
        <v>4000000</v>
      </c>
      <c r="S33" s="283"/>
      <c r="Y33" s="283"/>
    </row>
    <row r="34" spans="1:25" x14ac:dyDescent="0.2">
      <c r="B34" s="281"/>
      <c r="C34" s="45" t="s">
        <v>205</v>
      </c>
      <c r="D34" s="45"/>
      <c r="E34" s="45"/>
      <c r="F34" s="286">
        <f>'15'!A220</f>
        <v>50000</v>
      </c>
      <c r="G34" s="283"/>
      <c r="H34" s="45"/>
      <c r="I34" s="242" t="s">
        <v>231</v>
      </c>
      <c r="J34" s="45"/>
      <c r="K34" s="45"/>
      <c r="L34" s="288">
        <f>'15'!A260</f>
        <v>0</v>
      </c>
      <c r="M34" s="283"/>
      <c r="O34" s="242" t="s">
        <v>256</v>
      </c>
      <c r="R34" s="286">
        <f>'15'!A276</f>
        <v>0</v>
      </c>
      <c r="S34" s="283"/>
      <c r="U34" s="45" t="s">
        <v>281</v>
      </c>
      <c r="V34" s="45"/>
      <c r="W34" s="45"/>
      <c r="X34" s="289">
        <f>'15'!A238</f>
        <v>116000</v>
      </c>
      <c r="Y34" s="283"/>
    </row>
    <row r="35" spans="1:25" x14ac:dyDescent="0.2">
      <c r="B35" s="281"/>
      <c r="C35" s="45"/>
      <c r="G35" s="283"/>
      <c r="I35" s="242" t="s">
        <v>232</v>
      </c>
      <c r="L35" s="289">
        <f>L33+L34</f>
        <v>-251247</v>
      </c>
      <c r="M35" s="283"/>
      <c r="O35" s="45" t="s">
        <v>257</v>
      </c>
      <c r="P35" s="45"/>
      <c r="Q35" s="45"/>
      <c r="R35" s="288">
        <f>R36-R33-R34</f>
        <v>-251247</v>
      </c>
      <c r="S35" s="283"/>
      <c r="U35" s="45" t="s">
        <v>282</v>
      </c>
      <c r="V35" s="45"/>
      <c r="W35" s="45"/>
      <c r="X35" s="289">
        <f>'15'!A239</f>
        <v>1702000</v>
      </c>
      <c r="Y35" s="283"/>
    </row>
    <row r="36" spans="1:25" x14ac:dyDescent="0.2">
      <c r="B36" s="281"/>
      <c r="G36" s="283"/>
      <c r="M36" s="283"/>
      <c r="O36" s="45" t="s">
        <v>258</v>
      </c>
      <c r="P36" s="45"/>
      <c r="Q36" s="45"/>
      <c r="R36" s="286">
        <f>'15'!A277</f>
        <v>3748753</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theme="8" tint="0.79998168889431442"/>
    <pageSetUpPr fitToPage="1"/>
  </sheetPr>
  <dimension ref="B1:Q122"/>
  <sheetViews>
    <sheetView showGridLines="0" zoomScaleNormal="100" workbookViewId="0">
      <selection activeCell="L36" sqref="L36"/>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'15'!$A1</f>
        <v>1</v>
      </c>
      <c r="K1" s="170" t="s">
        <v>81</v>
      </c>
      <c r="L1" s="172">
        <f>'15'!$A4</f>
        <v>2016</v>
      </c>
      <c r="M1" s="170" t="s">
        <v>289</v>
      </c>
      <c r="N1" s="517">
        <f>'15'!$A5</f>
        <v>2</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'15'!A505</f>
        <v>4798</v>
      </c>
      <c r="H5" s="187">
        <f>'15'!A506</f>
        <v>4298</v>
      </c>
      <c r="I5" s="187">
        <f>'15'!A504</f>
        <v>5975</v>
      </c>
      <c r="K5" s="182"/>
      <c r="M5" s="40"/>
      <c r="N5" s="179"/>
    </row>
    <row r="6" spans="2:14" ht="13.2" x14ac:dyDescent="0.3">
      <c r="B6" s="244"/>
      <c r="C6" s="259" t="s">
        <v>292</v>
      </c>
      <c r="D6" s="40"/>
      <c r="E6" s="40"/>
      <c r="F6" s="40"/>
      <c r="G6" s="301">
        <f>'15'!A507/10</f>
        <v>8.4</v>
      </c>
      <c r="H6" s="301">
        <f>'15'!A508/10</f>
        <v>4.4000000000000004</v>
      </c>
      <c r="I6" s="217"/>
      <c r="K6" s="182"/>
      <c r="L6" s="196"/>
      <c r="M6" s="40"/>
      <c r="N6" s="179"/>
    </row>
    <row r="7" spans="2:14" x14ac:dyDescent="0.2">
      <c r="B7" s="244"/>
      <c r="C7" s="182" t="s">
        <v>293</v>
      </c>
      <c r="D7" s="40"/>
      <c r="E7" s="40"/>
      <c r="F7" s="40"/>
      <c r="G7" s="187">
        <f>'15'!A509</f>
        <v>1753</v>
      </c>
      <c r="H7" s="187">
        <f>'15'!A510</f>
        <v>1501</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'15'!A501/10</f>
        <v>0.5</v>
      </c>
      <c r="H10" s="301">
        <f>'15'!A502/10</f>
        <v>1.1000000000000001</v>
      </c>
      <c r="I10" s="182" t="s">
        <v>302</v>
      </c>
      <c r="J10" s="182"/>
      <c r="K10" s="196"/>
      <c r="L10" s="302">
        <f>'15'!A511/100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'15'!A518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126</v>
      </c>
      <c r="H16" s="667">
        <f>INT(L10*2*G20/1000) + 75</f>
        <v>207</v>
      </c>
      <c r="I16" s="667">
        <f>INT(L10*3*G20/1000) + 120</f>
        <v>318</v>
      </c>
      <c r="K16" s="196"/>
      <c r="L16" s="196"/>
      <c r="M16" s="196"/>
      <c r="N16" s="179"/>
    </row>
    <row r="17" spans="2:14" x14ac:dyDescent="0.2">
      <c r="B17" s="244"/>
      <c r="C17" s="269" t="s">
        <v>299</v>
      </c>
      <c r="E17" s="40"/>
      <c r="F17" s="40"/>
      <c r="G17" s="667">
        <f>INT(L10*1.5*G20/1000) + 60</f>
        <v>159</v>
      </c>
      <c r="H17" s="667">
        <f>INT(L10*1.5*2*G20/1000) + 75</f>
        <v>273</v>
      </c>
      <c r="I17" s="667">
        <f>INT(L10*1.5*3*G20/1000) + 120</f>
        <v>417</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'15'!A515</f>
        <v>79567</v>
      </c>
      <c r="H20" s="304">
        <f>'15'!A516</f>
        <v>75192</v>
      </c>
      <c r="I20" s="304">
        <f>'15'!A517</f>
        <v>71611</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'15'!A681</f>
        <v>The European economy is starting to improve. Unemployment</v>
      </c>
      <c r="G23" s="40"/>
      <c r="H23" s="40"/>
      <c r="I23" s="182"/>
      <c r="J23" s="40"/>
      <c r="K23" s="40"/>
      <c r="L23" s="40"/>
      <c r="M23" s="40"/>
      <c r="N23" s="179"/>
    </row>
    <row r="24" spans="2:14" ht="12" x14ac:dyDescent="0.25">
      <c r="B24" s="244"/>
      <c r="C24" s="247"/>
      <c r="F24" s="233" t="str">
        <f>'15'!A682</f>
        <v>has dropped. However many jobs are part time or temporary.</v>
      </c>
      <c r="G24" s="40"/>
      <c r="H24" s="40"/>
      <c r="I24" s="182"/>
      <c r="J24" s="40"/>
      <c r="K24" s="40"/>
      <c r="L24" s="40"/>
      <c r="M24" s="40"/>
      <c r="N24" s="179"/>
    </row>
    <row r="25" spans="2:14" ht="12" x14ac:dyDescent="0.25">
      <c r="B25" s="244"/>
      <c r="C25" s="247"/>
      <c r="F25" s="233" t="str">
        <f>'15'!A683</f>
        <v xml:space="preserve"> </v>
      </c>
      <c r="G25" s="40"/>
      <c r="H25" s="40"/>
      <c r="I25" s="182"/>
      <c r="J25" s="40"/>
      <c r="K25" s="40"/>
      <c r="L25" s="40"/>
      <c r="M25" s="40"/>
      <c r="N25" s="179"/>
    </row>
    <row r="26" spans="2:14" x14ac:dyDescent="0.2">
      <c r="B26" s="244"/>
      <c r="C26" s="233"/>
      <c r="F26" s="233" t="str">
        <f>'15'!A684</f>
        <v xml:space="preserve"> </v>
      </c>
      <c r="G26" s="233"/>
      <c r="H26" s="233"/>
      <c r="I26" s="184"/>
      <c r="J26" s="233"/>
      <c r="K26" s="40"/>
      <c r="L26" s="40"/>
      <c r="M26" s="40"/>
      <c r="N26" s="179"/>
    </row>
    <row r="27" spans="2:14" x14ac:dyDescent="0.2">
      <c r="B27" s="244"/>
      <c r="C27" s="233"/>
      <c r="F27" s="233" t="str">
        <f>'15'!A685</f>
        <v xml:space="preserve"> </v>
      </c>
      <c r="G27" s="233"/>
      <c r="H27" s="233"/>
      <c r="I27" s="184"/>
      <c r="J27" s="233"/>
      <c r="K27" s="40"/>
      <c r="L27" s="40"/>
      <c r="M27" s="40"/>
      <c r="N27" s="179"/>
    </row>
    <row r="28" spans="2:14" x14ac:dyDescent="0.2">
      <c r="B28" s="244"/>
      <c r="C28" s="233"/>
      <c r="F28" s="233" t="str">
        <f>'15'!A686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'15'!A521</f>
        <v>1</v>
      </c>
      <c r="G33" s="309">
        <f>'15'!A541</f>
        <v>2</v>
      </c>
      <c r="H33" s="309">
        <f>'15'!A561</f>
        <v>3</v>
      </c>
      <c r="I33" s="309">
        <f>'15'!A581</f>
        <v>4</v>
      </c>
      <c r="J33" s="309">
        <f>'15'!A601</f>
        <v>5</v>
      </c>
      <c r="K33" s="309">
        <f>'15'!A621</f>
        <v>6</v>
      </c>
      <c r="L33" s="309">
        <f>'15'!A641</f>
        <v>7</v>
      </c>
      <c r="M33" s="309">
        <f>'15'!A661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'15'!A522/100</f>
        <v>90.91</v>
      </c>
      <c r="G35" s="310">
        <f>'15'!A542/100</f>
        <v>90.91</v>
      </c>
      <c r="H35" s="310">
        <f>'15'!A562/100</f>
        <v>90.91</v>
      </c>
      <c r="I35" s="310">
        <f>'15'!A582/100</f>
        <v>90.91</v>
      </c>
      <c r="J35" s="310">
        <f>'15'!A602/100</f>
        <v>90.91</v>
      </c>
      <c r="K35" s="310">
        <f>'15'!A622/100</f>
        <v>90.91</v>
      </c>
      <c r="L35" s="310">
        <f>'15'!A642/100</f>
        <v>90.91</v>
      </c>
      <c r="M35" s="310">
        <f>'15'!A662/100</f>
        <v>90.91</v>
      </c>
      <c r="N35" s="204"/>
    </row>
    <row r="36" spans="2:17" x14ac:dyDescent="0.2">
      <c r="B36" s="244"/>
      <c r="C36" s="40" t="s">
        <v>310</v>
      </c>
      <c r="D36" s="40"/>
      <c r="E36" s="40"/>
      <c r="F36" s="310">
        <f>'15'!A523</f>
        <v>3636400</v>
      </c>
      <c r="G36" s="310">
        <f>'15'!A543</f>
        <v>3636400</v>
      </c>
      <c r="H36" s="310">
        <f>'15'!A563</f>
        <v>3636400</v>
      </c>
      <c r="I36" s="310">
        <f>'15'!A583</f>
        <v>3636400</v>
      </c>
      <c r="J36" s="310">
        <f>'15'!A603</f>
        <v>3636400</v>
      </c>
      <c r="K36" s="310">
        <f>'15'!A623</f>
        <v>3636400</v>
      </c>
      <c r="L36" s="310">
        <f>'15'!A643</f>
        <v>3636400</v>
      </c>
      <c r="M36" s="310">
        <f>'15'!A663</f>
        <v>3636400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'15'!A524</f>
        <v>0</v>
      </c>
      <c r="G38" s="310">
        <f>'15'!A544</f>
        <v>0</v>
      </c>
      <c r="H38" s="310">
        <f>'15'!A564</f>
        <v>0</v>
      </c>
      <c r="I38" s="310">
        <f>'15'!A584</f>
        <v>0</v>
      </c>
      <c r="J38" s="310">
        <f>'15'!A604</f>
        <v>0</v>
      </c>
      <c r="K38" s="310">
        <f>'15'!A624</f>
        <v>0</v>
      </c>
      <c r="L38" s="310">
        <f>'15'!A644</f>
        <v>0</v>
      </c>
      <c r="M38" s="310">
        <f>'15'!A664</f>
        <v>0</v>
      </c>
      <c r="N38" s="204"/>
    </row>
    <row r="39" spans="2:17" x14ac:dyDescent="0.2">
      <c r="B39" s="244"/>
      <c r="C39" s="40" t="s">
        <v>312</v>
      </c>
      <c r="D39" s="40"/>
      <c r="E39" s="40"/>
      <c r="F39" s="310">
        <f>'15'!A525</f>
        <v>3636400</v>
      </c>
      <c r="G39" s="310">
        <f>'15'!A545</f>
        <v>3636400</v>
      </c>
      <c r="H39" s="310">
        <f>'15'!A565</f>
        <v>3636400</v>
      </c>
      <c r="I39" s="310">
        <f>'15'!A585</f>
        <v>3636400</v>
      </c>
      <c r="J39" s="310">
        <f>'15'!A605</f>
        <v>3636400</v>
      </c>
      <c r="K39" s="310">
        <f>'15'!A625</f>
        <v>3636400</v>
      </c>
      <c r="L39" s="310">
        <f>'15'!A645</f>
        <v>3636400</v>
      </c>
      <c r="M39" s="310">
        <f>'15'!A665</f>
        <v>3636400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'15'!A526</f>
        <v>0</v>
      </c>
      <c r="G43" s="310">
        <f>'15'!A546</f>
        <v>0</v>
      </c>
      <c r="H43" s="310">
        <f>'15'!A566</f>
        <v>0</v>
      </c>
      <c r="I43" s="310">
        <f>'15'!A586</f>
        <v>0</v>
      </c>
      <c r="J43" s="310">
        <f>'15'!A606</f>
        <v>0</v>
      </c>
      <c r="K43" s="310">
        <f>'15'!A626</f>
        <v>0</v>
      </c>
      <c r="L43" s="310">
        <f>'15'!A646</f>
        <v>0</v>
      </c>
      <c r="M43" s="310">
        <f>'15'!A666</f>
        <v>0</v>
      </c>
      <c r="N43" s="204"/>
    </row>
    <row r="44" spans="2:17" x14ac:dyDescent="0.2">
      <c r="B44" s="244"/>
      <c r="C44" s="40" t="s">
        <v>1</v>
      </c>
      <c r="D44" s="182" t="s">
        <v>19</v>
      </c>
      <c r="E44" s="40"/>
      <c r="F44" s="310">
        <f>'15'!A527</f>
        <v>0</v>
      </c>
      <c r="G44" s="310">
        <f>'15'!A547</f>
        <v>0</v>
      </c>
      <c r="H44" s="310">
        <f>'15'!A567</f>
        <v>0</v>
      </c>
      <c r="I44" s="310">
        <f>'15'!A587</f>
        <v>0</v>
      </c>
      <c r="J44" s="310">
        <f>'15'!A607</f>
        <v>0</v>
      </c>
      <c r="K44" s="310">
        <f>'15'!A627</f>
        <v>0</v>
      </c>
      <c r="L44" s="310">
        <f>'15'!A647</f>
        <v>0</v>
      </c>
      <c r="M44" s="310">
        <f>'15'!A667</f>
        <v>0</v>
      </c>
      <c r="N44" s="204"/>
    </row>
    <row r="45" spans="2:17" x14ac:dyDescent="0.2">
      <c r="B45" s="244"/>
      <c r="C45" s="40"/>
      <c r="D45" s="40" t="s">
        <v>18</v>
      </c>
      <c r="E45" s="40"/>
      <c r="F45" s="310">
        <f>'15'!A528</f>
        <v>0</v>
      </c>
      <c r="G45" s="310">
        <f>'15'!A548</f>
        <v>0</v>
      </c>
      <c r="H45" s="310">
        <f>'15'!A568</f>
        <v>0</v>
      </c>
      <c r="I45" s="310">
        <f>'15'!A588</f>
        <v>0</v>
      </c>
      <c r="J45" s="310">
        <f>'15'!A608</f>
        <v>0</v>
      </c>
      <c r="K45" s="310">
        <f>'15'!A628</f>
        <v>0</v>
      </c>
      <c r="L45" s="310">
        <f>'15'!A648</f>
        <v>0</v>
      </c>
      <c r="M45" s="310">
        <f>'15'!A668</f>
        <v>0</v>
      </c>
      <c r="N45" s="204"/>
    </row>
    <row r="46" spans="2:17" x14ac:dyDescent="0.2">
      <c r="B46" s="244"/>
      <c r="C46" s="40" t="s">
        <v>316</v>
      </c>
      <c r="D46" s="40"/>
      <c r="E46" s="40"/>
      <c r="F46" s="310">
        <f>'15'!A529</f>
        <v>0</v>
      </c>
      <c r="G46" s="310">
        <f>'15'!A549</f>
        <v>0</v>
      </c>
      <c r="H46" s="310">
        <f>'15'!A569</f>
        <v>0</v>
      </c>
      <c r="I46" s="310">
        <f>'15'!A589</f>
        <v>0</v>
      </c>
      <c r="J46" s="310">
        <f>'15'!A609</f>
        <v>0</v>
      </c>
      <c r="K46" s="310">
        <f>'15'!A629</f>
        <v>0</v>
      </c>
      <c r="L46" s="310">
        <f>'15'!A649</f>
        <v>0</v>
      </c>
      <c r="M46" s="310">
        <f>'15'!A669</f>
        <v>0</v>
      </c>
      <c r="N46" s="204"/>
    </row>
    <row r="47" spans="2:17" x14ac:dyDescent="0.2">
      <c r="B47" s="244"/>
      <c r="C47" s="40" t="s">
        <v>1</v>
      </c>
      <c r="D47" s="182" t="s">
        <v>19</v>
      </c>
      <c r="E47" s="40"/>
      <c r="F47" s="310">
        <f>'15'!A530</f>
        <v>0</v>
      </c>
      <c r="G47" s="310">
        <f>'15'!A550</f>
        <v>0</v>
      </c>
      <c r="H47" s="310">
        <f>'15'!A570</f>
        <v>0</v>
      </c>
      <c r="I47" s="310">
        <f>'15'!A590</f>
        <v>0</v>
      </c>
      <c r="J47" s="310">
        <f>'15'!A610</f>
        <v>0</v>
      </c>
      <c r="K47" s="310">
        <f>'15'!A630</f>
        <v>0</v>
      </c>
      <c r="L47" s="310">
        <f>'15'!A650</f>
        <v>0</v>
      </c>
      <c r="M47" s="310">
        <f>'15'!A670</f>
        <v>0</v>
      </c>
      <c r="N47" s="204"/>
    </row>
    <row r="48" spans="2:17" x14ac:dyDescent="0.2">
      <c r="B48" s="244"/>
      <c r="C48" s="40"/>
      <c r="D48" s="40" t="s">
        <v>20</v>
      </c>
      <c r="E48" s="40"/>
      <c r="F48" s="310">
        <f>'15'!A531</f>
        <v>0</v>
      </c>
      <c r="G48" s="310">
        <f>'15'!A551</f>
        <v>0</v>
      </c>
      <c r="H48" s="310">
        <f>'15'!A571</f>
        <v>0</v>
      </c>
      <c r="I48" s="310">
        <f>'15'!A591</f>
        <v>0</v>
      </c>
      <c r="J48" s="310">
        <f>'15'!A611</f>
        <v>0</v>
      </c>
      <c r="K48" s="310">
        <f>'15'!A631</f>
        <v>0</v>
      </c>
      <c r="L48" s="310">
        <f>'15'!A651</f>
        <v>0</v>
      </c>
      <c r="M48" s="310">
        <f>'15'!A671</f>
        <v>0</v>
      </c>
      <c r="N48" s="204"/>
    </row>
    <row r="49" spans="2:14" x14ac:dyDescent="0.2">
      <c r="B49" s="244"/>
      <c r="C49" s="40" t="s">
        <v>317</v>
      </c>
      <c r="D49" s="40"/>
      <c r="E49" s="40"/>
      <c r="F49" s="310">
        <f>'15'!A532</f>
        <v>0</v>
      </c>
      <c r="G49" s="310">
        <f>'15'!A552</f>
        <v>0</v>
      </c>
      <c r="H49" s="310">
        <f>'15'!A572</f>
        <v>0</v>
      </c>
      <c r="I49" s="310">
        <f>'15'!A592</f>
        <v>0</v>
      </c>
      <c r="J49" s="310">
        <f>'15'!A612</f>
        <v>0</v>
      </c>
      <c r="K49" s="310">
        <f>'15'!A632</f>
        <v>0</v>
      </c>
      <c r="L49" s="310">
        <f>'15'!A652</f>
        <v>0</v>
      </c>
      <c r="M49" s="310">
        <f>'15'!A672</f>
        <v>0</v>
      </c>
      <c r="N49" s="204"/>
    </row>
    <row r="50" spans="2:14" x14ac:dyDescent="0.2">
      <c r="B50" s="244"/>
      <c r="C50" s="40" t="s">
        <v>1</v>
      </c>
      <c r="D50" s="182" t="s">
        <v>19</v>
      </c>
      <c r="E50" s="40"/>
      <c r="F50" s="310">
        <f>'15'!A533</f>
        <v>0</v>
      </c>
      <c r="G50" s="310">
        <f>'15'!A553</f>
        <v>0</v>
      </c>
      <c r="H50" s="310">
        <f>'15'!A573</f>
        <v>0</v>
      </c>
      <c r="I50" s="310">
        <f>'15'!A593</f>
        <v>0</v>
      </c>
      <c r="J50" s="310">
        <f>'15'!A613</f>
        <v>0</v>
      </c>
      <c r="K50" s="310">
        <f>'15'!A633</f>
        <v>0</v>
      </c>
      <c r="L50" s="310">
        <f>'15'!A653</f>
        <v>0</v>
      </c>
      <c r="M50" s="310">
        <f>'15'!A673</f>
        <v>0</v>
      </c>
      <c r="N50" s="204"/>
    </row>
    <row r="51" spans="2:14" x14ac:dyDescent="0.2">
      <c r="B51" s="244"/>
      <c r="C51" s="40"/>
      <c r="D51" s="40" t="s">
        <v>18</v>
      </c>
      <c r="E51" s="40"/>
      <c r="F51" s="310">
        <f>'15'!A534</f>
        <v>0</v>
      </c>
      <c r="G51" s="310">
        <f>'15'!A554</f>
        <v>0</v>
      </c>
      <c r="H51" s="310">
        <f>'15'!A574</f>
        <v>0</v>
      </c>
      <c r="I51" s="310">
        <f>'15'!A594</f>
        <v>0</v>
      </c>
      <c r="J51" s="310">
        <f>'15'!A614</f>
        <v>0</v>
      </c>
      <c r="K51" s="310">
        <f>'15'!A634</f>
        <v>0</v>
      </c>
      <c r="L51" s="310">
        <f>'15'!A654</f>
        <v>0</v>
      </c>
      <c r="M51" s="310">
        <f>'15'!A674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'15'!A535</f>
        <v>0</v>
      </c>
      <c r="G53" s="310">
        <f>'15'!A555</f>
        <v>0</v>
      </c>
      <c r="H53" s="310">
        <f>'15'!A575</f>
        <v>0</v>
      </c>
      <c r="I53" s="310">
        <f>'15'!A595</f>
        <v>0</v>
      </c>
      <c r="J53" s="310">
        <f>'15'!A615</f>
        <v>0</v>
      </c>
      <c r="K53" s="310">
        <f>'15'!A635</f>
        <v>0</v>
      </c>
      <c r="L53" s="310">
        <f>'15'!A655</f>
        <v>0</v>
      </c>
      <c r="M53" s="310">
        <f>'15'!A675</f>
        <v>0</v>
      </c>
      <c r="N53" s="204"/>
    </row>
    <row r="54" spans="2:14" ht="13.2" x14ac:dyDescent="0.3">
      <c r="B54" s="244"/>
      <c r="C54" s="256" t="s">
        <v>319</v>
      </c>
      <c r="D54" s="40"/>
      <c r="E54" s="40"/>
      <c r="F54" s="310">
        <f>'15'!A536</f>
        <v>900</v>
      </c>
      <c r="G54" s="310">
        <f>'15'!A556</f>
        <v>900</v>
      </c>
      <c r="H54" s="310">
        <f>'15'!A576</f>
        <v>900</v>
      </c>
      <c r="I54" s="310">
        <f>'15'!A596</f>
        <v>900</v>
      </c>
      <c r="J54" s="310">
        <f>'15'!A616</f>
        <v>900</v>
      </c>
      <c r="K54" s="310">
        <f>'15'!A636</f>
        <v>900</v>
      </c>
      <c r="L54" s="310">
        <f>'15'!A656</f>
        <v>900</v>
      </c>
      <c r="M54" s="310">
        <f>'15'!A676</f>
        <v>900</v>
      </c>
      <c r="N54" s="204"/>
    </row>
    <row r="55" spans="2:14" x14ac:dyDescent="0.2">
      <c r="B55" s="244"/>
      <c r="C55" s="40" t="s">
        <v>320</v>
      </c>
      <c r="D55" s="40"/>
      <c r="E55" s="40"/>
      <c r="F55" s="310">
        <f>'15'!A537</f>
        <v>0</v>
      </c>
      <c r="G55" s="310">
        <f>'15'!A557</f>
        <v>0</v>
      </c>
      <c r="H55" s="310">
        <f>'15'!A577</f>
        <v>0</v>
      </c>
      <c r="I55" s="310">
        <f>'15'!A597</f>
        <v>0</v>
      </c>
      <c r="J55" s="310">
        <f>'15'!A617</f>
        <v>0</v>
      </c>
      <c r="K55" s="310">
        <f>'15'!A637</f>
        <v>0</v>
      </c>
      <c r="L55" s="310">
        <f>'15'!A657</f>
        <v>0</v>
      </c>
      <c r="M55" s="310">
        <f>'15'!A677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'15'!$A59</f>
        <v>0</v>
      </c>
      <c r="K61" s="170" t="s">
        <v>81</v>
      </c>
      <c r="L61" s="172">
        <f>'15'!$A62</f>
        <v>6</v>
      </c>
      <c r="M61" s="170" t="s">
        <v>289</v>
      </c>
      <c r="N61" s="517">
        <f>'15'!$A63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'15'!A701</f>
        <v>1</v>
      </c>
      <c r="G65" s="319">
        <f>'15'!A721</f>
        <v>2</v>
      </c>
      <c r="H65" s="319">
        <f>'15'!A741</f>
        <v>3</v>
      </c>
      <c r="I65" s="319">
        <f>'15'!A761</f>
        <v>4</v>
      </c>
      <c r="J65" s="319">
        <f>'15'!A781</f>
        <v>5</v>
      </c>
      <c r="K65" s="319">
        <f>'15'!A801</f>
        <v>6</v>
      </c>
      <c r="L65" s="319">
        <f>'15'!A821</f>
        <v>7</v>
      </c>
      <c r="M65" s="319">
        <f>'15'!A841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'15'!A702</f>
        <v>885000</v>
      </c>
      <c r="G67" s="310">
        <f>'15'!A722</f>
        <v>885000</v>
      </c>
      <c r="H67" s="310">
        <f>'15'!A742</f>
        <v>885000</v>
      </c>
      <c r="I67" s="310">
        <f>'15'!A762</f>
        <v>885000</v>
      </c>
      <c r="J67" s="310">
        <f>'15'!A782</f>
        <v>885000</v>
      </c>
      <c r="K67" s="310">
        <f>'15'!A802</f>
        <v>885000</v>
      </c>
      <c r="L67" s="310">
        <f>'15'!A822</f>
        <v>885000</v>
      </c>
      <c r="M67" s="310">
        <f>'15'!A842</f>
        <v>885000</v>
      </c>
      <c r="N67" s="179"/>
    </row>
    <row r="68" spans="2:14" x14ac:dyDescent="0.2">
      <c r="B68" s="244"/>
      <c r="C68" s="40" t="s">
        <v>326</v>
      </c>
      <c r="D68" s="40"/>
      <c r="E68" s="40"/>
      <c r="F68" s="310">
        <f>'15'!A703</f>
        <v>160480</v>
      </c>
      <c r="G68" s="310">
        <f>'15'!A723</f>
        <v>160480</v>
      </c>
      <c r="H68" s="310">
        <f>'15'!A743</f>
        <v>160480</v>
      </c>
      <c r="I68" s="310">
        <f>'15'!A763</f>
        <v>160480</v>
      </c>
      <c r="J68" s="310">
        <f>'15'!A783</f>
        <v>160480</v>
      </c>
      <c r="K68" s="310">
        <f>'15'!A803</f>
        <v>160480</v>
      </c>
      <c r="L68" s="310">
        <f>'15'!A823</f>
        <v>160480</v>
      </c>
      <c r="M68" s="310">
        <f>'15'!A843</f>
        <v>160480</v>
      </c>
      <c r="N68" s="179"/>
    </row>
    <row r="69" spans="2:14" x14ac:dyDescent="0.2">
      <c r="B69" s="244"/>
      <c r="C69" s="40" t="s">
        <v>327</v>
      </c>
      <c r="D69" s="40"/>
      <c r="E69" s="40"/>
      <c r="F69" s="310">
        <f>'15'!A704</f>
        <v>0</v>
      </c>
      <c r="G69" s="310">
        <f>'15'!A724</f>
        <v>0</v>
      </c>
      <c r="H69" s="310">
        <f>'15'!A744</f>
        <v>0</v>
      </c>
      <c r="I69" s="310">
        <f>'15'!A764</f>
        <v>0</v>
      </c>
      <c r="J69" s="310">
        <f>'15'!A784</f>
        <v>0</v>
      </c>
      <c r="K69" s="310">
        <f>'15'!A804</f>
        <v>0</v>
      </c>
      <c r="L69" s="310">
        <f>'15'!A824</f>
        <v>0</v>
      </c>
      <c r="M69" s="310">
        <f>'15'!A844</f>
        <v>0</v>
      </c>
      <c r="N69" s="179"/>
    </row>
    <row r="70" spans="2:14" x14ac:dyDescent="0.2">
      <c r="B70" s="244"/>
      <c r="C70" s="40" t="s">
        <v>328</v>
      </c>
      <c r="D70" s="40"/>
      <c r="E70" s="40"/>
      <c r="F70" s="310">
        <f>'15'!A705</f>
        <v>2817541</v>
      </c>
      <c r="G70" s="310">
        <f>'15'!A725</f>
        <v>2817541</v>
      </c>
      <c r="H70" s="310">
        <f>'15'!A745</f>
        <v>2817541</v>
      </c>
      <c r="I70" s="310">
        <f>'15'!A765</f>
        <v>2817541</v>
      </c>
      <c r="J70" s="310">
        <f>'15'!A785</f>
        <v>2817541</v>
      </c>
      <c r="K70" s="310">
        <f>'15'!A805</f>
        <v>2817541</v>
      </c>
      <c r="L70" s="310">
        <f>'15'!A825</f>
        <v>2817541</v>
      </c>
      <c r="M70" s="310">
        <f>'15'!A845</f>
        <v>2817541</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'15'!A708</f>
        <v>0</v>
      </c>
      <c r="G73" s="310">
        <f>'15'!A728</f>
        <v>0</v>
      </c>
      <c r="H73" s="310">
        <f>'15'!A748</f>
        <v>0</v>
      </c>
      <c r="I73" s="310">
        <f>'15'!A768</f>
        <v>0</v>
      </c>
      <c r="J73" s="310">
        <f>'15'!A788</f>
        <v>0</v>
      </c>
      <c r="K73" s="310">
        <f>'15'!A808</f>
        <v>0</v>
      </c>
      <c r="L73" s="310">
        <f>'15'!A828</f>
        <v>0</v>
      </c>
      <c r="M73" s="310">
        <f>'15'!A848</f>
        <v>0</v>
      </c>
      <c r="N73" s="179"/>
    </row>
    <row r="74" spans="2:14" x14ac:dyDescent="0.2">
      <c r="B74" s="244"/>
      <c r="C74" s="321" t="s">
        <v>331</v>
      </c>
      <c r="D74" s="40"/>
      <c r="E74" s="40"/>
      <c r="F74" s="310">
        <f>'15'!A709</f>
        <v>114268</v>
      </c>
      <c r="G74" s="310">
        <f>'15'!A729</f>
        <v>114268</v>
      </c>
      <c r="H74" s="310">
        <f>'15'!A749</f>
        <v>114268</v>
      </c>
      <c r="I74" s="310">
        <f>'15'!A769</f>
        <v>114268</v>
      </c>
      <c r="J74" s="310">
        <f>'15'!A789</f>
        <v>114268</v>
      </c>
      <c r="K74" s="310">
        <f>'15'!A809</f>
        <v>114268</v>
      </c>
      <c r="L74" s="310">
        <f>'15'!A829</f>
        <v>114268</v>
      </c>
      <c r="M74" s="310">
        <f>'15'!A849</f>
        <v>114268</v>
      </c>
      <c r="N74" s="179"/>
    </row>
    <row r="75" spans="2:14" x14ac:dyDescent="0.2">
      <c r="B75" s="244"/>
      <c r="C75" s="40" t="s">
        <v>332</v>
      </c>
      <c r="D75" s="40"/>
      <c r="E75" s="40"/>
      <c r="F75" s="310">
        <f>'15'!A710</f>
        <v>0</v>
      </c>
      <c r="G75" s="310">
        <f>'15'!A730</f>
        <v>0</v>
      </c>
      <c r="H75" s="310">
        <f>'15'!A750</f>
        <v>0</v>
      </c>
      <c r="I75" s="310">
        <f>'15'!A770</f>
        <v>0</v>
      </c>
      <c r="J75" s="310">
        <f>'15'!A790</f>
        <v>0</v>
      </c>
      <c r="K75" s="310">
        <f>'15'!A810</f>
        <v>0</v>
      </c>
      <c r="L75" s="310">
        <f>'15'!A830</f>
        <v>0</v>
      </c>
      <c r="M75" s="310">
        <f>'15'!A850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'15'!A712</f>
        <v>0</v>
      </c>
      <c r="G77" s="310">
        <f>'15'!A732</f>
        <v>0</v>
      </c>
      <c r="H77" s="310">
        <f>'15'!A752</f>
        <v>0</v>
      </c>
      <c r="I77" s="310">
        <f>'15'!A772</f>
        <v>0</v>
      </c>
      <c r="J77" s="310">
        <f>'15'!A792</f>
        <v>0</v>
      </c>
      <c r="K77" s="310">
        <f>'15'!A812</f>
        <v>0</v>
      </c>
      <c r="L77" s="310">
        <f>'15'!A832</f>
        <v>0</v>
      </c>
      <c r="M77" s="310">
        <f>'15'!A852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'15'!A714</f>
        <v>4000000</v>
      </c>
      <c r="G80" s="310">
        <f>'15'!A734</f>
        <v>4000000</v>
      </c>
      <c r="H80" s="310">
        <f>'15'!A754</f>
        <v>4000000</v>
      </c>
      <c r="I80" s="310">
        <f>'15'!A774</f>
        <v>4000000</v>
      </c>
      <c r="J80" s="310">
        <f>'15'!A794</f>
        <v>4000000</v>
      </c>
      <c r="K80" s="310">
        <f>'15'!A814</f>
        <v>4000000</v>
      </c>
      <c r="L80" s="310">
        <f>'15'!A834</f>
        <v>4000000</v>
      </c>
      <c r="M80" s="310">
        <f>'15'!A854</f>
        <v>4000000</v>
      </c>
      <c r="N80" s="179"/>
    </row>
    <row r="81" spans="2:14" x14ac:dyDescent="0.2">
      <c r="B81" s="244"/>
      <c r="C81" s="40" t="s">
        <v>336</v>
      </c>
      <c r="D81" s="40"/>
      <c r="E81" s="40"/>
      <c r="F81" s="310">
        <f>'15'!A715</f>
        <v>0</v>
      </c>
      <c r="G81" s="310">
        <f>'15'!A735</f>
        <v>0</v>
      </c>
      <c r="H81" s="310">
        <f>'15'!A755</f>
        <v>0</v>
      </c>
      <c r="I81" s="310">
        <f>'15'!A775</f>
        <v>0</v>
      </c>
      <c r="J81" s="310">
        <f>'15'!A795</f>
        <v>0</v>
      </c>
      <c r="K81" s="310">
        <f>'15'!A815</f>
        <v>0</v>
      </c>
      <c r="L81" s="310">
        <f>'15'!A835</f>
        <v>0</v>
      </c>
      <c r="M81" s="310">
        <f>'15'!A855</f>
        <v>0</v>
      </c>
      <c r="N81" s="179"/>
    </row>
    <row r="82" spans="2:14" x14ac:dyDescent="0.2">
      <c r="B82" s="244"/>
      <c r="C82" s="40" t="s">
        <v>337</v>
      </c>
      <c r="D82" s="40"/>
      <c r="E82" s="40"/>
      <c r="F82" s="310">
        <f>'15'!A716</f>
        <v>-251247</v>
      </c>
      <c r="G82" s="310">
        <f>'15'!A736</f>
        <v>-251247</v>
      </c>
      <c r="H82" s="310">
        <f>'15'!A756</f>
        <v>-251247</v>
      </c>
      <c r="I82" s="310">
        <f>'15'!A776</f>
        <v>-251247</v>
      </c>
      <c r="J82" s="310">
        <f>'15'!A796</f>
        <v>-251247</v>
      </c>
      <c r="K82" s="310">
        <f>'15'!A816</f>
        <v>-251247</v>
      </c>
      <c r="L82" s="310">
        <f>'15'!A836</f>
        <v>-251247</v>
      </c>
      <c r="M82" s="310">
        <f>'15'!A856</f>
        <v>-251247</v>
      </c>
      <c r="N82" s="179"/>
    </row>
    <row r="83" spans="2:14" ht="12" x14ac:dyDescent="0.25">
      <c r="B83" s="244"/>
      <c r="C83" s="247" t="s">
        <v>338</v>
      </c>
      <c r="D83" s="40"/>
      <c r="E83" s="40"/>
      <c r="F83" s="310">
        <f t="shared" ref="F83:M83" si="0">SUM(F80:F82)</f>
        <v>3748753</v>
      </c>
      <c r="G83" s="310">
        <f t="shared" si="0"/>
        <v>3748753</v>
      </c>
      <c r="H83" s="310">
        <f t="shared" si="0"/>
        <v>3748753</v>
      </c>
      <c r="I83" s="310">
        <f t="shared" si="0"/>
        <v>3748753</v>
      </c>
      <c r="J83" s="310">
        <f t="shared" si="0"/>
        <v>3748753</v>
      </c>
      <c r="K83" s="310">
        <f t="shared" si="0"/>
        <v>3748753</v>
      </c>
      <c r="L83" s="310">
        <f t="shared" si="0"/>
        <v>3748753</v>
      </c>
      <c r="M83" s="310">
        <f t="shared" si="0"/>
        <v>3748753</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'15'!A330</f>
        <v>Not requested</v>
      </c>
      <c r="N88" s="179"/>
    </row>
    <row r="89" spans="2:14" ht="12" x14ac:dyDescent="0.25">
      <c r="B89" s="244"/>
      <c r="C89" s="40"/>
      <c r="D89" s="175" t="s">
        <v>340</v>
      </c>
      <c r="F89" s="309" t="str">
        <f>'15'!A331</f>
        <v xml:space="preserve"> </v>
      </c>
      <c r="G89" s="309" t="str">
        <f>'15'!A341</f>
        <v xml:space="preserve"> </v>
      </c>
      <c r="H89" s="309" t="str">
        <f>'15'!A351</f>
        <v xml:space="preserve"> </v>
      </c>
      <c r="I89" s="309" t="str">
        <f>'15'!A361</f>
        <v xml:space="preserve"> </v>
      </c>
      <c r="J89" s="309" t="str">
        <f>'15'!A371</f>
        <v xml:space="preserve"> </v>
      </c>
      <c r="K89" s="309" t="str">
        <f>'15'!A381</f>
        <v xml:space="preserve"> </v>
      </c>
      <c r="L89" s="309" t="str">
        <f>'15'!A391</f>
        <v xml:space="preserve"> </v>
      </c>
      <c r="M89" s="309" t="str">
        <f>'15'!A401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'15'!A332</f>
        <v xml:space="preserve"> </v>
      </c>
      <c r="G91" s="213" t="str">
        <f>'15'!A342</f>
        <v xml:space="preserve"> </v>
      </c>
      <c r="H91" s="213" t="str">
        <f>'15'!A352</f>
        <v xml:space="preserve"> </v>
      </c>
      <c r="I91" s="213" t="str">
        <f>'15'!A362</f>
        <v xml:space="preserve"> </v>
      </c>
      <c r="J91" s="213" t="str">
        <f>'15'!A372</f>
        <v xml:space="preserve"> </v>
      </c>
      <c r="K91" s="213" t="str">
        <f>'15'!A382</f>
        <v xml:space="preserve"> </v>
      </c>
      <c r="L91" s="213" t="str">
        <f>'15'!A392</f>
        <v xml:space="preserve"> </v>
      </c>
      <c r="M91" s="213" t="str">
        <f>'15'!A402</f>
        <v xml:space="preserve"> </v>
      </c>
      <c r="N91" s="179"/>
    </row>
    <row r="92" spans="2:14" x14ac:dyDescent="0.2">
      <c r="B92" s="244"/>
      <c r="C92" s="40"/>
      <c r="D92" s="182" t="s">
        <v>23</v>
      </c>
      <c r="E92" s="40"/>
      <c r="F92" s="213" t="str">
        <f>'15'!A333</f>
        <v xml:space="preserve"> </v>
      </c>
      <c r="G92" s="213" t="str">
        <f>'15'!A343</f>
        <v xml:space="preserve"> </v>
      </c>
      <c r="H92" s="213" t="str">
        <f>'15'!A353</f>
        <v xml:space="preserve"> </v>
      </c>
      <c r="I92" s="213" t="str">
        <f>'15'!A363</f>
        <v xml:space="preserve"> </v>
      </c>
      <c r="J92" s="213" t="str">
        <f>'15'!A373</f>
        <v xml:space="preserve"> </v>
      </c>
      <c r="K92" s="213" t="str">
        <f>'15'!A383</f>
        <v xml:space="preserve"> </v>
      </c>
      <c r="L92" s="213" t="str">
        <f>'15'!A393</f>
        <v xml:space="preserve"> </v>
      </c>
      <c r="M92" s="213" t="str">
        <f>'15'!A403</f>
        <v xml:space="preserve"> </v>
      </c>
      <c r="N92" s="179"/>
    </row>
    <row r="93" spans="2:14" x14ac:dyDescent="0.2">
      <c r="B93" s="244"/>
      <c r="C93" s="40"/>
      <c r="D93" s="182" t="s">
        <v>24</v>
      </c>
      <c r="E93" s="40"/>
      <c r="F93" s="213" t="str">
        <f>'15'!A334</f>
        <v xml:space="preserve"> </v>
      </c>
      <c r="G93" s="213" t="str">
        <f>'15'!A344</f>
        <v xml:space="preserve"> </v>
      </c>
      <c r="H93" s="213" t="str">
        <f>'15'!A354</f>
        <v xml:space="preserve"> </v>
      </c>
      <c r="I93" s="213" t="str">
        <f>'15'!A364</f>
        <v xml:space="preserve"> </v>
      </c>
      <c r="J93" s="213" t="str">
        <f>'15'!A374</f>
        <v xml:space="preserve"> </v>
      </c>
      <c r="K93" s="213" t="str">
        <f>'15'!A384</f>
        <v xml:space="preserve"> </v>
      </c>
      <c r="L93" s="213" t="str">
        <f>'15'!A394</f>
        <v xml:space="preserve"> </v>
      </c>
      <c r="M93" s="213" t="str">
        <f>'15'!A404</f>
        <v xml:space="preserve"> </v>
      </c>
      <c r="N93" s="179"/>
    </row>
    <row r="94" spans="2:14" x14ac:dyDescent="0.2">
      <c r="B94" s="244"/>
      <c r="C94" s="40" t="s">
        <v>343</v>
      </c>
      <c r="D94" s="40"/>
      <c r="E94" s="40"/>
      <c r="F94" s="213" t="str">
        <f>'15'!A335</f>
        <v xml:space="preserve"> </v>
      </c>
      <c r="G94" s="213" t="str">
        <f>'15'!A345</f>
        <v xml:space="preserve"> </v>
      </c>
      <c r="H94" s="213" t="str">
        <f>'15'!A355</f>
        <v xml:space="preserve"> </v>
      </c>
      <c r="I94" s="213" t="str">
        <f>'15'!A365</f>
        <v xml:space="preserve"> </v>
      </c>
      <c r="J94" s="213" t="str">
        <f>'15'!A375</f>
        <v xml:space="preserve"> </v>
      </c>
      <c r="K94" s="213" t="str">
        <f>'15'!A385</f>
        <v xml:space="preserve"> </v>
      </c>
      <c r="L94" s="213" t="str">
        <f>'15'!A395</f>
        <v xml:space="preserve"> </v>
      </c>
      <c r="M94" s="213" t="str">
        <f>'15'!A405</f>
        <v xml:space="preserve"> </v>
      </c>
      <c r="N94" s="179"/>
    </row>
    <row r="95" spans="2:14" x14ac:dyDescent="0.2">
      <c r="B95" s="244"/>
      <c r="C95" s="40"/>
      <c r="D95" s="182" t="s">
        <v>23</v>
      </c>
      <c r="E95" s="40"/>
      <c r="F95" s="213" t="str">
        <f>'15'!A336</f>
        <v xml:space="preserve"> </v>
      </c>
      <c r="G95" s="213" t="str">
        <f>'15'!A346</f>
        <v xml:space="preserve"> </v>
      </c>
      <c r="H95" s="213" t="str">
        <f>'15'!A356</f>
        <v xml:space="preserve"> </v>
      </c>
      <c r="I95" s="213" t="str">
        <f>'15'!A366</f>
        <v xml:space="preserve"> </v>
      </c>
      <c r="J95" s="213" t="str">
        <f>'15'!A376</f>
        <v xml:space="preserve"> </v>
      </c>
      <c r="K95" s="213" t="str">
        <f>'15'!A386</f>
        <v xml:space="preserve"> </v>
      </c>
      <c r="L95" s="213" t="str">
        <f>'15'!A396</f>
        <v xml:space="preserve"> </v>
      </c>
      <c r="M95" s="213" t="str">
        <f>'15'!A406</f>
        <v xml:space="preserve"> </v>
      </c>
      <c r="N95" s="179"/>
    </row>
    <row r="96" spans="2:14" x14ac:dyDescent="0.2">
      <c r="B96" s="244"/>
      <c r="C96" s="40"/>
      <c r="D96" s="224" t="s">
        <v>25</v>
      </c>
      <c r="E96" s="40"/>
      <c r="F96" s="213" t="str">
        <f>'15'!A337</f>
        <v xml:space="preserve"> </v>
      </c>
      <c r="G96" s="213" t="str">
        <f>'15'!A347</f>
        <v xml:space="preserve"> </v>
      </c>
      <c r="H96" s="213" t="str">
        <f>'15'!A357</f>
        <v xml:space="preserve"> </v>
      </c>
      <c r="I96" s="213" t="str">
        <f>'15'!A367</f>
        <v xml:space="preserve"> </v>
      </c>
      <c r="J96" s="213" t="str">
        <f>'15'!A377</f>
        <v xml:space="preserve"> </v>
      </c>
      <c r="K96" s="213" t="str">
        <f>'15'!A387</f>
        <v xml:space="preserve"> </v>
      </c>
      <c r="L96" s="213" t="str">
        <f>'15'!A397</f>
        <v xml:space="preserve"> </v>
      </c>
      <c r="M96" s="213" t="str">
        <f>'15'!A407</f>
        <v xml:space="preserve"> </v>
      </c>
      <c r="N96" s="179"/>
    </row>
    <row r="97" spans="2:14" x14ac:dyDescent="0.2">
      <c r="B97" s="244"/>
      <c r="C97" s="40" t="s">
        <v>344</v>
      </c>
      <c r="D97" s="40"/>
      <c r="E97" s="40"/>
      <c r="F97" s="213" t="str">
        <f>'15'!A338</f>
        <v xml:space="preserve"> </v>
      </c>
      <c r="G97" s="213" t="str">
        <f>'15'!A348</f>
        <v xml:space="preserve"> </v>
      </c>
      <c r="H97" s="213" t="str">
        <f>'15'!A358</f>
        <v xml:space="preserve"> </v>
      </c>
      <c r="I97" s="213" t="str">
        <f>'15'!A368</f>
        <v xml:space="preserve"> </v>
      </c>
      <c r="J97" s="213" t="str">
        <f>'15'!A378</f>
        <v xml:space="preserve"> </v>
      </c>
      <c r="K97" s="213" t="str">
        <f>'15'!A388</f>
        <v xml:space="preserve"> </v>
      </c>
      <c r="L97" s="213" t="str">
        <f>'15'!A398</f>
        <v xml:space="preserve"> </v>
      </c>
      <c r="M97" s="213" t="str">
        <f>'15'!A408</f>
        <v xml:space="preserve"> </v>
      </c>
      <c r="N97" s="179"/>
    </row>
    <row r="98" spans="2:14" x14ac:dyDescent="0.2">
      <c r="B98" s="244"/>
      <c r="C98" s="40"/>
      <c r="D98" s="182" t="s">
        <v>23</v>
      </c>
      <c r="E98" s="40"/>
      <c r="F98" s="213" t="str">
        <f>'15'!A339</f>
        <v xml:space="preserve"> </v>
      </c>
      <c r="G98" s="213" t="str">
        <f>'15'!A349</f>
        <v xml:space="preserve"> </v>
      </c>
      <c r="H98" s="213" t="str">
        <f>'15'!A359</f>
        <v xml:space="preserve"> </v>
      </c>
      <c r="I98" s="213" t="str">
        <f>'15'!A369</f>
        <v xml:space="preserve"> </v>
      </c>
      <c r="J98" s="213" t="str">
        <f>'15'!A379</f>
        <v xml:space="preserve"> </v>
      </c>
      <c r="K98" s="213" t="str">
        <f>'15'!A389</f>
        <v xml:space="preserve"> </v>
      </c>
      <c r="L98" s="213" t="str">
        <f>'15'!A399</f>
        <v xml:space="preserve"> </v>
      </c>
      <c r="M98" s="213" t="str">
        <f>'15'!A409</f>
        <v xml:space="preserve"> </v>
      </c>
      <c r="N98" s="179"/>
    </row>
    <row r="99" spans="2:14" x14ac:dyDescent="0.2">
      <c r="B99" s="244"/>
      <c r="C99" s="40"/>
      <c r="D99" s="182" t="s">
        <v>24</v>
      </c>
      <c r="E99" s="40"/>
      <c r="F99" s="213" t="str">
        <f>'15'!A340</f>
        <v xml:space="preserve"> </v>
      </c>
      <c r="G99" s="213" t="str">
        <f>'15'!A350</f>
        <v xml:space="preserve"> </v>
      </c>
      <c r="H99" s="213" t="str">
        <f>'15'!A360</f>
        <v xml:space="preserve"> </v>
      </c>
      <c r="I99" s="213" t="str">
        <f>'15'!A370</f>
        <v xml:space="preserve"> </v>
      </c>
      <c r="J99" s="213" t="str">
        <f>'15'!A380</f>
        <v xml:space="preserve"> </v>
      </c>
      <c r="K99" s="213" t="str">
        <f>'15'!A390</f>
        <v xml:space="preserve"> </v>
      </c>
      <c r="L99" s="213" t="str">
        <f>'15'!A400</f>
        <v xml:space="preserve"> </v>
      </c>
      <c r="M99" s="213" t="str">
        <f>'15'!A410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'15'!A420</f>
        <v xml:space="preserve"> </v>
      </c>
      <c r="L102" s="40"/>
      <c r="M102" s="40"/>
      <c r="N102" s="179"/>
    </row>
    <row r="103" spans="2:14" ht="12" x14ac:dyDescent="0.25">
      <c r="B103" s="244"/>
      <c r="C103" s="40"/>
      <c r="D103" s="40" t="s">
        <v>346</v>
      </c>
      <c r="E103" s="40"/>
      <c r="F103" s="309">
        <f>'15'!A421</f>
        <v>1</v>
      </c>
      <c r="G103" s="309">
        <f>'15'!A428</f>
        <v>2</v>
      </c>
      <c r="H103" s="309">
        <f>'15'!A435</f>
        <v>3</v>
      </c>
      <c r="I103" s="309">
        <f>'15'!A442</f>
        <v>4</v>
      </c>
      <c r="J103" s="309">
        <f>'15'!A449</f>
        <v>5</v>
      </c>
      <c r="K103" s="309">
        <f>'15'!A456</f>
        <v>6</v>
      </c>
      <c r="L103" s="309">
        <f>'15'!A463</f>
        <v>7</v>
      </c>
      <c r="M103" s="309">
        <f>'15'!A470</f>
        <v>8</v>
      </c>
      <c r="N103" s="179"/>
    </row>
    <row r="104" spans="2:14" x14ac:dyDescent="0.2">
      <c r="B104" s="244"/>
      <c r="C104" s="40" t="s">
        <v>347</v>
      </c>
      <c r="D104" s="40"/>
      <c r="E104" s="40"/>
      <c r="F104" s="310">
        <f>'15'!A422</f>
        <v>15000</v>
      </c>
      <c r="G104" s="310">
        <f>'15'!A429</f>
        <v>15000</v>
      </c>
      <c r="H104" s="310">
        <f>'15'!A436</f>
        <v>15000</v>
      </c>
      <c r="I104" s="310">
        <f>'15'!A443</f>
        <v>15000</v>
      </c>
      <c r="J104" s="310">
        <f>'15'!A450</f>
        <v>15000</v>
      </c>
      <c r="K104" s="310">
        <f>'15'!A457</f>
        <v>15000</v>
      </c>
      <c r="L104" s="310">
        <f>'15'!A464</f>
        <v>15000</v>
      </c>
      <c r="M104" s="310">
        <f>'15'!A471</f>
        <v>15000</v>
      </c>
      <c r="N104" s="179"/>
    </row>
    <row r="105" spans="2:14" x14ac:dyDescent="0.2">
      <c r="B105" s="244"/>
      <c r="C105" s="40" t="s">
        <v>348</v>
      </c>
      <c r="D105" s="40"/>
      <c r="E105" s="40"/>
      <c r="F105" s="310">
        <f>'15'!A423</f>
        <v>60000</v>
      </c>
      <c r="G105" s="310">
        <f>'15'!A430</f>
        <v>60000</v>
      </c>
      <c r="H105" s="310">
        <f>'15'!A437</f>
        <v>60000</v>
      </c>
      <c r="I105" s="310">
        <f>'15'!A444</f>
        <v>60000</v>
      </c>
      <c r="J105" s="310">
        <f>'15'!A451</f>
        <v>60000</v>
      </c>
      <c r="K105" s="310">
        <f>'15'!A458</f>
        <v>60000</v>
      </c>
      <c r="L105" s="310">
        <f>'15'!A465</f>
        <v>60000</v>
      </c>
      <c r="M105" s="310">
        <f>'15'!A472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'15'!A424</f>
        <v xml:space="preserve">   **</v>
      </c>
      <c r="G107" s="323" t="str">
        <f>'15'!A431</f>
        <v xml:space="preserve">   **</v>
      </c>
      <c r="H107" s="323" t="str">
        <f>'15'!A438</f>
        <v xml:space="preserve">   **</v>
      </c>
      <c r="I107" s="323" t="str">
        <f>'15'!A445</f>
        <v xml:space="preserve">   **</v>
      </c>
      <c r="J107" s="323" t="str">
        <f>'15'!A452</f>
        <v xml:space="preserve">   **</v>
      </c>
      <c r="K107" s="323" t="str">
        <f>'15'!A459</f>
        <v xml:space="preserve">   **</v>
      </c>
      <c r="L107" s="323" t="str">
        <f>'15'!A466</f>
        <v xml:space="preserve">   **</v>
      </c>
      <c r="M107" s="323" t="str">
        <f>'15'!A473</f>
        <v xml:space="preserve">   **</v>
      </c>
      <c r="N107" s="179"/>
    </row>
    <row r="108" spans="2:14" x14ac:dyDescent="0.2">
      <c r="B108" s="244"/>
      <c r="C108" s="40" t="s">
        <v>351</v>
      </c>
      <c r="D108" s="40"/>
      <c r="E108" s="40"/>
      <c r="F108" s="323" t="str">
        <f>'15'!A425</f>
        <v xml:space="preserve">   **</v>
      </c>
      <c r="G108" s="323" t="str">
        <f>'15'!A432</f>
        <v xml:space="preserve">   **</v>
      </c>
      <c r="H108" s="323" t="str">
        <f>'15'!A439</f>
        <v xml:space="preserve">   **</v>
      </c>
      <c r="I108" s="323" t="str">
        <f>'15'!A446</f>
        <v xml:space="preserve">   **</v>
      </c>
      <c r="J108" s="323" t="str">
        <f>'15'!A453</f>
        <v xml:space="preserve">   **</v>
      </c>
      <c r="K108" s="323" t="str">
        <f>'15'!A460</f>
        <v xml:space="preserve">   **</v>
      </c>
      <c r="L108" s="323" t="str">
        <f>'15'!A467</f>
        <v xml:space="preserve">   **</v>
      </c>
      <c r="M108" s="323" t="str">
        <f>'15'!A474</f>
        <v xml:space="preserve">   **</v>
      </c>
      <c r="N108" s="179"/>
    </row>
    <row r="109" spans="2:14" x14ac:dyDescent="0.2">
      <c r="B109" s="244"/>
      <c r="C109" s="40" t="s">
        <v>352</v>
      </c>
      <c r="D109" s="40"/>
      <c r="E109" s="40"/>
      <c r="F109" s="323" t="str">
        <f>'15'!A426</f>
        <v xml:space="preserve">   **</v>
      </c>
      <c r="G109" s="323" t="str">
        <f>'15'!A433</f>
        <v xml:space="preserve">   **</v>
      </c>
      <c r="H109" s="323" t="str">
        <f>'15'!A440</f>
        <v xml:space="preserve">   **</v>
      </c>
      <c r="I109" s="323" t="str">
        <f>'15'!A447</f>
        <v xml:space="preserve">   **</v>
      </c>
      <c r="J109" s="323" t="str">
        <f>'15'!A454</f>
        <v xml:space="preserve">   **</v>
      </c>
      <c r="K109" s="323" t="str">
        <f>'15'!A461</f>
        <v xml:space="preserve">   **</v>
      </c>
      <c r="L109" s="323" t="str">
        <f>'15'!A468</f>
        <v xml:space="preserve">   **</v>
      </c>
      <c r="M109" s="323" t="str">
        <f>'15'!A475</f>
        <v xml:space="preserve">   **</v>
      </c>
      <c r="N109" s="179"/>
    </row>
    <row r="110" spans="2:14" x14ac:dyDescent="0.2">
      <c r="B110" s="244"/>
      <c r="C110" s="40" t="s">
        <v>353</v>
      </c>
      <c r="D110" s="40"/>
      <c r="E110" s="40"/>
      <c r="F110" s="323" t="str">
        <f>'15'!A427</f>
        <v xml:space="preserve"> </v>
      </c>
      <c r="G110" s="323" t="str">
        <f>'15'!A434</f>
        <v xml:space="preserve"> </v>
      </c>
      <c r="H110" s="323" t="str">
        <f>'15'!A441</f>
        <v xml:space="preserve"> </v>
      </c>
      <c r="I110" s="323" t="str">
        <f>'15'!A448</f>
        <v xml:space="preserve"> </v>
      </c>
      <c r="J110" s="323" t="str">
        <f>'15'!A455</f>
        <v xml:space="preserve"> </v>
      </c>
      <c r="K110" s="323" t="str">
        <f>'15'!A462</f>
        <v xml:space="preserve"> </v>
      </c>
      <c r="L110" s="323" t="str">
        <f>'15'!A469</f>
        <v xml:space="preserve"> </v>
      </c>
      <c r="M110" s="323" t="str">
        <f>'15'!A476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30">
    <tabColor theme="8" tint="0.79998168889431442"/>
    <pageSetUpPr fitToPage="1"/>
  </sheetPr>
  <dimension ref="A1:I861"/>
  <sheetViews>
    <sheetView topLeftCell="A755"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2</v>
      </c>
    </row>
    <row r="6" spans="1:1" x14ac:dyDescent="0.2">
      <c r="A6" s="175" t="s">
        <v>682</v>
      </c>
    </row>
    <row r="7" spans="1:1" x14ac:dyDescent="0.2">
      <c r="A7" s="175">
        <v>15</v>
      </c>
    </row>
    <row r="8" spans="1:1" x14ac:dyDescent="0.2">
      <c r="A8" s="175">
        <v>0</v>
      </c>
    </row>
    <row r="9" spans="1:1" x14ac:dyDescent="0.2">
      <c r="A9" s="175">
        <v>0</v>
      </c>
    </row>
    <row r="10" spans="1:1" x14ac:dyDescent="0.2">
      <c r="A10" s="175">
        <v>0</v>
      </c>
    </row>
    <row r="11" spans="1:1" x14ac:dyDescent="0.2">
      <c r="A11" s="175">
        <v>0</v>
      </c>
    </row>
    <row r="12" spans="1:1" x14ac:dyDescent="0.2">
      <c r="A12" s="175">
        <v>0</v>
      </c>
    </row>
    <row r="13" spans="1:1" x14ac:dyDescent="0.2">
      <c r="A13" s="175">
        <v>0</v>
      </c>
    </row>
    <row r="14" spans="1:1" x14ac:dyDescent="0.2">
      <c r="A14" s="175">
        <v>0</v>
      </c>
    </row>
    <row r="15" spans="1:1" x14ac:dyDescent="0.2">
      <c r="A15" s="175">
        <v>0</v>
      </c>
    </row>
    <row r="16" spans="1:1" x14ac:dyDescent="0.2">
      <c r="A16" s="175">
        <v>0</v>
      </c>
    </row>
    <row r="17" spans="1:1" x14ac:dyDescent="0.2">
      <c r="A17" s="175">
        <v>0</v>
      </c>
    </row>
    <row r="18" spans="1:1" x14ac:dyDescent="0.2">
      <c r="A18" s="175">
        <v>0</v>
      </c>
    </row>
    <row r="19" spans="1:1" x14ac:dyDescent="0.2">
      <c r="A19" s="175">
        <v>0</v>
      </c>
    </row>
    <row r="20" spans="1:1" x14ac:dyDescent="0.2">
      <c r="A20" s="175">
        <v>0</v>
      </c>
    </row>
    <row r="21" spans="1:1" x14ac:dyDescent="0.2">
      <c r="A21" s="175">
        <v>0</v>
      </c>
    </row>
    <row r="22" spans="1:1" x14ac:dyDescent="0.2">
      <c r="A22" s="175">
        <v>0</v>
      </c>
    </row>
    <row r="23" spans="1:1" x14ac:dyDescent="0.2">
      <c r="A23" s="175">
        <v>0</v>
      </c>
    </row>
    <row r="24" spans="1:1" x14ac:dyDescent="0.2">
      <c r="A24" s="175">
        <v>0</v>
      </c>
    </row>
    <row r="25" spans="1:1" x14ac:dyDescent="0.2">
      <c r="A25" s="175">
        <v>0</v>
      </c>
    </row>
    <row r="26" spans="1:1" x14ac:dyDescent="0.2">
      <c r="A26" s="175">
        <v>0</v>
      </c>
    </row>
    <row r="27" spans="1:1" x14ac:dyDescent="0.2">
      <c r="A27" s="175">
        <v>0</v>
      </c>
    </row>
    <row r="28" spans="1:1" x14ac:dyDescent="0.2">
      <c r="A28" s="175">
        <v>0</v>
      </c>
    </row>
    <row r="29" spans="1:1" x14ac:dyDescent="0.2">
      <c r="A29" s="175">
        <v>0</v>
      </c>
    </row>
    <row r="30" spans="1:1" x14ac:dyDescent="0.2">
      <c r="A30" s="175">
        <v>0</v>
      </c>
    </row>
    <row r="31" spans="1:1" x14ac:dyDescent="0.2">
      <c r="A31" s="175">
        <v>0</v>
      </c>
    </row>
    <row r="32" spans="1:1" x14ac:dyDescent="0.2">
      <c r="A32" s="175">
        <v>0</v>
      </c>
    </row>
    <row r="33" spans="1:1" x14ac:dyDescent="0.2">
      <c r="A33" s="175">
        <v>0</v>
      </c>
    </row>
    <row r="34" spans="1:1" x14ac:dyDescent="0.2">
      <c r="A34" s="175">
        <v>0</v>
      </c>
    </row>
    <row r="35" spans="1:1" x14ac:dyDescent="0.2">
      <c r="A35" s="175">
        <v>0</v>
      </c>
    </row>
    <row r="36" spans="1:1" x14ac:dyDescent="0.2">
      <c r="A36" s="175">
        <v>0</v>
      </c>
    </row>
    <row r="37" spans="1:1" x14ac:dyDescent="0.2">
      <c r="A37" s="175">
        <v>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100</v>
      </c>
    </row>
    <row r="48" spans="1:1" x14ac:dyDescent="0.2">
      <c r="A48" s="175">
        <v>155</v>
      </c>
    </row>
    <row r="49" spans="1:1" x14ac:dyDescent="0.2">
      <c r="A49" s="175">
        <v>300</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0</v>
      </c>
    </row>
    <row r="58" spans="1:1" x14ac:dyDescent="0.2">
      <c r="A58" s="175">
        <v>3</v>
      </c>
    </row>
    <row r="59" spans="1:1" x14ac:dyDescent="0.2">
      <c r="A59" s="175">
        <v>0</v>
      </c>
    </row>
    <row r="60" spans="1:1" x14ac:dyDescent="0.2">
      <c r="A60" s="175">
        <v>0</v>
      </c>
    </row>
    <row r="61" spans="1:1" x14ac:dyDescent="0.2">
      <c r="A61" s="175">
        <v>2</v>
      </c>
    </row>
    <row r="62" spans="1:1" x14ac:dyDescent="0.2">
      <c r="A62" s="175">
        <v>6</v>
      </c>
    </row>
    <row r="63" spans="1:1" x14ac:dyDescent="0.2">
      <c r="A63" s="175">
        <v>7</v>
      </c>
    </row>
    <row r="64" spans="1:1" x14ac:dyDescent="0.2">
      <c r="A64" s="175">
        <v>0</v>
      </c>
    </row>
    <row r="65" spans="1:2" x14ac:dyDescent="0.2">
      <c r="A65" s="175">
        <v>0</v>
      </c>
      <c r="B65" s="175" t="s">
        <v>27</v>
      </c>
    </row>
    <row r="66" spans="1:2" x14ac:dyDescent="0.2">
      <c r="A66" s="175">
        <v>0</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500</v>
      </c>
    </row>
    <row r="73" spans="1:2" x14ac:dyDescent="0.2">
      <c r="A73" s="175">
        <v>2</v>
      </c>
    </row>
    <row r="74" spans="1:2" x14ac:dyDescent="0.2">
      <c r="A74" s="175">
        <v>0</v>
      </c>
    </row>
    <row r="75" spans="1:2" x14ac:dyDescent="0.2">
      <c r="A75" s="175">
        <v>0</v>
      </c>
    </row>
    <row r="76" spans="1:2" x14ac:dyDescent="0.2">
      <c r="A76" s="175">
        <v>1</v>
      </c>
    </row>
    <row r="77" spans="1:2" x14ac:dyDescent="0.2">
      <c r="A77" s="175">
        <v>0</v>
      </c>
    </row>
    <row r="78" spans="1:2" x14ac:dyDescent="0.2">
      <c r="A78" s="175">
        <v>0</v>
      </c>
    </row>
    <row r="79" spans="1:2" x14ac:dyDescent="0.2">
      <c r="A79" s="175">
        <v>0</v>
      </c>
    </row>
    <row r="80" spans="1:2" x14ac:dyDescent="0.2">
      <c r="A80" s="175">
        <v>0</v>
      </c>
    </row>
    <row r="81" spans="1:1" x14ac:dyDescent="0.2">
      <c r="A81" s="175">
        <v>2</v>
      </c>
    </row>
    <row r="82" spans="1:1" x14ac:dyDescent="0.2">
      <c r="A82" s="175">
        <v>9</v>
      </c>
    </row>
    <row r="83" spans="1:1" x14ac:dyDescent="0.2">
      <c r="A83" s="175">
        <v>900</v>
      </c>
    </row>
    <row r="84" spans="1:1" x14ac:dyDescent="0.2">
      <c r="A84" s="175">
        <v>0</v>
      </c>
    </row>
    <row r="85" spans="1:1" x14ac:dyDescent="0.2">
      <c r="A85" s="175">
        <v>40</v>
      </c>
    </row>
    <row r="86" spans="1:1" x14ac:dyDescent="0.2">
      <c r="A86" s="175">
        <v>1</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2400</v>
      </c>
    </row>
    <row r="95" spans="1:1" x14ac:dyDescent="0.2">
      <c r="A95" s="175">
        <v>0</v>
      </c>
    </row>
    <row r="96" spans="1:1" x14ac:dyDescent="0.2">
      <c r="A96" s="175">
        <v>0</v>
      </c>
    </row>
    <row r="97" spans="1:1" x14ac:dyDescent="0.2">
      <c r="A97" s="175">
        <v>0</v>
      </c>
    </row>
    <row r="98" spans="1:1" x14ac:dyDescent="0.2">
      <c r="A98" s="175">
        <v>1</v>
      </c>
    </row>
    <row r="99" spans="1:1" x14ac:dyDescent="0.2">
      <c r="A99" s="175">
        <v>0</v>
      </c>
    </row>
    <row r="100" spans="1:1" x14ac:dyDescent="0.2">
      <c r="A100" s="175">
        <v>999</v>
      </c>
    </row>
    <row r="101" spans="1:1" x14ac:dyDescent="0.2">
      <c r="A101" s="175">
        <v>999</v>
      </c>
    </row>
    <row r="102" spans="1:1" x14ac:dyDescent="0.2">
      <c r="A102" s="175">
        <v>95</v>
      </c>
    </row>
    <row r="103" spans="1:1" x14ac:dyDescent="0.2">
      <c r="A103" s="175">
        <v>95</v>
      </c>
    </row>
    <row r="104" spans="1:1" x14ac:dyDescent="0.2">
      <c r="A104" s="175">
        <v>95</v>
      </c>
    </row>
    <row r="105" spans="1:1" x14ac:dyDescent="0.2">
      <c r="A105" s="175" t="s">
        <v>603</v>
      </c>
    </row>
    <row r="106" spans="1:1" x14ac:dyDescent="0.2">
      <c r="A106" s="175" t="s">
        <v>604</v>
      </c>
    </row>
    <row r="107" spans="1:1" x14ac:dyDescent="0.2">
      <c r="A107" s="175" t="s">
        <v>603</v>
      </c>
    </row>
    <row r="108" spans="1:1" x14ac:dyDescent="0.2">
      <c r="A108" s="175">
        <v>0</v>
      </c>
    </row>
    <row r="109" spans="1:1" x14ac:dyDescent="0.2">
      <c r="A109" s="175">
        <v>0</v>
      </c>
    </row>
    <row r="110" spans="1:1" x14ac:dyDescent="0.2">
      <c r="A110" s="175">
        <v>0</v>
      </c>
    </row>
    <row r="111" spans="1:1" x14ac:dyDescent="0.2">
      <c r="A111" s="175">
        <v>0</v>
      </c>
    </row>
    <row r="112" spans="1:1" x14ac:dyDescent="0.2">
      <c r="A112" s="175">
        <v>0</v>
      </c>
    </row>
    <row r="113" spans="1:1" x14ac:dyDescent="0.2">
      <c r="A113" s="175">
        <v>0</v>
      </c>
    </row>
    <row r="114" spans="1:1" x14ac:dyDescent="0.2">
      <c r="A114" s="175">
        <v>0</v>
      </c>
    </row>
    <row r="115" spans="1:1" x14ac:dyDescent="0.2">
      <c r="A115" s="175">
        <v>0</v>
      </c>
    </row>
    <row r="116" spans="1:1" x14ac:dyDescent="0.2">
      <c r="A116" s="175">
        <v>0</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0</v>
      </c>
    </row>
    <row r="122" spans="1:1" x14ac:dyDescent="0.2">
      <c r="A122" s="175">
        <v>0</v>
      </c>
    </row>
    <row r="123" spans="1:1" x14ac:dyDescent="0.2">
      <c r="A123" s="175">
        <v>0</v>
      </c>
    </row>
    <row r="124" spans="1:1" x14ac:dyDescent="0.2">
      <c r="A124" s="175">
        <v>0</v>
      </c>
    </row>
    <row r="125" spans="1:1" x14ac:dyDescent="0.2">
      <c r="A125" s="175">
        <v>0</v>
      </c>
    </row>
    <row r="126" spans="1:1" x14ac:dyDescent="0.2">
      <c r="A126" s="175">
        <v>0</v>
      </c>
    </row>
    <row r="127" spans="1:1" x14ac:dyDescent="0.2">
      <c r="A127" s="175">
        <v>0</v>
      </c>
    </row>
    <row r="128" spans="1:1" x14ac:dyDescent="0.2">
      <c r="A128" s="175">
        <v>0</v>
      </c>
    </row>
    <row r="129" spans="1:1" x14ac:dyDescent="0.2">
      <c r="A129" s="175">
        <v>0</v>
      </c>
    </row>
    <row r="130" spans="1:1" x14ac:dyDescent="0.2">
      <c r="A130" s="175">
        <v>999</v>
      </c>
    </row>
    <row r="131" spans="1:1" x14ac:dyDescent="0.2">
      <c r="A131" s="175">
        <v>0</v>
      </c>
    </row>
    <row r="132" spans="1:1" x14ac:dyDescent="0.2">
      <c r="A132" s="175">
        <v>0</v>
      </c>
    </row>
    <row r="133" spans="1:1" x14ac:dyDescent="0.2">
      <c r="A133" s="175">
        <v>0</v>
      </c>
    </row>
    <row r="134" spans="1:1" x14ac:dyDescent="0.2">
      <c r="A134" s="175">
        <v>0</v>
      </c>
    </row>
    <row r="135" spans="1:1" x14ac:dyDescent="0.2">
      <c r="A135" s="175">
        <v>0</v>
      </c>
    </row>
    <row r="136" spans="1:1" x14ac:dyDescent="0.2">
      <c r="A136" s="175">
        <v>0</v>
      </c>
    </row>
    <row r="137" spans="1:1" x14ac:dyDescent="0.2">
      <c r="A137" s="175">
        <v>0</v>
      </c>
    </row>
    <row r="138" spans="1:1" x14ac:dyDescent="0.2">
      <c r="A138" s="175">
        <v>0</v>
      </c>
    </row>
    <row r="139" spans="1:1" x14ac:dyDescent="0.2">
      <c r="A139" s="175">
        <v>0</v>
      </c>
    </row>
    <row r="140" spans="1:1" x14ac:dyDescent="0.2">
      <c r="A140" s="175">
        <v>999</v>
      </c>
    </row>
    <row r="141" spans="1:1" x14ac:dyDescent="0.2">
      <c r="A141" s="175">
        <v>0</v>
      </c>
    </row>
    <row r="142" spans="1:1" x14ac:dyDescent="0.2">
      <c r="A142" s="175">
        <v>0</v>
      </c>
    </row>
    <row r="143" spans="1:1" x14ac:dyDescent="0.2">
      <c r="A143" s="175">
        <v>0</v>
      </c>
    </row>
    <row r="144" spans="1:1" x14ac:dyDescent="0.2">
      <c r="A144" s="175">
        <v>0</v>
      </c>
    </row>
    <row r="145" spans="1:1" x14ac:dyDescent="0.2">
      <c r="A145" s="175">
        <v>0</v>
      </c>
    </row>
    <row r="146" spans="1:1" x14ac:dyDescent="0.2">
      <c r="A146" s="175">
        <v>0</v>
      </c>
    </row>
    <row r="147" spans="1:1" x14ac:dyDescent="0.2">
      <c r="A147" s="175">
        <v>0</v>
      </c>
    </row>
    <row r="148" spans="1:1" x14ac:dyDescent="0.2">
      <c r="A148" s="175">
        <v>0</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0</v>
      </c>
    </row>
    <row r="162" spans="1:1" x14ac:dyDescent="0.2">
      <c r="A162" s="175">
        <v>0</v>
      </c>
    </row>
    <row r="163" spans="1:1" x14ac:dyDescent="0.2">
      <c r="A163" s="175">
        <v>0</v>
      </c>
    </row>
    <row r="164" spans="1:1" x14ac:dyDescent="0.2">
      <c r="A164" s="175">
        <v>0</v>
      </c>
    </row>
    <row r="165" spans="1:1" x14ac:dyDescent="0.2">
      <c r="A165" s="175">
        <v>0</v>
      </c>
    </row>
    <row r="166" spans="1:1" x14ac:dyDescent="0.2">
      <c r="A166" s="175">
        <v>0</v>
      </c>
    </row>
    <row r="167" spans="1:1" x14ac:dyDescent="0.2">
      <c r="A167" s="175">
        <v>0</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496</v>
      </c>
    </row>
    <row r="178" spans="1:1" x14ac:dyDescent="0.2">
      <c r="A178" s="175" t="s">
        <v>496</v>
      </c>
    </row>
    <row r="179" spans="1:1" x14ac:dyDescent="0.2">
      <c r="A179" s="175" t="s">
        <v>496</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0</v>
      </c>
    </row>
    <row r="192" spans="1:1" x14ac:dyDescent="0.2">
      <c r="A192" s="175">
        <v>0</v>
      </c>
    </row>
    <row r="193" spans="1:1" x14ac:dyDescent="0.2">
      <c r="A193" s="175">
        <v>2</v>
      </c>
    </row>
    <row r="194" spans="1:1" x14ac:dyDescent="0.2">
      <c r="A194" s="175">
        <v>0</v>
      </c>
    </row>
    <row r="195" spans="1:1" x14ac:dyDescent="0.2">
      <c r="A195" s="175">
        <v>0</v>
      </c>
    </row>
    <row r="196" spans="1:1" x14ac:dyDescent="0.2">
      <c r="A196" s="175">
        <v>0</v>
      </c>
    </row>
    <row r="197" spans="1:1" x14ac:dyDescent="0.2">
      <c r="A197" s="175">
        <v>11</v>
      </c>
    </row>
    <row r="198" spans="1:1" x14ac:dyDescent="0.2">
      <c r="A198" s="175">
        <v>0</v>
      </c>
    </row>
    <row r="199" spans="1:1" x14ac:dyDescent="0.2">
      <c r="A199" s="175">
        <v>999</v>
      </c>
    </row>
    <row r="200" spans="1:1" x14ac:dyDescent="0.2">
      <c r="A200" s="175">
        <v>999</v>
      </c>
    </row>
    <row r="201" spans="1:1" x14ac:dyDescent="0.2">
      <c r="A201" s="175">
        <v>15000</v>
      </c>
    </row>
    <row r="202" spans="1:1" x14ac:dyDescent="0.2">
      <c r="A202" s="175">
        <v>0</v>
      </c>
    </row>
    <row r="203" spans="1:1" x14ac:dyDescent="0.2">
      <c r="A203" s="175">
        <v>0</v>
      </c>
    </row>
    <row r="204" spans="1:1" x14ac:dyDescent="0.2">
      <c r="A204" s="175">
        <v>15000</v>
      </c>
    </row>
    <row r="205" spans="1:1" x14ac:dyDescent="0.2">
      <c r="A205" s="175">
        <v>0</v>
      </c>
    </row>
    <row r="206" spans="1:1" x14ac:dyDescent="0.2">
      <c r="A206" s="175">
        <v>0</v>
      </c>
    </row>
    <row r="207" spans="1:1" x14ac:dyDescent="0.2">
      <c r="A207" s="175">
        <v>60000</v>
      </c>
    </row>
    <row r="208" spans="1:1" x14ac:dyDescent="0.2">
      <c r="A208" s="175">
        <v>0</v>
      </c>
    </row>
    <row r="209" spans="1:1" x14ac:dyDescent="0.2">
      <c r="A209" s="175">
        <v>81500</v>
      </c>
    </row>
    <row r="210" spans="1:1" x14ac:dyDescent="0.2">
      <c r="A210" s="175">
        <v>0</v>
      </c>
    </row>
    <row r="211" spans="1:1" x14ac:dyDescent="0.2">
      <c r="A211" s="175">
        <v>0</v>
      </c>
    </row>
    <row r="212" spans="1:1" x14ac:dyDescent="0.2">
      <c r="A212" s="175">
        <v>7500</v>
      </c>
    </row>
    <row r="213" spans="1:1" x14ac:dyDescent="0.2">
      <c r="A213" s="175">
        <v>0</v>
      </c>
    </row>
    <row r="214" spans="1:1" x14ac:dyDescent="0.2">
      <c r="A214" s="175">
        <v>0</v>
      </c>
    </row>
    <row r="215" spans="1:1" x14ac:dyDescent="0.2">
      <c r="A215" s="175">
        <v>40000</v>
      </c>
    </row>
    <row r="216" spans="1:1" x14ac:dyDescent="0.2">
      <c r="A216" s="175">
        <v>190</v>
      </c>
    </row>
    <row r="217" spans="1:1" x14ac:dyDescent="0.2">
      <c r="A217" s="175">
        <v>219190</v>
      </c>
    </row>
    <row r="218" spans="1:1" x14ac:dyDescent="0.2">
      <c r="A218" s="175">
        <v>0</v>
      </c>
    </row>
    <row r="219" spans="1:1" x14ac:dyDescent="0.2">
      <c r="A219" s="175">
        <v>0</v>
      </c>
    </row>
    <row r="220" spans="1:1" x14ac:dyDescent="0.2">
      <c r="A220" s="175">
        <v>50000</v>
      </c>
    </row>
    <row r="221" spans="1:1" x14ac:dyDescent="0.2">
      <c r="A221" s="175">
        <v>0</v>
      </c>
    </row>
    <row r="222" spans="1:1" x14ac:dyDescent="0.2">
      <c r="A222" s="175">
        <v>0</v>
      </c>
    </row>
    <row r="223" spans="1:1" x14ac:dyDescent="0.2">
      <c r="A223" s="175">
        <v>288459</v>
      </c>
    </row>
    <row r="224" spans="1:1" x14ac:dyDescent="0.2">
      <c r="A224" s="175">
        <v>0</v>
      </c>
    </row>
    <row r="225" spans="1:1" x14ac:dyDescent="0.2">
      <c r="A225" s="175">
        <v>6000</v>
      </c>
    </row>
    <row r="226" spans="1:1" x14ac:dyDescent="0.2">
      <c r="A226" s="175">
        <v>0</v>
      </c>
    </row>
    <row r="227" spans="1:1" x14ac:dyDescent="0.2">
      <c r="A227" s="175">
        <v>850000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-1132459</v>
      </c>
    </row>
    <row r="234" spans="1:1" x14ac:dyDescent="0.2">
      <c r="A234" s="175">
        <v>3950000</v>
      </c>
    </row>
    <row r="235" spans="1:1" x14ac:dyDescent="0.2">
      <c r="A235" s="175">
        <v>999</v>
      </c>
    </row>
    <row r="236" spans="1:1" x14ac:dyDescent="0.2">
      <c r="A236" s="175">
        <v>999</v>
      </c>
    </row>
    <row r="237" spans="1:1" x14ac:dyDescent="0.2">
      <c r="A237" s="175">
        <v>999</v>
      </c>
    </row>
    <row r="238" spans="1:1" x14ac:dyDescent="0.2">
      <c r="A238" s="175">
        <v>116000</v>
      </c>
    </row>
    <row r="239" spans="1:1" x14ac:dyDescent="0.2">
      <c r="A239" s="175">
        <v>1702000</v>
      </c>
    </row>
    <row r="240" spans="1:1" x14ac:dyDescent="0.2">
      <c r="A240" s="175">
        <v>0</v>
      </c>
    </row>
    <row r="241" spans="1:1" x14ac:dyDescent="0.2">
      <c r="A241" s="175">
        <v>0</v>
      </c>
    </row>
    <row r="242" spans="1:1" x14ac:dyDescent="0.2">
      <c r="A242" s="175">
        <v>0</v>
      </c>
    </row>
    <row r="243" spans="1:1" x14ac:dyDescent="0.2">
      <c r="A243" s="175">
        <v>0</v>
      </c>
    </row>
    <row r="244" spans="1:1" x14ac:dyDescent="0.2">
      <c r="A244" s="175">
        <v>183537</v>
      </c>
    </row>
    <row r="245" spans="1:1" x14ac:dyDescent="0.2">
      <c r="A245" s="175">
        <v>0</v>
      </c>
    </row>
    <row r="246" spans="1:1" x14ac:dyDescent="0.2">
      <c r="A246" s="175">
        <v>0</v>
      </c>
    </row>
    <row r="247" spans="1:1" x14ac:dyDescent="0.2">
      <c r="A247" s="175">
        <v>0</v>
      </c>
    </row>
    <row r="248" spans="1:1" x14ac:dyDescent="0.2">
      <c r="A248" s="175">
        <v>0</v>
      </c>
    </row>
    <row r="249" spans="1:1" x14ac:dyDescent="0.2">
      <c r="A249" s="175">
        <v>0</v>
      </c>
    </row>
    <row r="250" spans="1:1" x14ac:dyDescent="0.2">
      <c r="A250" s="175">
        <v>160480</v>
      </c>
    </row>
    <row r="251" spans="1:1" x14ac:dyDescent="0.2">
      <c r="A251" s="175">
        <v>23057</v>
      </c>
    </row>
    <row r="252" spans="1:1" x14ac:dyDescent="0.2">
      <c r="A252" s="175">
        <v>-23057</v>
      </c>
    </row>
    <row r="253" spans="1:1" x14ac:dyDescent="0.2">
      <c r="A253" s="175">
        <v>0</v>
      </c>
    </row>
    <row r="254" spans="1:1" x14ac:dyDescent="0.2">
      <c r="A254" s="175">
        <v>15000</v>
      </c>
    </row>
    <row r="255" spans="1:1" x14ac:dyDescent="0.2">
      <c r="A255" s="175">
        <v>0</v>
      </c>
    </row>
    <row r="256" spans="1:1" x14ac:dyDescent="0.2">
      <c r="A256" s="175">
        <v>-251247</v>
      </c>
    </row>
    <row r="257" spans="1:1" x14ac:dyDescent="0.2">
      <c r="A257" s="175">
        <v>-251247</v>
      </c>
    </row>
    <row r="258" spans="1:1" x14ac:dyDescent="0.2">
      <c r="A258" s="175">
        <v>999</v>
      </c>
    </row>
    <row r="259" spans="1:1" x14ac:dyDescent="0.2">
      <c r="A259" s="175">
        <v>999</v>
      </c>
    </row>
    <row r="260" spans="1:1" x14ac:dyDescent="0.2">
      <c r="A260" s="175">
        <v>0</v>
      </c>
    </row>
    <row r="261" spans="1:1" x14ac:dyDescent="0.2">
      <c r="A261" s="175">
        <v>50000</v>
      </c>
    </row>
    <row r="262" spans="1:1" x14ac:dyDescent="0.2">
      <c r="A262" s="175">
        <v>250000</v>
      </c>
    </row>
    <row r="263" spans="1:1" x14ac:dyDescent="0.2">
      <c r="A263" s="175">
        <v>585000</v>
      </c>
    </row>
    <row r="264" spans="1:1" x14ac:dyDescent="0.2">
      <c r="A264" s="175">
        <v>0</v>
      </c>
    </row>
    <row r="265" spans="1:1" x14ac:dyDescent="0.2">
      <c r="A265" s="175">
        <v>0</v>
      </c>
    </row>
    <row r="266" spans="1:1" x14ac:dyDescent="0.2">
      <c r="A266" s="175">
        <v>0</v>
      </c>
    </row>
    <row r="267" spans="1:1" x14ac:dyDescent="0.2">
      <c r="A267" s="175">
        <v>160480</v>
      </c>
    </row>
    <row r="268" spans="1:1" x14ac:dyDescent="0.2">
      <c r="A268" s="175">
        <v>0</v>
      </c>
    </row>
    <row r="269" spans="1:1" x14ac:dyDescent="0.2">
      <c r="A269" s="175">
        <v>2817541</v>
      </c>
    </row>
    <row r="270" spans="1:1" x14ac:dyDescent="0.2">
      <c r="A270" s="175">
        <v>2400000</v>
      </c>
    </row>
    <row r="271" spans="1:1" x14ac:dyDescent="0.2">
      <c r="A271" s="175">
        <v>0</v>
      </c>
    </row>
    <row r="272" spans="1:1" x14ac:dyDescent="0.2">
      <c r="A272" s="175">
        <v>114268</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3748753</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50</v>
      </c>
    </row>
    <row r="286" spans="1:1" x14ac:dyDescent="0.2">
      <c r="A286" s="175">
        <v>110</v>
      </c>
    </row>
    <row r="287" spans="1:1" x14ac:dyDescent="0.2">
      <c r="A287" s="175">
        <v>0</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0</v>
      </c>
    </row>
    <row r="293" spans="1:1" x14ac:dyDescent="0.2">
      <c r="A293" s="175">
        <v>2</v>
      </c>
    </row>
    <row r="294" spans="1:1" x14ac:dyDescent="0.2">
      <c r="A294" s="175">
        <v>2</v>
      </c>
    </row>
    <row r="295" spans="1:1" x14ac:dyDescent="0.2">
      <c r="A295" s="175">
        <v>0</v>
      </c>
    </row>
    <row r="296" spans="1:1" x14ac:dyDescent="0.2">
      <c r="A296" s="175">
        <v>0</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0</v>
      </c>
    </row>
    <row r="302" spans="1:1" x14ac:dyDescent="0.2">
      <c r="A302" s="175">
        <v>0</v>
      </c>
    </row>
    <row r="303" spans="1:1" x14ac:dyDescent="0.2">
      <c r="A303" s="175">
        <v>0</v>
      </c>
    </row>
    <row r="304" spans="1:1" x14ac:dyDescent="0.2">
      <c r="A304" s="175">
        <v>100</v>
      </c>
    </row>
    <row r="305" spans="1:1" x14ac:dyDescent="0.2">
      <c r="A305" s="175">
        <v>0</v>
      </c>
    </row>
    <row r="306" spans="1:1" x14ac:dyDescent="0.2">
      <c r="A306" s="175">
        <v>0</v>
      </c>
    </row>
    <row r="307" spans="1:1" x14ac:dyDescent="0.2">
      <c r="A307" s="175">
        <v>0</v>
      </c>
    </row>
    <row r="308" spans="1:1" x14ac:dyDescent="0.2">
      <c r="A308" s="175">
        <v>0</v>
      </c>
    </row>
    <row r="309" spans="1:1" x14ac:dyDescent="0.2">
      <c r="A309" s="175">
        <v>999</v>
      </c>
    </row>
    <row r="310" spans="1:1" x14ac:dyDescent="0.2">
      <c r="A310" s="175">
        <v>999</v>
      </c>
    </row>
    <row r="311" spans="1:1" x14ac:dyDescent="0.2">
      <c r="A311" s="175">
        <v>0</v>
      </c>
    </row>
    <row r="312" spans="1:1" x14ac:dyDescent="0.2">
      <c r="A312" s="175">
        <v>0</v>
      </c>
    </row>
    <row r="313" spans="1:1" x14ac:dyDescent="0.2">
      <c r="A313" s="175">
        <v>0</v>
      </c>
    </row>
    <row r="314" spans="1:1" x14ac:dyDescent="0.2">
      <c r="A314" s="175">
        <v>0</v>
      </c>
    </row>
    <row r="315" spans="1:1" x14ac:dyDescent="0.2">
      <c r="A315" s="175">
        <v>0</v>
      </c>
    </row>
    <row r="316" spans="1:1" x14ac:dyDescent="0.2">
      <c r="A316" s="175">
        <v>0</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0</v>
      </c>
    </row>
    <row r="322" spans="1:1" x14ac:dyDescent="0.2">
      <c r="A322" s="175">
        <v>0</v>
      </c>
    </row>
    <row r="323" spans="1:1" x14ac:dyDescent="0.2">
      <c r="A323" s="175">
        <v>0</v>
      </c>
    </row>
    <row r="324" spans="1:1" x14ac:dyDescent="0.2">
      <c r="A324" s="175">
        <v>0</v>
      </c>
    </row>
    <row r="325" spans="1:1" x14ac:dyDescent="0.2">
      <c r="A325" s="175">
        <v>2</v>
      </c>
    </row>
    <row r="326" spans="1:1" x14ac:dyDescent="0.2">
      <c r="A326" s="175">
        <v>0</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15000</v>
      </c>
    </row>
    <row r="423" spans="1:1" x14ac:dyDescent="0.2">
      <c r="A423" s="175">
        <v>60000</v>
      </c>
    </row>
    <row r="424" spans="1:1" x14ac:dyDescent="0.2">
      <c r="A424" s="175" t="s">
        <v>602</v>
      </c>
    </row>
    <row r="425" spans="1:1" x14ac:dyDescent="0.2">
      <c r="A425" s="175" t="s">
        <v>602</v>
      </c>
    </row>
    <row r="426" spans="1:1" x14ac:dyDescent="0.2">
      <c r="A426" s="175" t="s">
        <v>602</v>
      </c>
    </row>
    <row r="427" spans="1:1" x14ac:dyDescent="0.2">
      <c r="A427" s="175" t="s">
        <v>0</v>
      </c>
    </row>
    <row r="428" spans="1:1" x14ac:dyDescent="0.2">
      <c r="A428" s="175">
        <v>2</v>
      </c>
    </row>
    <row r="429" spans="1:1" x14ac:dyDescent="0.2">
      <c r="A429" s="175">
        <v>15000</v>
      </c>
    </row>
    <row r="430" spans="1:1" x14ac:dyDescent="0.2">
      <c r="A430" s="175">
        <v>60000</v>
      </c>
    </row>
    <row r="431" spans="1:1" x14ac:dyDescent="0.2">
      <c r="A431" s="175" t="s">
        <v>602</v>
      </c>
    </row>
    <row r="432" spans="1:1" x14ac:dyDescent="0.2">
      <c r="A432" s="175" t="s">
        <v>602</v>
      </c>
    </row>
    <row r="433" spans="1:1" x14ac:dyDescent="0.2">
      <c r="A433" s="175" t="s">
        <v>602</v>
      </c>
    </row>
    <row r="434" spans="1:1" x14ac:dyDescent="0.2">
      <c r="A434" s="175" t="s">
        <v>0</v>
      </c>
    </row>
    <row r="435" spans="1:1" x14ac:dyDescent="0.2">
      <c r="A435" s="175">
        <v>3</v>
      </c>
    </row>
    <row r="436" spans="1:1" x14ac:dyDescent="0.2">
      <c r="A436" s="175">
        <v>15000</v>
      </c>
    </row>
    <row r="437" spans="1:1" x14ac:dyDescent="0.2">
      <c r="A437" s="175">
        <v>60000</v>
      </c>
    </row>
    <row r="438" spans="1:1" x14ac:dyDescent="0.2">
      <c r="A438" s="175" t="s">
        <v>602</v>
      </c>
    </row>
    <row r="439" spans="1:1" x14ac:dyDescent="0.2">
      <c r="A439" s="175" t="s">
        <v>602</v>
      </c>
    </row>
    <row r="440" spans="1:1" x14ac:dyDescent="0.2">
      <c r="A440" s="175" t="s">
        <v>602</v>
      </c>
    </row>
    <row r="441" spans="1:1" x14ac:dyDescent="0.2">
      <c r="A441" s="175" t="s">
        <v>0</v>
      </c>
    </row>
    <row r="442" spans="1:1" x14ac:dyDescent="0.2">
      <c r="A442" s="175">
        <v>4</v>
      </c>
    </row>
    <row r="443" spans="1:1" x14ac:dyDescent="0.2">
      <c r="A443" s="175">
        <v>15000</v>
      </c>
    </row>
    <row r="444" spans="1:1" x14ac:dyDescent="0.2">
      <c r="A444" s="175">
        <v>60000</v>
      </c>
    </row>
    <row r="445" spans="1:1" x14ac:dyDescent="0.2">
      <c r="A445" s="175" t="s">
        <v>602</v>
      </c>
    </row>
    <row r="446" spans="1:1" x14ac:dyDescent="0.2">
      <c r="A446" s="175" t="s">
        <v>602</v>
      </c>
    </row>
    <row r="447" spans="1:1" x14ac:dyDescent="0.2">
      <c r="A447" s="175" t="s">
        <v>602</v>
      </c>
    </row>
    <row r="448" spans="1:1" x14ac:dyDescent="0.2">
      <c r="A448" s="175" t="s">
        <v>0</v>
      </c>
    </row>
    <row r="449" spans="1:1" x14ac:dyDescent="0.2">
      <c r="A449" s="175">
        <v>5</v>
      </c>
    </row>
    <row r="450" spans="1:1" x14ac:dyDescent="0.2">
      <c r="A450" s="175">
        <v>15000</v>
      </c>
    </row>
    <row r="451" spans="1:1" x14ac:dyDescent="0.2">
      <c r="A451" s="175">
        <v>60000</v>
      </c>
    </row>
    <row r="452" spans="1:1" x14ac:dyDescent="0.2">
      <c r="A452" s="175" t="s">
        <v>602</v>
      </c>
    </row>
    <row r="453" spans="1:1" x14ac:dyDescent="0.2">
      <c r="A453" s="175" t="s">
        <v>602</v>
      </c>
    </row>
    <row r="454" spans="1:1" x14ac:dyDescent="0.2">
      <c r="A454" s="175" t="s">
        <v>602</v>
      </c>
    </row>
    <row r="455" spans="1:1" x14ac:dyDescent="0.2">
      <c r="A455" s="175" t="s">
        <v>0</v>
      </c>
    </row>
    <row r="456" spans="1:1" x14ac:dyDescent="0.2">
      <c r="A456" s="175">
        <v>6</v>
      </c>
    </row>
    <row r="457" spans="1:1" x14ac:dyDescent="0.2">
      <c r="A457" s="175">
        <v>15000</v>
      </c>
    </row>
    <row r="458" spans="1:1" x14ac:dyDescent="0.2">
      <c r="A458" s="175">
        <v>60000</v>
      </c>
    </row>
    <row r="459" spans="1:1" x14ac:dyDescent="0.2">
      <c r="A459" s="175" t="s">
        <v>602</v>
      </c>
    </row>
    <row r="460" spans="1:1" x14ac:dyDescent="0.2">
      <c r="A460" s="175" t="s">
        <v>602</v>
      </c>
    </row>
    <row r="461" spans="1:1" x14ac:dyDescent="0.2">
      <c r="A461" s="175" t="s">
        <v>602</v>
      </c>
    </row>
    <row r="462" spans="1:1" x14ac:dyDescent="0.2">
      <c r="A462" s="175" t="s">
        <v>0</v>
      </c>
    </row>
    <row r="463" spans="1:1" x14ac:dyDescent="0.2">
      <c r="A463" s="175">
        <v>7</v>
      </c>
    </row>
    <row r="464" spans="1:1" x14ac:dyDescent="0.2">
      <c r="A464" s="175">
        <v>15000</v>
      </c>
    </row>
    <row r="465" spans="1:1" x14ac:dyDescent="0.2">
      <c r="A465" s="175">
        <v>60000</v>
      </c>
    </row>
    <row r="466" spans="1:1" x14ac:dyDescent="0.2">
      <c r="A466" s="175" t="s">
        <v>602</v>
      </c>
    </row>
    <row r="467" spans="1:1" x14ac:dyDescent="0.2">
      <c r="A467" s="175" t="s">
        <v>602</v>
      </c>
    </row>
    <row r="468" spans="1:1" x14ac:dyDescent="0.2">
      <c r="A468" s="175" t="s">
        <v>602</v>
      </c>
    </row>
    <row r="469" spans="1:1" x14ac:dyDescent="0.2">
      <c r="A469" s="175" t="s">
        <v>0</v>
      </c>
    </row>
    <row r="470" spans="1:1" x14ac:dyDescent="0.2">
      <c r="A470" s="175">
        <v>8</v>
      </c>
    </row>
    <row r="471" spans="1:1" x14ac:dyDescent="0.2">
      <c r="A471" s="175">
        <v>15000</v>
      </c>
    </row>
    <row r="472" spans="1:1" x14ac:dyDescent="0.2">
      <c r="A472" s="175">
        <v>60000</v>
      </c>
    </row>
    <row r="473" spans="1:1" x14ac:dyDescent="0.2">
      <c r="A473" s="175" t="s">
        <v>602</v>
      </c>
    </row>
    <row r="474" spans="1:1" x14ac:dyDescent="0.2">
      <c r="A474" s="175" t="s">
        <v>602</v>
      </c>
    </row>
    <row r="475" spans="1:1" x14ac:dyDescent="0.2">
      <c r="A475" s="175" t="s">
        <v>602</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5975</v>
      </c>
    </row>
    <row r="505" spans="1:1" x14ac:dyDescent="0.2">
      <c r="A505" s="175">
        <v>4798</v>
      </c>
    </row>
    <row r="506" spans="1:1" x14ac:dyDescent="0.2">
      <c r="A506" s="175">
        <v>4298</v>
      </c>
    </row>
    <row r="507" spans="1:1" x14ac:dyDescent="0.2">
      <c r="A507" s="175">
        <v>84</v>
      </c>
    </row>
    <row r="508" spans="1:1" x14ac:dyDescent="0.2">
      <c r="A508" s="175">
        <v>44</v>
      </c>
    </row>
    <row r="509" spans="1:1" x14ac:dyDescent="0.2">
      <c r="A509" s="175">
        <v>1753</v>
      </c>
    </row>
    <row r="510" spans="1:1" x14ac:dyDescent="0.2">
      <c r="A510" s="175">
        <v>1501</v>
      </c>
    </row>
    <row r="511" spans="1:1" x14ac:dyDescent="0.2">
      <c r="A511" s="175">
        <v>83</v>
      </c>
    </row>
    <row r="512" spans="1:1" x14ac:dyDescent="0.2">
      <c r="A512" s="175">
        <v>999</v>
      </c>
    </row>
    <row r="513" spans="1:1" x14ac:dyDescent="0.2">
      <c r="A513" s="175">
        <v>999</v>
      </c>
    </row>
    <row r="514" spans="1:1" x14ac:dyDescent="0.2">
      <c r="A514" s="175">
        <v>66040</v>
      </c>
    </row>
    <row r="515" spans="1:1" x14ac:dyDescent="0.2">
      <c r="A515" s="175">
        <v>79567</v>
      </c>
    </row>
    <row r="516" spans="1:1" x14ac:dyDescent="0.2">
      <c r="A516" s="175">
        <v>75192</v>
      </c>
    </row>
    <row r="517" spans="1:1" x14ac:dyDescent="0.2">
      <c r="A517" s="175">
        <v>71611</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9091</v>
      </c>
    </row>
    <row r="523" spans="1:1" x14ac:dyDescent="0.2">
      <c r="A523" s="175">
        <v>3636400</v>
      </c>
    </row>
    <row r="524" spans="1:1" x14ac:dyDescent="0.2">
      <c r="A524" s="175">
        <v>0</v>
      </c>
    </row>
    <row r="525" spans="1:1" x14ac:dyDescent="0.2">
      <c r="A525" s="175">
        <v>3636400</v>
      </c>
    </row>
    <row r="526" spans="1:1" x14ac:dyDescent="0.2">
      <c r="A526" s="175">
        <v>0</v>
      </c>
    </row>
    <row r="527" spans="1:1" x14ac:dyDescent="0.2">
      <c r="A527" s="175">
        <v>0</v>
      </c>
    </row>
    <row r="528" spans="1:1" x14ac:dyDescent="0.2">
      <c r="A528" s="175">
        <v>0</v>
      </c>
    </row>
    <row r="529" spans="1:1" x14ac:dyDescent="0.2">
      <c r="A529" s="175">
        <v>0</v>
      </c>
    </row>
    <row r="530" spans="1:1" x14ac:dyDescent="0.2">
      <c r="A530" s="175">
        <v>0</v>
      </c>
    </row>
    <row r="531" spans="1:1" x14ac:dyDescent="0.2">
      <c r="A531" s="175">
        <v>0</v>
      </c>
    </row>
    <row r="532" spans="1:1" x14ac:dyDescent="0.2">
      <c r="A532" s="175">
        <v>0</v>
      </c>
    </row>
    <row r="533" spans="1:1" x14ac:dyDescent="0.2">
      <c r="A533" s="175">
        <v>0</v>
      </c>
    </row>
    <row r="534" spans="1:1" x14ac:dyDescent="0.2">
      <c r="A534" s="175">
        <v>0</v>
      </c>
    </row>
    <row r="535" spans="1:1" x14ac:dyDescent="0.2">
      <c r="A535" s="175">
        <v>0</v>
      </c>
    </row>
    <row r="536" spans="1:1" x14ac:dyDescent="0.2">
      <c r="A536" s="175">
        <v>900</v>
      </c>
    </row>
    <row r="537" spans="1:1" x14ac:dyDescent="0.2">
      <c r="A537" s="175">
        <v>0</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9091</v>
      </c>
    </row>
    <row r="543" spans="1:1" x14ac:dyDescent="0.2">
      <c r="A543" s="175">
        <v>3636400</v>
      </c>
    </row>
    <row r="544" spans="1:1" x14ac:dyDescent="0.2">
      <c r="A544" s="175">
        <v>0</v>
      </c>
    </row>
    <row r="545" spans="1:1" x14ac:dyDescent="0.2">
      <c r="A545" s="175">
        <v>3636400</v>
      </c>
    </row>
    <row r="546" spans="1:1" x14ac:dyDescent="0.2">
      <c r="A546" s="175">
        <v>0</v>
      </c>
    </row>
    <row r="547" spans="1:1" x14ac:dyDescent="0.2">
      <c r="A547" s="175">
        <v>0</v>
      </c>
    </row>
    <row r="548" spans="1:1" x14ac:dyDescent="0.2">
      <c r="A548" s="175">
        <v>0</v>
      </c>
    </row>
    <row r="549" spans="1:1" x14ac:dyDescent="0.2">
      <c r="A549" s="175">
        <v>0</v>
      </c>
    </row>
    <row r="550" spans="1:1" x14ac:dyDescent="0.2">
      <c r="A550" s="175">
        <v>0</v>
      </c>
    </row>
    <row r="551" spans="1:1" x14ac:dyDescent="0.2">
      <c r="A551" s="175">
        <v>0</v>
      </c>
    </row>
    <row r="552" spans="1:1" x14ac:dyDescent="0.2">
      <c r="A552" s="175">
        <v>0</v>
      </c>
    </row>
    <row r="553" spans="1:1" x14ac:dyDescent="0.2">
      <c r="A553" s="175">
        <v>0</v>
      </c>
    </row>
    <row r="554" spans="1:1" x14ac:dyDescent="0.2">
      <c r="A554" s="175">
        <v>0</v>
      </c>
    </row>
    <row r="555" spans="1:1" x14ac:dyDescent="0.2">
      <c r="A555" s="175">
        <v>0</v>
      </c>
    </row>
    <row r="556" spans="1:1" x14ac:dyDescent="0.2">
      <c r="A556" s="175">
        <v>900</v>
      </c>
    </row>
    <row r="557" spans="1:1" x14ac:dyDescent="0.2">
      <c r="A557" s="175">
        <v>0</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9091</v>
      </c>
    </row>
    <row r="563" spans="1:1" x14ac:dyDescent="0.2">
      <c r="A563" s="175">
        <v>3636400</v>
      </c>
    </row>
    <row r="564" spans="1:1" x14ac:dyDescent="0.2">
      <c r="A564" s="175">
        <v>0</v>
      </c>
    </row>
    <row r="565" spans="1:1" x14ac:dyDescent="0.2">
      <c r="A565" s="175">
        <v>3636400</v>
      </c>
    </row>
    <row r="566" spans="1:1" x14ac:dyDescent="0.2">
      <c r="A566" s="175">
        <v>0</v>
      </c>
    </row>
    <row r="567" spans="1:1" x14ac:dyDescent="0.2">
      <c r="A567" s="175">
        <v>0</v>
      </c>
    </row>
    <row r="568" spans="1:1" x14ac:dyDescent="0.2">
      <c r="A568" s="175">
        <v>0</v>
      </c>
    </row>
    <row r="569" spans="1:1" x14ac:dyDescent="0.2">
      <c r="A569" s="175">
        <v>0</v>
      </c>
    </row>
    <row r="570" spans="1:1" x14ac:dyDescent="0.2">
      <c r="A570" s="175">
        <v>0</v>
      </c>
    </row>
    <row r="571" spans="1:1" x14ac:dyDescent="0.2">
      <c r="A571" s="175">
        <v>0</v>
      </c>
    </row>
    <row r="572" spans="1:1" x14ac:dyDescent="0.2">
      <c r="A572" s="175">
        <v>0</v>
      </c>
    </row>
    <row r="573" spans="1:1" x14ac:dyDescent="0.2">
      <c r="A573" s="175">
        <v>0</v>
      </c>
    </row>
    <row r="574" spans="1:1" x14ac:dyDescent="0.2">
      <c r="A574" s="175">
        <v>0</v>
      </c>
    </row>
    <row r="575" spans="1:1" x14ac:dyDescent="0.2">
      <c r="A575" s="175">
        <v>0</v>
      </c>
    </row>
    <row r="576" spans="1:1" x14ac:dyDescent="0.2">
      <c r="A576" s="175">
        <v>900</v>
      </c>
    </row>
    <row r="577" spans="1:1" x14ac:dyDescent="0.2">
      <c r="A577" s="175">
        <v>0</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9091</v>
      </c>
    </row>
    <row r="583" spans="1:1" x14ac:dyDescent="0.2">
      <c r="A583" s="175">
        <v>3636400</v>
      </c>
    </row>
    <row r="584" spans="1:1" x14ac:dyDescent="0.2">
      <c r="A584" s="175">
        <v>0</v>
      </c>
    </row>
    <row r="585" spans="1:1" x14ac:dyDescent="0.2">
      <c r="A585" s="175">
        <v>3636400</v>
      </c>
    </row>
    <row r="586" spans="1:1" x14ac:dyDescent="0.2">
      <c r="A586" s="175">
        <v>0</v>
      </c>
    </row>
    <row r="587" spans="1:1" x14ac:dyDescent="0.2">
      <c r="A587" s="175">
        <v>0</v>
      </c>
    </row>
    <row r="588" spans="1:1" x14ac:dyDescent="0.2">
      <c r="A588" s="175">
        <v>0</v>
      </c>
    </row>
    <row r="589" spans="1:1" x14ac:dyDescent="0.2">
      <c r="A589" s="175">
        <v>0</v>
      </c>
    </row>
    <row r="590" spans="1:1" x14ac:dyDescent="0.2">
      <c r="A590" s="175">
        <v>0</v>
      </c>
    </row>
    <row r="591" spans="1:1" x14ac:dyDescent="0.2">
      <c r="A591" s="175">
        <v>0</v>
      </c>
    </row>
    <row r="592" spans="1:1" x14ac:dyDescent="0.2">
      <c r="A592" s="175">
        <v>0</v>
      </c>
    </row>
    <row r="593" spans="1:1" x14ac:dyDescent="0.2">
      <c r="A593" s="175">
        <v>0</v>
      </c>
    </row>
    <row r="594" spans="1:1" x14ac:dyDescent="0.2">
      <c r="A594" s="175">
        <v>0</v>
      </c>
    </row>
    <row r="595" spans="1:1" x14ac:dyDescent="0.2">
      <c r="A595" s="175">
        <v>0</v>
      </c>
    </row>
    <row r="596" spans="1:1" x14ac:dyDescent="0.2">
      <c r="A596" s="175">
        <v>900</v>
      </c>
    </row>
    <row r="597" spans="1:1" x14ac:dyDescent="0.2">
      <c r="A597" s="175">
        <v>0</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9091</v>
      </c>
    </row>
    <row r="603" spans="1:1" x14ac:dyDescent="0.2">
      <c r="A603" s="175">
        <v>3636400</v>
      </c>
    </row>
    <row r="604" spans="1:1" x14ac:dyDescent="0.2">
      <c r="A604" s="175">
        <v>0</v>
      </c>
    </row>
    <row r="605" spans="1:1" x14ac:dyDescent="0.2">
      <c r="A605" s="175">
        <v>3636400</v>
      </c>
    </row>
    <row r="606" spans="1:1" x14ac:dyDescent="0.2">
      <c r="A606" s="175">
        <v>0</v>
      </c>
    </row>
    <row r="607" spans="1:1" x14ac:dyDescent="0.2">
      <c r="A607" s="175">
        <v>0</v>
      </c>
    </row>
    <row r="608" spans="1:1" x14ac:dyDescent="0.2">
      <c r="A608" s="175">
        <v>0</v>
      </c>
    </row>
    <row r="609" spans="1:1" x14ac:dyDescent="0.2">
      <c r="A609" s="175">
        <v>0</v>
      </c>
    </row>
    <row r="610" spans="1:1" x14ac:dyDescent="0.2">
      <c r="A610" s="175">
        <v>0</v>
      </c>
    </row>
    <row r="611" spans="1:1" x14ac:dyDescent="0.2">
      <c r="A611" s="175">
        <v>0</v>
      </c>
    </row>
    <row r="612" spans="1:1" x14ac:dyDescent="0.2">
      <c r="A612" s="175">
        <v>0</v>
      </c>
    </row>
    <row r="613" spans="1:1" x14ac:dyDescent="0.2">
      <c r="A613" s="175">
        <v>0</v>
      </c>
    </row>
    <row r="614" spans="1:1" x14ac:dyDescent="0.2">
      <c r="A614" s="175">
        <v>0</v>
      </c>
    </row>
    <row r="615" spans="1:1" x14ac:dyDescent="0.2">
      <c r="A615" s="175">
        <v>0</v>
      </c>
    </row>
    <row r="616" spans="1:1" x14ac:dyDescent="0.2">
      <c r="A616" s="175">
        <v>900</v>
      </c>
    </row>
    <row r="617" spans="1:1" x14ac:dyDescent="0.2">
      <c r="A617" s="175">
        <v>0</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9091</v>
      </c>
    </row>
    <row r="623" spans="1:1" x14ac:dyDescent="0.2">
      <c r="A623" s="175">
        <v>3636400</v>
      </c>
    </row>
    <row r="624" spans="1:1" x14ac:dyDescent="0.2">
      <c r="A624" s="175">
        <v>0</v>
      </c>
    </row>
    <row r="625" spans="1:1" x14ac:dyDescent="0.2">
      <c r="A625" s="175">
        <v>3636400</v>
      </c>
    </row>
    <row r="626" spans="1:1" x14ac:dyDescent="0.2">
      <c r="A626" s="175">
        <v>0</v>
      </c>
    </row>
    <row r="627" spans="1:1" x14ac:dyDescent="0.2">
      <c r="A627" s="175">
        <v>0</v>
      </c>
    </row>
    <row r="628" spans="1:1" x14ac:dyDescent="0.2">
      <c r="A628" s="175">
        <v>0</v>
      </c>
    </row>
    <row r="629" spans="1:1" x14ac:dyDescent="0.2">
      <c r="A629" s="175">
        <v>0</v>
      </c>
    </row>
    <row r="630" spans="1:1" x14ac:dyDescent="0.2">
      <c r="A630" s="175">
        <v>0</v>
      </c>
    </row>
    <row r="631" spans="1:1" x14ac:dyDescent="0.2">
      <c r="A631" s="175">
        <v>0</v>
      </c>
    </row>
    <row r="632" spans="1:1" x14ac:dyDescent="0.2">
      <c r="A632" s="175">
        <v>0</v>
      </c>
    </row>
    <row r="633" spans="1:1" x14ac:dyDescent="0.2">
      <c r="A633" s="175">
        <v>0</v>
      </c>
    </row>
    <row r="634" spans="1:1" x14ac:dyDescent="0.2">
      <c r="A634" s="175">
        <v>0</v>
      </c>
    </row>
    <row r="635" spans="1:1" x14ac:dyDescent="0.2">
      <c r="A635" s="175">
        <v>0</v>
      </c>
    </row>
    <row r="636" spans="1:1" x14ac:dyDescent="0.2">
      <c r="A636" s="175">
        <v>900</v>
      </c>
    </row>
    <row r="637" spans="1:1" x14ac:dyDescent="0.2">
      <c r="A637" s="175">
        <v>0</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9091</v>
      </c>
    </row>
    <row r="643" spans="1:1" x14ac:dyDescent="0.2">
      <c r="A643" s="175">
        <v>3636400</v>
      </c>
    </row>
    <row r="644" spans="1:1" x14ac:dyDescent="0.2">
      <c r="A644" s="175">
        <v>0</v>
      </c>
    </row>
    <row r="645" spans="1:1" x14ac:dyDescent="0.2">
      <c r="A645" s="175">
        <v>3636400</v>
      </c>
    </row>
    <row r="646" spans="1:1" x14ac:dyDescent="0.2">
      <c r="A646" s="175">
        <v>0</v>
      </c>
    </row>
    <row r="647" spans="1:1" x14ac:dyDescent="0.2">
      <c r="A647" s="175">
        <v>0</v>
      </c>
    </row>
    <row r="648" spans="1:1" x14ac:dyDescent="0.2">
      <c r="A648" s="175">
        <v>0</v>
      </c>
    </row>
    <row r="649" spans="1:1" x14ac:dyDescent="0.2">
      <c r="A649" s="175">
        <v>0</v>
      </c>
    </row>
    <row r="650" spans="1:1" x14ac:dyDescent="0.2">
      <c r="A650" s="175">
        <v>0</v>
      </c>
    </row>
    <row r="651" spans="1:1" x14ac:dyDescent="0.2">
      <c r="A651" s="175">
        <v>0</v>
      </c>
    </row>
    <row r="652" spans="1:1" x14ac:dyDescent="0.2">
      <c r="A652" s="175">
        <v>0</v>
      </c>
    </row>
    <row r="653" spans="1:1" x14ac:dyDescent="0.2">
      <c r="A653" s="175">
        <v>0</v>
      </c>
    </row>
    <row r="654" spans="1:1" x14ac:dyDescent="0.2">
      <c r="A654" s="175">
        <v>0</v>
      </c>
    </row>
    <row r="655" spans="1:1" x14ac:dyDescent="0.2">
      <c r="A655" s="175">
        <v>0</v>
      </c>
    </row>
    <row r="656" spans="1:1" x14ac:dyDescent="0.2">
      <c r="A656" s="175">
        <v>900</v>
      </c>
    </row>
    <row r="657" spans="1:1" x14ac:dyDescent="0.2">
      <c r="A657" s="175">
        <v>0</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9091</v>
      </c>
    </row>
    <row r="663" spans="1:1" x14ac:dyDescent="0.2">
      <c r="A663" s="175">
        <v>3636400</v>
      </c>
    </row>
    <row r="664" spans="1:1" x14ac:dyDescent="0.2">
      <c r="A664" s="175">
        <v>0</v>
      </c>
    </row>
    <row r="665" spans="1:1" x14ac:dyDescent="0.2">
      <c r="A665" s="175">
        <v>3636400</v>
      </c>
    </row>
    <row r="666" spans="1:1" x14ac:dyDescent="0.2">
      <c r="A666" s="175">
        <v>0</v>
      </c>
    </row>
    <row r="667" spans="1:1" x14ac:dyDescent="0.2">
      <c r="A667" s="175">
        <v>0</v>
      </c>
    </row>
    <row r="668" spans="1:1" x14ac:dyDescent="0.2">
      <c r="A668" s="175">
        <v>0</v>
      </c>
    </row>
    <row r="669" spans="1:1" x14ac:dyDescent="0.2">
      <c r="A669" s="175">
        <v>0</v>
      </c>
    </row>
    <row r="670" spans="1:1" x14ac:dyDescent="0.2">
      <c r="A670" s="175">
        <v>0</v>
      </c>
    </row>
    <row r="671" spans="1:1" x14ac:dyDescent="0.2">
      <c r="A671" s="175">
        <v>0</v>
      </c>
    </row>
    <row r="672" spans="1:1" x14ac:dyDescent="0.2">
      <c r="A672" s="175">
        <v>0</v>
      </c>
    </row>
    <row r="673" spans="1:1" x14ac:dyDescent="0.2">
      <c r="A673" s="175">
        <v>0</v>
      </c>
    </row>
    <row r="674" spans="1:1" x14ac:dyDescent="0.2">
      <c r="A674" s="175">
        <v>0</v>
      </c>
    </row>
    <row r="675" spans="1:1" x14ac:dyDescent="0.2">
      <c r="A675" s="175">
        <v>0</v>
      </c>
    </row>
    <row r="676" spans="1:1" x14ac:dyDescent="0.2">
      <c r="A676" s="175">
        <v>900</v>
      </c>
    </row>
    <row r="677" spans="1:1" x14ac:dyDescent="0.2">
      <c r="A677" s="175">
        <v>0</v>
      </c>
    </row>
    <row r="678" spans="1:1" x14ac:dyDescent="0.2">
      <c r="A678" s="175">
        <v>999</v>
      </c>
    </row>
    <row r="679" spans="1:1" x14ac:dyDescent="0.2">
      <c r="A679" s="175">
        <v>999</v>
      </c>
    </row>
    <row r="680" spans="1:1" x14ac:dyDescent="0.2">
      <c r="A680" s="175">
        <v>999</v>
      </c>
    </row>
    <row r="681" spans="1:1" x14ac:dyDescent="0.2">
      <c r="A681" s="175" t="s">
        <v>683</v>
      </c>
    </row>
    <row r="682" spans="1:1" x14ac:dyDescent="0.2">
      <c r="A682" s="175" t="s">
        <v>684</v>
      </c>
    </row>
    <row r="683" spans="1:1" x14ac:dyDescent="0.2">
      <c r="A683" s="175" t="s">
        <v>0</v>
      </c>
    </row>
    <row r="684" spans="1:1" x14ac:dyDescent="0.2">
      <c r="A684" s="175" t="s">
        <v>0</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885000</v>
      </c>
    </row>
    <row r="703" spans="1:1" x14ac:dyDescent="0.2">
      <c r="A703" s="175">
        <v>160480</v>
      </c>
    </row>
    <row r="704" spans="1:1" x14ac:dyDescent="0.2">
      <c r="A704" s="175">
        <v>0</v>
      </c>
    </row>
    <row r="705" spans="1:1" x14ac:dyDescent="0.2">
      <c r="A705" s="175">
        <v>2817541</v>
      </c>
    </row>
    <row r="706" spans="1:1" x14ac:dyDescent="0.2">
      <c r="A706" s="175">
        <v>999</v>
      </c>
    </row>
    <row r="707" spans="1:1" x14ac:dyDescent="0.2">
      <c r="A707" s="175">
        <v>999</v>
      </c>
    </row>
    <row r="708" spans="1:1" x14ac:dyDescent="0.2">
      <c r="A708" s="175">
        <v>0</v>
      </c>
    </row>
    <row r="709" spans="1:1" x14ac:dyDescent="0.2">
      <c r="A709" s="175">
        <v>114268</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-251247</v>
      </c>
    </row>
    <row r="717" spans="1:1" x14ac:dyDescent="0.2">
      <c r="A717" s="175">
        <v>3748753</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885000</v>
      </c>
    </row>
    <row r="723" spans="1:1" x14ac:dyDescent="0.2">
      <c r="A723" s="175">
        <v>160480</v>
      </c>
    </row>
    <row r="724" spans="1:1" x14ac:dyDescent="0.2">
      <c r="A724" s="175">
        <v>0</v>
      </c>
    </row>
    <row r="725" spans="1:1" x14ac:dyDescent="0.2">
      <c r="A725" s="175">
        <v>2817541</v>
      </c>
    </row>
    <row r="726" spans="1:1" x14ac:dyDescent="0.2">
      <c r="A726" s="175">
        <v>999</v>
      </c>
    </row>
    <row r="727" spans="1:1" x14ac:dyDescent="0.2">
      <c r="A727" s="175">
        <v>999</v>
      </c>
    </row>
    <row r="728" spans="1:1" x14ac:dyDescent="0.2">
      <c r="A728" s="175">
        <v>0</v>
      </c>
    </row>
    <row r="729" spans="1:1" x14ac:dyDescent="0.2">
      <c r="A729" s="175">
        <v>114268</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-251247</v>
      </c>
    </row>
    <row r="737" spans="1:1" x14ac:dyDescent="0.2">
      <c r="A737" s="175">
        <v>3748753</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885000</v>
      </c>
    </row>
    <row r="743" spans="1:1" x14ac:dyDescent="0.2">
      <c r="A743" s="175">
        <v>160480</v>
      </c>
    </row>
    <row r="744" spans="1:1" x14ac:dyDescent="0.2">
      <c r="A744" s="175">
        <v>0</v>
      </c>
    </row>
    <row r="745" spans="1:1" x14ac:dyDescent="0.2">
      <c r="A745" s="175">
        <v>2817541</v>
      </c>
    </row>
    <row r="746" spans="1:1" x14ac:dyDescent="0.2">
      <c r="A746" s="175">
        <v>999</v>
      </c>
    </row>
    <row r="747" spans="1:1" x14ac:dyDescent="0.2">
      <c r="A747" s="175">
        <v>999</v>
      </c>
    </row>
    <row r="748" spans="1:1" x14ac:dyDescent="0.2">
      <c r="A748" s="175">
        <v>0</v>
      </c>
    </row>
    <row r="749" spans="1:1" x14ac:dyDescent="0.2">
      <c r="A749" s="175">
        <v>114268</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-251247</v>
      </c>
    </row>
    <row r="757" spans="1:1" x14ac:dyDescent="0.2">
      <c r="A757" s="175">
        <v>3748753</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885000</v>
      </c>
    </row>
    <row r="763" spans="1:1" x14ac:dyDescent="0.2">
      <c r="A763" s="175">
        <v>160480</v>
      </c>
    </row>
    <row r="764" spans="1:1" x14ac:dyDescent="0.2">
      <c r="A764" s="175">
        <v>0</v>
      </c>
    </row>
    <row r="765" spans="1:1" x14ac:dyDescent="0.2">
      <c r="A765" s="175">
        <v>2817541</v>
      </c>
    </row>
    <row r="766" spans="1:1" x14ac:dyDescent="0.2">
      <c r="A766" s="175">
        <v>999</v>
      </c>
    </row>
    <row r="767" spans="1:1" x14ac:dyDescent="0.2">
      <c r="A767" s="175">
        <v>999</v>
      </c>
    </row>
    <row r="768" spans="1:1" x14ac:dyDescent="0.2">
      <c r="A768" s="175">
        <v>0</v>
      </c>
    </row>
    <row r="769" spans="1:1" x14ac:dyDescent="0.2">
      <c r="A769" s="175">
        <v>114268</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-251247</v>
      </c>
    </row>
    <row r="777" spans="1:1" x14ac:dyDescent="0.2">
      <c r="A777" s="175">
        <v>3748753</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885000</v>
      </c>
    </row>
    <row r="783" spans="1:1" x14ac:dyDescent="0.2">
      <c r="A783" s="175">
        <v>160480</v>
      </c>
    </row>
    <row r="784" spans="1:1" x14ac:dyDescent="0.2">
      <c r="A784" s="175">
        <v>0</v>
      </c>
    </row>
    <row r="785" spans="1:1" x14ac:dyDescent="0.2">
      <c r="A785" s="175">
        <v>2817541</v>
      </c>
    </row>
    <row r="786" spans="1:1" x14ac:dyDescent="0.2">
      <c r="A786" s="175">
        <v>999</v>
      </c>
    </row>
    <row r="787" spans="1:1" x14ac:dyDescent="0.2">
      <c r="A787" s="175">
        <v>999</v>
      </c>
    </row>
    <row r="788" spans="1:1" x14ac:dyDescent="0.2">
      <c r="A788" s="175">
        <v>0</v>
      </c>
    </row>
    <row r="789" spans="1:1" x14ac:dyDescent="0.2">
      <c r="A789" s="175">
        <v>114268</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-251247</v>
      </c>
    </row>
    <row r="797" spans="1:1" x14ac:dyDescent="0.2">
      <c r="A797" s="175">
        <v>3748753</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885000</v>
      </c>
    </row>
    <row r="803" spans="1:1" x14ac:dyDescent="0.2">
      <c r="A803" s="175">
        <v>160480</v>
      </c>
    </row>
    <row r="804" spans="1:1" x14ac:dyDescent="0.2">
      <c r="A804" s="175">
        <v>0</v>
      </c>
    </row>
    <row r="805" spans="1:1" x14ac:dyDescent="0.2">
      <c r="A805" s="175">
        <v>2817541</v>
      </c>
    </row>
    <row r="806" spans="1:1" x14ac:dyDescent="0.2">
      <c r="A806" s="175">
        <v>999</v>
      </c>
    </row>
    <row r="807" spans="1:1" x14ac:dyDescent="0.2">
      <c r="A807" s="175">
        <v>999</v>
      </c>
    </row>
    <row r="808" spans="1:1" x14ac:dyDescent="0.2">
      <c r="A808" s="175">
        <v>0</v>
      </c>
    </row>
    <row r="809" spans="1:1" x14ac:dyDescent="0.2">
      <c r="A809" s="175">
        <v>114268</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-251247</v>
      </c>
    </row>
    <row r="817" spans="1:1" x14ac:dyDescent="0.2">
      <c r="A817" s="175">
        <v>3748753</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885000</v>
      </c>
    </row>
    <row r="823" spans="1:1" x14ac:dyDescent="0.2">
      <c r="A823" s="175">
        <v>160480</v>
      </c>
    </row>
    <row r="824" spans="1:1" x14ac:dyDescent="0.2">
      <c r="A824" s="175">
        <v>0</v>
      </c>
    </row>
    <row r="825" spans="1:1" x14ac:dyDescent="0.2">
      <c r="A825" s="175">
        <v>2817541</v>
      </c>
    </row>
    <row r="826" spans="1:1" x14ac:dyDescent="0.2">
      <c r="A826" s="175">
        <v>999</v>
      </c>
    </row>
    <row r="827" spans="1:1" x14ac:dyDescent="0.2">
      <c r="A827" s="175">
        <v>999</v>
      </c>
    </row>
    <row r="828" spans="1:1" x14ac:dyDescent="0.2">
      <c r="A828" s="175">
        <v>0</v>
      </c>
    </row>
    <row r="829" spans="1:1" x14ac:dyDescent="0.2">
      <c r="A829" s="175">
        <v>114268</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-251247</v>
      </c>
    </row>
    <row r="837" spans="1:1" x14ac:dyDescent="0.2">
      <c r="A837" s="175">
        <v>3748753</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885000</v>
      </c>
    </row>
    <row r="843" spans="1:1" x14ac:dyDescent="0.2">
      <c r="A843" s="175">
        <v>160480</v>
      </c>
    </row>
    <row r="844" spans="1:1" x14ac:dyDescent="0.2">
      <c r="A844" s="175">
        <v>0</v>
      </c>
    </row>
    <row r="845" spans="1:1" x14ac:dyDescent="0.2">
      <c r="A845" s="175">
        <v>2817541</v>
      </c>
    </row>
    <row r="846" spans="1:1" x14ac:dyDescent="0.2">
      <c r="A846" s="175">
        <v>999</v>
      </c>
    </row>
    <row r="847" spans="1:1" x14ac:dyDescent="0.2">
      <c r="A847" s="175">
        <v>999</v>
      </c>
    </row>
    <row r="848" spans="1:1" x14ac:dyDescent="0.2">
      <c r="A848" s="175">
        <v>0</v>
      </c>
    </row>
    <row r="849" spans="1:1" x14ac:dyDescent="0.2">
      <c r="A849" s="175">
        <v>114268</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-251247</v>
      </c>
    </row>
    <row r="857" spans="1:1" x14ac:dyDescent="0.2">
      <c r="A857" s="175">
        <v>3748753</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theme="8" tint="0.59999389629810485"/>
  </sheetPr>
  <dimension ref="B1:Y55"/>
  <sheetViews>
    <sheetView showGridLines="0" workbookViewId="0">
      <selection activeCell="U28" sqref="U28"/>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LEFT(TRIM('25'!A699),4)</f>
        <v xml:space="preserve">032 </v>
      </c>
      <c r="W1" t="str">
        <f>RIGHT(TRIM('25'!A699),10)</f>
        <v>17/06/2016</v>
      </c>
    </row>
    <row r="2" spans="2:25" ht="33" x14ac:dyDescent="0.6">
      <c r="G2" s="157" t="s">
        <v>82</v>
      </c>
      <c r="H2" s="156"/>
    </row>
    <row r="3" spans="2:25" x14ac:dyDescent="0.25">
      <c r="B3" t="str">
        <f>'25'!A861</f>
        <v xml:space="preserve"> This is a history quarter</v>
      </c>
      <c r="C3" s="506"/>
      <c r="V3" s="158" t="s">
        <v>83</v>
      </c>
      <c r="W3" s="159" t="str">
        <f>'25'!A6</f>
        <v xml:space="preserve">  17C1</v>
      </c>
    </row>
    <row r="4" spans="2:25" x14ac:dyDescent="0.25">
      <c r="B4">
        <f>'25'!A862</f>
        <v>0</v>
      </c>
      <c r="C4" s="506"/>
    </row>
    <row r="5" spans="2:25" ht="17.399999999999999" x14ac:dyDescent="0.3">
      <c r="B5">
        <f>'25'!A863</f>
        <v>0</v>
      </c>
      <c r="H5" s="160" t="s">
        <v>85</v>
      </c>
      <c r="J5" s="161"/>
      <c r="K5" s="161"/>
      <c r="L5" s="161">
        <f>'25'!$A2</f>
        <v>1</v>
      </c>
      <c r="M5" s="160" t="s">
        <v>84</v>
      </c>
      <c r="N5" s="160"/>
      <c r="O5" s="162">
        <f>'25'!$A1</f>
        <v>1</v>
      </c>
      <c r="P5" s="161"/>
      <c r="Q5" s="161"/>
      <c r="S5" s="163"/>
      <c r="T5" s="164"/>
      <c r="U5" s="163"/>
      <c r="V5" s="163"/>
    </row>
    <row r="6" spans="2:25" x14ac:dyDescent="0.25">
      <c r="B6">
        <f>'25'!A864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'25'!$A4</f>
        <v>2016</v>
      </c>
      <c r="Q9" s="164"/>
      <c r="R9" s="171" t="s">
        <v>80</v>
      </c>
      <c r="S9" s="172">
        <f>'25'!$A5</f>
        <v>3</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'25'!A7</f>
        <v>10</v>
      </c>
      <c r="F14" s="196">
        <f>'25'!A11</f>
        <v>5</v>
      </c>
      <c r="G14" s="197"/>
      <c r="H14" s="196">
        <f>'25'!A14</f>
        <v>5</v>
      </c>
      <c r="I14" s="198"/>
      <c r="J14" s="196">
        <f>'25'!A17</f>
        <v>10</v>
      </c>
      <c r="K14" s="198"/>
      <c r="L14" s="40"/>
      <c r="M14" s="182"/>
      <c r="N14" s="182" t="s">
        <v>36</v>
      </c>
      <c r="O14" s="182"/>
      <c r="P14" s="201">
        <f>'25'!A61</f>
        <v>3</v>
      </c>
      <c r="Q14" s="200">
        <f>'25'!B61</f>
        <v>0</v>
      </c>
      <c r="R14" s="190"/>
      <c r="S14" s="175"/>
      <c r="T14" s="201">
        <f>'25'!A62</f>
        <v>9</v>
      </c>
      <c r="U14" s="200">
        <f>'25'!B62</f>
        <v>0</v>
      </c>
      <c r="V14" s="175"/>
      <c r="W14" s="201">
        <f>'25'!A63</f>
        <v>7</v>
      </c>
      <c r="X14" s="202"/>
      <c r="Y14" s="179"/>
    </row>
    <row r="15" spans="2:25" x14ac:dyDescent="0.25">
      <c r="B15" s="168"/>
      <c r="C15" s="40"/>
      <c r="D15" s="40" t="s">
        <v>5</v>
      </c>
      <c r="E15" s="203">
        <f>'25'!A8</f>
        <v>0</v>
      </c>
      <c r="F15" s="196">
        <f>'25'!A12</f>
        <v>0</v>
      </c>
      <c r="G15" s="204"/>
      <c r="H15" s="196">
        <f>'25'!A15</f>
        <v>0</v>
      </c>
      <c r="I15" s="205"/>
      <c r="J15" s="196">
        <f>'25'!A18</f>
        <v>0</v>
      </c>
      <c r="K15" s="205"/>
      <c r="L15" s="40"/>
      <c r="M15" s="182"/>
      <c r="N15" s="182" t="s">
        <v>38</v>
      </c>
      <c r="O15" s="182"/>
      <c r="P15" s="193">
        <f>'25'!A64</f>
        <v>0</v>
      </c>
      <c r="Q15" s="189">
        <f>'25'!B64</f>
        <v>0</v>
      </c>
      <c r="R15" s="190"/>
      <c r="S15" s="175"/>
      <c r="T15" s="199">
        <f>'25'!A65</f>
        <v>0</v>
      </c>
      <c r="U15" s="206" t="str">
        <f>'25'!B65</f>
        <v>*</v>
      </c>
      <c r="V15" s="175"/>
      <c r="W15" s="207">
        <f>'25'!A66</f>
        <v>0</v>
      </c>
      <c r="X15" s="206"/>
      <c r="Y15" s="179"/>
    </row>
    <row r="16" spans="2:25" x14ac:dyDescent="0.25">
      <c r="B16" s="168"/>
      <c r="C16" s="40"/>
      <c r="D16" s="40" t="s">
        <v>6</v>
      </c>
      <c r="E16" s="208">
        <f>'25'!A9</f>
        <v>0</v>
      </c>
      <c r="F16" s="209">
        <f>'25'!A13</f>
        <v>0</v>
      </c>
      <c r="G16" s="210"/>
      <c r="H16" s="209">
        <f>'25'!A16</f>
        <v>0</v>
      </c>
      <c r="I16" s="189"/>
      <c r="J16" s="209">
        <f>'25'!A19</f>
        <v>0</v>
      </c>
      <c r="K16" s="189"/>
      <c r="L16" s="40"/>
      <c r="M16" s="182"/>
      <c r="N16" s="182" t="s">
        <v>40</v>
      </c>
      <c r="O16" s="182"/>
      <c r="P16" s="187"/>
      <c r="Q16" s="182"/>
      <c r="R16" s="182"/>
      <c r="S16" s="175"/>
      <c r="T16" s="193">
        <f>'25'!A68</f>
        <v>0</v>
      </c>
      <c r="U16" s="211" t="str">
        <f>'25'!B68</f>
        <v>*</v>
      </c>
      <c r="V16" s="175"/>
      <c r="W16" s="212">
        <f>'25'!A69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'25'!A21</f>
        <v>285</v>
      </c>
      <c r="G19" s="206">
        <f>'25'!B21</f>
        <v>0</v>
      </c>
      <c r="H19" s="218">
        <f>'25'!A24</f>
        <v>450</v>
      </c>
      <c r="I19" s="200">
        <f>'25'!B24</f>
        <v>0</v>
      </c>
      <c r="J19" s="218">
        <f>'25'!A27</f>
        <v>680</v>
      </c>
      <c r="K19" s="200">
        <f>'25'!B27</f>
        <v>0</v>
      </c>
      <c r="L19" s="40"/>
      <c r="M19" s="182" t="s">
        <v>50</v>
      </c>
      <c r="N19" s="182"/>
      <c r="O19" s="187" t="s">
        <v>51</v>
      </c>
      <c r="P19" s="219">
        <f>'25'!A57</f>
        <v>0</v>
      </c>
      <c r="Q19" s="220"/>
      <c r="R19" s="182"/>
      <c r="S19" s="216" t="s">
        <v>74</v>
      </c>
      <c r="T19" s="221">
        <f>'25'!A58</f>
        <v>2</v>
      </c>
      <c r="U19" s="220"/>
      <c r="V19" s="217" t="s">
        <v>75</v>
      </c>
      <c r="W19" s="219">
        <f>'25'!A59</f>
        <v>0</v>
      </c>
      <c r="X19" s="222"/>
      <c r="Y19" s="179"/>
    </row>
    <row r="20" spans="2:25" x14ac:dyDescent="0.25">
      <c r="B20" s="168"/>
      <c r="C20" s="40"/>
      <c r="D20" s="40" t="s">
        <v>5</v>
      </c>
      <c r="E20" s="40"/>
      <c r="F20" s="199">
        <f>'25'!A22</f>
        <v>0</v>
      </c>
      <c r="G20" s="206">
        <f>'25'!B22</f>
        <v>0</v>
      </c>
      <c r="H20" s="196">
        <f>'25'!A25</f>
        <v>0</v>
      </c>
      <c r="I20" s="206">
        <f>'25'!B25</f>
        <v>0</v>
      </c>
      <c r="J20" s="196">
        <f>'25'!A28</f>
        <v>0</v>
      </c>
      <c r="K20" s="206">
        <f>'25'!B28</f>
        <v>0</v>
      </c>
      <c r="L20" s="40"/>
      <c r="M20" s="224" t="s">
        <v>52</v>
      </c>
      <c r="N20" s="223"/>
      <c r="O20" s="224"/>
      <c r="P20" s="199">
        <f>'25'!A75</f>
        <v>15</v>
      </c>
      <c r="Q20" s="225"/>
      <c r="R20" s="224"/>
      <c r="S20" s="182" t="s">
        <v>65</v>
      </c>
      <c r="T20" s="226"/>
      <c r="U20" s="227"/>
      <c r="V20" s="226"/>
      <c r="W20" s="199">
        <f>'25'!A76</f>
        <v>2</v>
      </c>
      <c r="X20" s="202"/>
      <c r="Y20" s="179"/>
    </row>
    <row r="21" spans="2:25" x14ac:dyDescent="0.25">
      <c r="B21" s="168"/>
      <c r="C21" s="40"/>
      <c r="D21" s="40" t="s">
        <v>6</v>
      </c>
      <c r="E21" s="40"/>
      <c r="F21" s="193">
        <f>'25'!A23</f>
        <v>0</v>
      </c>
      <c r="G21" s="211">
        <f>'25'!B23</f>
        <v>0</v>
      </c>
      <c r="H21" s="209">
        <f>'25'!A26</f>
        <v>0</v>
      </c>
      <c r="I21" s="211">
        <f>'25'!B26</f>
        <v>0</v>
      </c>
      <c r="J21" s="209">
        <f>'25'!A29</f>
        <v>0</v>
      </c>
      <c r="K21" s="211">
        <f>'25'!B29</f>
        <v>0</v>
      </c>
      <c r="L21" s="40"/>
      <c r="M21" s="182" t="s">
        <v>53</v>
      </c>
      <c r="N21" s="175"/>
      <c r="O21" s="182"/>
      <c r="P21" s="193">
        <f>'25'!A77</f>
        <v>0</v>
      </c>
      <c r="Q21" s="228"/>
      <c r="R21" s="196"/>
      <c r="S21" s="182" t="s">
        <v>66</v>
      </c>
      <c r="T21" s="182"/>
      <c r="U21" s="182"/>
      <c r="V21" s="182"/>
      <c r="W21" s="193">
        <f>'25'!A78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'25'!A31</f>
        <v>700</v>
      </c>
      <c r="G24" s="200">
        <f>'25'!B31</f>
        <v>0</v>
      </c>
      <c r="H24" s="218">
        <f>'25'!A34</f>
        <v>450</v>
      </c>
      <c r="I24" s="200">
        <f>'25'!B34</f>
        <v>0</v>
      </c>
      <c r="J24" s="218">
        <f>'25'!A37</f>
        <v>300</v>
      </c>
      <c r="K24" s="200">
        <f>'25'!B37</f>
        <v>0</v>
      </c>
      <c r="L24" s="40"/>
      <c r="M24" s="182" t="s">
        <v>55</v>
      </c>
      <c r="N24" s="182"/>
      <c r="O24" s="182"/>
      <c r="P24" s="201">
        <f>'25'!A81</f>
        <v>0</v>
      </c>
      <c r="Q24" s="206">
        <f>'25'!B81</f>
        <v>0</v>
      </c>
      <c r="R24" s="196"/>
      <c r="S24" s="182" t="s">
        <v>67</v>
      </c>
      <c r="T24" s="182"/>
      <c r="U24" s="182"/>
      <c r="V24" s="182"/>
      <c r="W24" s="219">
        <f>'25'!A82</f>
        <v>3</v>
      </c>
      <c r="X24" s="222">
        <f>'25'!B82</f>
        <v>0</v>
      </c>
      <c r="Y24" s="179"/>
    </row>
    <row r="25" spans="2:25" x14ac:dyDescent="0.25">
      <c r="B25" s="168"/>
      <c r="C25" s="40" t="s">
        <v>37</v>
      </c>
      <c r="D25" s="40" t="s">
        <v>38</v>
      </c>
      <c r="E25" s="40"/>
      <c r="F25" s="199">
        <f>'25'!A32</f>
        <v>0</v>
      </c>
      <c r="G25" s="206">
        <f>'25'!B32</f>
        <v>0</v>
      </c>
      <c r="H25" s="196">
        <f>'25'!A35</f>
        <v>0</v>
      </c>
      <c r="I25" s="206">
        <f>'25'!B35</f>
        <v>0</v>
      </c>
      <c r="J25" s="196">
        <f>'25'!A38</f>
        <v>0</v>
      </c>
      <c r="K25" s="206">
        <f>'25'!B38</f>
        <v>0</v>
      </c>
      <c r="L25" s="40"/>
      <c r="M25" s="182" t="s">
        <v>56</v>
      </c>
      <c r="N25" s="182"/>
      <c r="O25" s="182"/>
      <c r="P25" s="230">
        <f>'25'!A83/100</f>
        <v>10</v>
      </c>
      <c r="Q25" s="206">
        <f>'25'!B83</f>
        <v>0</v>
      </c>
      <c r="R25" s="196"/>
      <c r="S25" s="175"/>
      <c r="T25" s="182"/>
      <c r="U25" s="182"/>
      <c r="V25" s="182"/>
      <c r="W25" s="196"/>
      <c r="X25" s="184"/>
      <c r="Y25" s="179"/>
    </row>
    <row r="26" spans="2:25" x14ac:dyDescent="0.25">
      <c r="B26" s="168"/>
      <c r="C26" s="40" t="s">
        <v>39</v>
      </c>
      <c r="D26" s="40" t="s">
        <v>40</v>
      </c>
      <c r="E26" s="40"/>
      <c r="F26" s="193">
        <f>'25'!A33</f>
        <v>0</v>
      </c>
      <c r="G26" s="211">
        <f>'25'!B33</f>
        <v>0</v>
      </c>
      <c r="H26" s="209">
        <f>'25'!A36</f>
        <v>0</v>
      </c>
      <c r="I26" s="211">
        <f>'25'!B36</f>
        <v>0</v>
      </c>
      <c r="J26" s="193">
        <f>'25'!A39</f>
        <v>0</v>
      </c>
      <c r="K26" s="211">
        <f>'25'!B39</f>
        <v>0</v>
      </c>
      <c r="L26" s="40"/>
      <c r="M26" s="182" t="s">
        <v>57</v>
      </c>
      <c r="N26" s="182"/>
      <c r="O26" s="182"/>
      <c r="P26" s="193">
        <f>'25'!A85</f>
        <v>50</v>
      </c>
      <c r="Q26" s="211">
        <f>'25'!B85</f>
        <v>0</v>
      </c>
      <c r="R26" s="231"/>
      <c r="S26" s="182" t="s">
        <v>68</v>
      </c>
      <c r="T26" s="175"/>
      <c r="U26" s="182"/>
      <c r="V26" s="182"/>
      <c r="W26" s="219">
        <f>'25'!A86</f>
        <v>2</v>
      </c>
      <c r="X26" s="232">
        <f>'25'!B86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'25'!A41</f>
        <v>0</v>
      </c>
      <c r="G29" s="198"/>
      <c r="H29" s="218">
        <f>'25'!A42</f>
        <v>0</v>
      </c>
      <c r="I29" s="198"/>
      <c r="J29" s="218">
        <f>'25'!A43</f>
        <v>0</v>
      </c>
      <c r="K29" s="237"/>
      <c r="L29" s="40"/>
      <c r="M29" s="182" t="s">
        <v>59</v>
      </c>
      <c r="N29" s="182"/>
      <c r="O29" s="182"/>
      <c r="P29" s="201">
        <f>'25'!A91</f>
        <v>0</v>
      </c>
      <c r="Q29" s="206">
        <f>'25'!B91</f>
        <v>0</v>
      </c>
      <c r="R29" s="196"/>
      <c r="S29" s="182" t="s">
        <v>69</v>
      </c>
      <c r="T29" s="182"/>
      <c r="U29" s="182"/>
      <c r="V29" s="182"/>
      <c r="W29" s="201">
        <f>'25'!A92</f>
        <v>0</v>
      </c>
      <c r="X29" s="200">
        <f>'25'!B92</f>
        <v>0</v>
      </c>
      <c r="Y29" s="179"/>
    </row>
    <row r="30" spans="2:25" x14ac:dyDescent="0.25">
      <c r="B30" s="168"/>
      <c r="C30" s="40" t="s">
        <v>43</v>
      </c>
      <c r="D30" s="40"/>
      <c r="E30" s="196"/>
      <c r="F30" s="199">
        <f>'25'!A44</f>
        <v>25</v>
      </c>
      <c r="G30" s="205"/>
      <c r="H30" s="196">
        <f>'25'!A45</f>
        <v>20</v>
      </c>
      <c r="I30" s="205"/>
      <c r="J30" s="196">
        <f>'25'!A46</f>
        <v>15</v>
      </c>
      <c r="K30" s="179"/>
      <c r="L30" s="40"/>
      <c r="M30" s="182" t="s">
        <v>60</v>
      </c>
      <c r="N30" s="182"/>
      <c r="O30" s="182"/>
      <c r="P30" s="199">
        <f>'25'!A93</f>
        <v>0</v>
      </c>
      <c r="Q30" s="206">
        <f>'25'!B93</f>
        <v>0</v>
      </c>
      <c r="R30" s="196"/>
      <c r="S30" s="175" t="s">
        <v>70</v>
      </c>
      <c r="T30" s="182"/>
      <c r="U30" s="182"/>
      <c r="V30" s="182"/>
      <c r="W30" s="199">
        <f>'25'!A94</f>
        <v>-500</v>
      </c>
      <c r="X30" s="206">
        <f>'25'!B94</f>
        <v>0</v>
      </c>
      <c r="Y30" s="179"/>
    </row>
    <row r="31" spans="2:25" x14ac:dyDescent="0.25">
      <c r="B31" s="168"/>
      <c r="C31" s="40" t="s">
        <v>44</v>
      </c>
      <c r="D31" s="175"/>
      <c r="E31" s="175"/>
      <c r="F31" s="199">
        <f>'25'!A47</f>
        <v>115</v>
      </c>
      <c r="G31" s="202"/>
      <c r="H31" s="199">
        <f>'25'!A48</f>
        <v>165</v>
      </c>
      <c r="I31" s="202"/>
      <c r="J31" s="199">
        <f>'25'!A49</f>
        <v>325</v>
      </c>
      <c r="K31" s="202"/>
      <c r="L31" s="40"/>
      <c r="M31" s="182" t="s">
        <v>61</v>
      </c>
      <c r="N31" s="182"/>
      <c r="O31" s="182"/>
      <c r="P31" s="199">
        <f>'25'!A73</f>
        <v>2</v>
      </c>
      <c r="Q31" s="206">
        <f>'25'!B73</f>
        <v>0</v>
      </c>
      <c r="R31" s="196"/>
      <c r="S31" s="182" t="s">
        <v>71</v>
      </c>
      <c r="T31" s="182"/>
      <c r="U31" s="182"/>
      <c r="V31" s="182"/>
      <c r="W31" s="199">
        <f>'25'!A74</f>
        <v>0</v>
      </c>
      <c r="X31" s="206">
        <f>'25'!B74</f>
        <v>0</v>
      </c>
      <c r="Y31" s="179"/>
    </row>
    <row r="32" spans="2:25" x14ac:dyDescent="0.25">
      <c r="B32" s="168"/>
      <c r="C32" s="269" t="s">
        <v>45</v>
      </c>
      <c r="D32" s="40"/>
      <c r="E32" s="196"/>
      <c r="F32" s="193">
        <f>'25'!A51</f>
        <v>0</v>
      </c>
      <c r="G32" s="211">
        <f>'25'!B51</f>
        <v>0</v>
      </c>
      <c r="H32" s="209">
        <f>'25'!A52</f>
        <v>0</v>
      </c>
      <c r="I32" s="211">
        <f>'25'!B52</f>
        <v>0</v>
      </c>
      <c r="J32" s="209">
        <f>'25'!A53</f>
        <v>0</v>
      </c>
      <c r="K32" s="211">
        <f>'25'!B53</f>
        <v>0</v>
      </c>
      <c r="L32" s="40"/>
      <c r="M32" s="44" t="s">
        <v>62</v>
      </c>
      <c r="N32" s="182"/>
      <c r="O32" s="182"/>
      <c r="P32" s="193">
        <f>'25'!A72</f>
        <v>0</v>
      </c>
      <c r="Q32" s="211">
        <f>'25'!B72</f>
        <v>0</v>
      </c>
      <c r="R32" s="196"/>
      <c r="S32" s="182" t="s">
        <v>72</v>
      </c>
      <c r="T32" s="182"/>
      <c r="U32" s="182"/>
      <c r="V32" s="182"/>
      <c r="W32" s="193">
        <f>'25'!A99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'25'!A54</f>
        <v>0</v>
      </c>
      <c r="G35" s="238">
        <f>'25'!B54</f>
        <v>0</v>
      </c>
      <c r="H35" s="188">
        <f>'25'!A55</f>
        <v>0</v>
      </c>
      <c r="I35" s="238">
        <f>'25'!B55</f>
        <v>0</v>
      </c>
      <c r="J35" s="188">
        <f>'25'!A56</f>
        <v>0</v>
      </c>
      <c r="K35" s="238">
        <f>'25'!B56</f>
        <v>0</v>
      </c>
      <c r="L35" s="40"/>
      <c r="M35" s="182" t="s">
        <v>64</v>
      </c>
      <c r="N35" s="182"/>
      <c r="O35" s="182"/>
      <c r="P35" s="219">
        <f>'25'!A97</f>
        <v>0</v>
      </c>
      <c r="Q35" s="239"/>
      <c r="R35" s="182"/>
      <c r="S35" s="182" t="s">
        <v>73</v>
      </c>
      <c r="T35" s="182"/>
      <c r="U35" s="182"/>
      <c r="V35" s="182"/>
      <c r="W35" s="219">
        <f>'25'!A98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tabColor theme="8" tint="0.59999389629810485"/>
    <pageSetUpPr fitToPage="1"/>
  </sheetPr>
  <dimension ref="A1:AL65"/>
  <sheetViews>
    <sheetView showGridLines="0" workbookViewId="0">
      <selection activeCell="S27" sqref="S27"/>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'25'!A1</f>
        <v>1</v>
      </c>
      <c r="F1" s="512" t="s">
        <v>87</v>
      </c>
      <c r="H1" s="172">
        <f>'25'!A2</f>
        <v>1</v>
      </c>
      <c r="M1" s="513" t="s">
        <v>88</v>
      </c>
      <c r="T1" s="170" t="s">
        <v>81</v>
      </c>
      <c r="U1" s="172">
        <f>'25'!A4</f>
        <v>2016</v>
      </c>
      <c r="V1" s="164"/>
      <c r="W1" s="171" t="s">
        <v>80</v>
      </c>
      <c r="X1" s="172">
        <f>'25'!A5</f>
        <v>3</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'25'!A108</f>
        <v>700</v>
      </c>
      <c r="V6" s="251"/>
      <c r="W6" s="196">
        <f>'25'!A109</f>
        <v>450</v>
      </c>
      <c r="X6" s="182"/>
      <c r="Y6" s="199">
        <f>'25'!A110</f>
        <v>300</v>
      </c>
      <c r="Z6" s="182"/>
      <c r="AA6" s="179"/>
      <c r="AC6" s="40"/>
      <c r="AD6" s="40"/>
      <c r="AE6" s="40"/>
      <c r="AF6" s="196"/>
      <c r="AG6" s="182"/>
      <c r="AH6" s="196"/>
      <c r="AI6" s="182"/>
      <c r="AJ6" s="196"/>
      <c r="AK6" s="182"/>
      <c r="AL6" s="40"/>
    </row>
    <row r="7" spans="2:38" x14ac:dyDescent="0.2">
      <c r="B7" s="244"/>
      <c r="C7" s="175" t="s">
        <v>91</v>
      </c>
      <c r="F7" s="40"/>
      <c r="G7" s="252">
        <f>'25'!A281</f>
        <v>1000</v>
      </c>
      <c r="H7" s="179"/>
      <c r="I7" s="40"/>
      <c r="J7" s="244"/>
      <c r="K7" s="40" t="s">
        <v>129</v>
      </c>
      <c r="L7" s="40"/>
      <c r="M7" s="40"/>
      <c r="N7" s="253">
        <f>'25'!A191</f>
        <v>11</v>
      </c>
      <c r="O7" s="253">
        <f>'25'!A192</f>
        <v>0</v>
      </c>
      <c r="P7" s="179"/>
      <c r="R7" s="244"/>
      <c r="S7" s="40" t="s">
        <v>161</v>
      </c>
      <c r="T7" s="40"/>
      <c r="U7" s="199">
        <f>'25'!A111</f>
        <v>717</v>
      </c>
      <c r="V7" s="251"/>
      <c r="W7" s="196">
        <f>'25'!A112</f>
        <v>462</v>
      </c>
      <c r="X7" s="182"/>
      <c r="Y7" s="199">
        <f>'25'!A113</f>
        <v>308</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'25'!A193</f>
        <v>0</v>
      </c>
      <c r="O8" s="253">
        <f>'25'!A194</f>
        <v>16</v>
      </c>
      <c r="P8" s="179"/>
      <c r="R8" s="244"/>
      <c r="S8" s="40" t="s">
        <v>162</v>
      </c>
      <c r="T8" s="40"/>
      <c r="U8" s="199">
        <f>'25'!A114</f>
        <v>17</v>
      </c>
      <c r="V8" s="251"/>
      <c r="W8" s="196">
        <f>'25'!A115</f>
        <v>12</v>
      </c>
      <c r="X8" s="182"/>
      <c r="Y8" s="199">
        <f>'25'!A116</f>
        <v>8</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'25'!A82</f>
        <v>3</v>
      </c>
      <c r="O9" s="253"/>
      <c r="P9" s="179"/>
      <c r="R9" s="244"/>
      <c r="S9" s="40" t="s">
        <v>163</v>
      </c>
      <c r="T9" s="40"/>
      <c r="U9" s="199">
        <f>'25'!A117</f>
        <v>0</v>
      </c>
      <c r="V9" s="254">
        <f>'25'!B117</f>
        <v>0</v>
      </c>
      <c r="W9" s="196">
        <f>'25'!A118</f>
        <v>0</v>
      </c>
      <c r="X9" s="184">
        <f>'25'!B118</f>
        <v>0</v>
      </c>
      <c r="Y9" s="199">
        <f>'25'!A119</f>
        <v>0</v>
      </c>
      <c r="Z9" s="184">
        <f>'25'!B119</f>
        <v>0</v>
      </c>
      <c r="AA9" s="179"/>
      <c r="AC9" s="40"/>
      <c r="AD9" s="40"/>
      <c r="AE9" s="40"/>
      <c r="AF9" s="196"/>
      <c r="AG9" s="184"/>
      <c r="AH9" s="196"/>
      <c r="AI9" s="184"/>
      <c r="AJ9" s="196"/>
      <c r="AK9" s="184"/>
      <c r="AL9" s="40"/>
    </row>
    <row r="10" spans="2:38" x14ac:dyDescent="0.2">
      <c r="B10" s="244"/>
      <c r="C10" s="175" t="s">
        <v>94</v>
      </c>
      <c r="F10" s="40"/>
      <c r="G10" s="252">
        <f>'25'!A284</f>
        <v>500</v>
      </c>
      <c r="H10" s="179"/>
      <c r="I10" s="40"/>
      <c r="J10" s="244"/>
      <c r="K10" s="182" t="s">
        <v>132</v>
      </c>
      <c r="L10" s="40"/>
      <c r="M10" s="40"/>
      <c r="N10" s="253">
        <f>'25'!A195</f>
        <v>0</v>
      </c>
      <c r="O10" s="253">
        <f>'25'!A196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'25'!A285</f>
        <v>100</v>
      </c>
      <c r="H12" s="179"/>
      <c r="I12" s="40"/>
      <c r="J12" s="244"/>
      <c r="K12" s="40" t="s">
        <v>134</v>
      </c>
      <c r="L12" s="40"/>
      <c r="M12" s="40"/>
      <c r="N12" s="255">
        <f>'25'!A197</f>
        <v>14</v>
      </c>
      <c r="O12" s="255">
        <f>'25'!A198</f>
        <v>15</v>
      </c>
      <c r="P12" s="179"/>
      <c r="R12" s="244"/>
      <c r="S12" s="182" t="s">
        <v>165</v>
      </c>
      <c r="T12" s="40"/>
      <c r="U12" s="199">
        <f>'25'!A121</f>
        <v>700</v>
      </c>
      <c r="V12" s="251"/>
      <c r="W12" s="199">
        <f>'25'!A124</f>
        <v>450</v>
      </c>
      <c r="X12" s="182"/>
      <c r="Y12" s="199">
        <f>'25'!A127</f>
        <v>300</v>
      </c>
      <c r="Z12" s="182"/>
      <c r="AA12" s="179"/>
      <c r="AC12" s="40"/>
      <c r="AD12" s="182"/>
      <c r="AE12" s="40"/>
      <c r="AF12" s="196"/>
      <c r="AG12" s="182"/>
      <c r="AH12" s="196"/>
      <c r="AI12" s="182"/>
      <c r="AJ12" s="196"/>
      <c r="AK12" s="182"/>
      <c r="AL12" s="40"/>
    </row>
    <row r="13" spans="2:38" ht="13.2" x14ac:dyDescent="0.3">
      <c r="B13" s="244"/>
      <c r="C13" s="175" t="s">
        <v>97</v>
      </c>
      <c r="F13" s="40"/>
      <c r="G13" s="252">
        <f>'25'!A286</f>
        <v>140</v>
      </c>
      <c r="H13" s="179"/>
      <c r="I13" s="40"/>
      <c r="J13" s="245"/>
      <c r="K13" s="214"/>
      <c r="L13" s="214"/>
      <c r="M13" s="214"/>
      <c r="N13" s="214"/>
      <c r="O13" s="214"/>
      <c r="P13" s="229"/>
      <c r="R13" s="244"/>
      <c r="S13" s="256" t="s">
        <v>166</v>
      </c>
      <c r="T13" s="40"/>
      <c r="U13" s="199">
        <f>'25'!A122</f>
        <v>0</v>
      </c>
      <c r="V13" s="251"/>
      <c r="W13" s="199">
        <f>'25'!A125</f>
        <v>0</v>
      </c>
      <c r="X13" s="182"/>
      <c r="Y13" s="199">
        <f>'25'!A128</f>
        <v>0</v>
      </c>
      <c r="Z13" s="182"/>
      <c r="AA13" s="179"/>
      <c r="AC13" s="40"/>
      <c r="AD13" s="256"/>
      <c r="AE13" s="40"/>
      <c r="AF13" s="196"/>
      <c r="AG13" s="182"/>
      <c r="AH13" s="196"/>
      <c r="AI13" s="182"/>
      <c r="AJ13" s="196"/>
      <c r="AK13" s="182"/>
      <c r="AL13" s="40"/>
    </row>
    <row r="14" spans="2:38" x14ac:dyDescent="0.2">
      <c r="B14" s="244"/>
      <c r="C14" s="175" t="s">
        <v>98</v>
      </c>
      <c r="F14" s="40"/>
      <c r="G14" s="257">
        <f>'25'!A287</f>
        <v>2</v>
      </c>
      <c r="H14" s="179"/>
      <c r="I14" s="40"/>
      <c r="J14" s="244"/>
      <c r="K14" s="40"/>
      <c r="L14" s="40"/>
      <c r="M14" s="40"/>
      <c r="N14" s="40"/>
      <c r="O14" s="213"/>
      <c r="P14" s="179"/>
      <c r="R14" s="244"/>
      <c r="S14" s="182" t="s">
        <v>167</v>
      </c>
      <c r="T14" s="40"/>
      <c r="U14" s="199">
        <f>'25'!A123</f>
        <v>0</v>
      </c>
      <c r="V14" s="251"/>
      <c r="W14" s="199">
        <f>'25'!A126</f>
        <v>0</v>
      </c>
      <c r="X14" s="182"/>
      <c r="Y14" s="199">
        <f>'25'!A129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133</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'25'!A305</f>
        <v>6336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'25'!A306</f>
        <v>1</v>
      </c>
      <c r="P17" s="254">
        <f>'25'!B307</f>
        <v>0</v>
      </c>
      <c r="R17" s="244"/>
      <c r="S17" s="40" t="s">
        <v>169</v>
      </c>
      <c r="T17" s="40"/>
      <c r="U17" s="199">
        <f>'25'!A131</f>
        <v>592</v>
      </c>
      <c r="V17" s="251"/>
      <c r="W17" s="199">
        <f>'25'!A134</f>
        <v>363</v>
      </c>
      <c r="X17" s="182"/>
      <c r="Y17" s="199">
        <f>'25'!A137</f>
        <v>220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'25'!A291</f>
        <v>0</v>
      </c>
      <c r="H18" s="179"/>
      <c r="I18" s="40"/>
      <c r="J18" s="244"/>
      <c r="K18" s="182" t="s">
        <v>107</v>
      </c>
      <c r="L18" s="40"/>
      <c r="M18" s="40"/>
      <c r="N18" s="40"/>
      <c r="O18" s="252">
        <f>'25'!A307</f>
        <v>4312</v>
      </c>
      <c r="P18" s="179"/>
      <c r="R18" s="244"/>
      <c r="S18" s="259" t="s">
        <v>170</v>
      </c>
      <c r="T18" s="40"/>
      <c r="U18" s="199">
        <f>'25'!A132</f>
        <v>0</v>
      </c>
      <c r="V18" s="251"/>
      <c r="W18" s="199">
        <f>'25'!A135</f>
        <v>0</v>
      </c>
      <c r="X18" s="182"/>
      <c r="Y18" s="199">
        <f>'25'!A138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'25'!A292</f>
        <v>2</v>
      </c>
      <c r="H19" s="179"/>
      <c r="I19" s="40"/>
      <c r="J19" s="244"/>
      <c r="P19" s="179"/>
      <c r="R19" s="244"/>
      <c r="S19" s="40" t="s">
        <v>18</v>
      </c>
      <c r="T19" s="40"/>
      <c r="U19" s="199">
        <f>'25'!A133</f>
        <v>0</v>
      </c>
      <c r="V19" s="251"/>
      <c r="W19" s="199">
        <f>'25'!A136</f>
        <v>0</v>
      </c>
      <c r="X19" s="182"/>
      <c r="Y19" s="199">
        <f>'25'!A139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'25'!A293</f>
        <v>2</v>
      </c>
      <c r="H20" s="179"/>
      <c r="I20" s="40"/>
      <c r="J20" s="244"/>
      <c r="K20" s="40" t="s">
        <v>138</v>
      </c>
      <c r="L20" s="40"/>
      <c r="M20" s="40"/>
      <c r="N20" s="40"/>
      <c r="O20" s="196">
        <f>'25'!A308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'25'!A294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'25'!A141</f>
        <v>592</v>
      </c>
      <c r="V22" s="251"/>
      <c r="W22" s="199">
        <f>'25'!A144</f>
        <v>363</v>
      </c>
      <c r="X22" s="182"/>
      <c r="Y22" s="199">
        <f>'25'!A147</f>
        <v>220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'25'!A301</f>
        <v>2136</v>
      </c>
      <c r="H23" s="205"/>
      <c r="I23" s="40"/>
      <c r="R23" s="244"/>
      <c r="S23" s="259" t="s">
        <v>170</v>
      </c>
      <c r="T23" s="40"/>
      <c r="U23" s="199">
        <f>'25'!A142</f>
        <v>0</v>
      </c>
      <c r="V23" s="251"/>
      <c r="W23" s="199">
        <f>'25'!A145</f>
        <v>0</v>
      </c>
      <c r="X23" s="182"/>
      <c r="Y23" s="199">
        <f>'25'!A148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'25'!A302</f>
        <v>19</v>
      </c>
      <c r="H24" s="260">
        <f>'25'!B302</f>
        <v>0</v>
      </c>
      <c r="I24" s="40"/>
      <c r="J24" s="243"/>
      <c r="K24" s="227"/>
      <c r="L24" s="227"/>
      <c r="M24" s="227"/>
      <c r="N24" s="188"/>
      <c r="O24" s="188"/>
      <c r="P24" s="237"/>
      <c r="R24" s="244"/>
      <c r="S24" s="40" t="s">
        <v>18</v>
      </c>
      <c r="T24" s="40"/>
      <c r="U24" s="199">
        <f>'25'!A143</f>
        <v>0</v>
      </c>
      <c r="V24" s="251"/>
      <c r="W24" s="199">
        <f>'25'!A146</f>
        <v>0</v>
      </c>
      <c r="X24" s="182"/>
      <c r="Y24" s="199">
        <f>'25'!A149</f>
        <v>0</v>
      </c>
      <c r="Z24" s="182"/>
      <c r="AA24" s="179"/>
      <c r="AC24" s="40"/>
      <c r="AD24" s="40"/>
      <c r="AE24" s="40"/>
      <c r="AF24" s="196"/>
      <c r="AG24" s="182"/>
      <c r="AH24" s="196"/>
      <c r="AI24" s="182"/>
      <c r="AJ24" s="196"/>
      <c r="AK24" s="182"/>
      <c r="AL24" s="40"/>
    </row>
    <row r="25" spans="2:38" ht="12" x14ac:dyDescent="0.25">
      <c r="B25" s="244"/>
      <c r="C25" s="182" t="s">
        <v>107</v>
      </c>
      <c r="G25" s="196">
        <f>'25'!A303</f>
        <v>1928</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G19*'25'!A75-G24</f>
        <v>11</v>
      </c>
      <c r="H26" s="179"/>
      <c r="I26" s="40"/>
      <c r="J26" s="244"/>
      <c r="K26" s="182" t="s">
        <v>142</v>
      </c>
      <c r="L26" s="40"/>
      <c r="M26" s="253">
        <f>'25'!A321</f>
        <v>2</v>
      </c>
      <c r="N26" s="253">
        <f>'25'!A322</f>
        <v>0</v>
      </c>
      <c r="O26" s="196">
        <f>IF('25'!A327&gt;0,1,0)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'25'!A304</f>
        <v>99</v>
      </c>
      <c r="H27" s="179"/>
      <c r="I27" s="40"/>
      <c r="J27" s="244"/>
      <c r="K27" s="182" t="s">
        <v>143</v>
      </c>
      <c r="L27" s="40"/>
      <c r="M27" s="253">
        <f>'25'!A323</f>
        <v>0</v>
      </c>
      <c r="N27" s="253">
        <f>'25'!A324</f>
        <v>0</v>
      </c>
      <c r="O27" s="196"/>
      <c r="P27" s="261"/>
      <c r="R27" s="244"/>
      <c r="S27" s="40" t="s">
        <v>169</v>
      </c>
      <c r="T27" s="40"/>
      <c r="U27" s="199">
        <f>'25'!A151</f>
        <v>0</v>
      </c>
      <c r="V27" s="251"/>
      <c r="W27" s="199">
        <f>'25'!A154</f>
        <v>0</v>
      </c>
      <c r="X27" s="182"/>
      <c r="Y27" s="199">
        <f>'25'!A157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'25'!A152</f>
        <v>0</v>
      </c>
      <c r="V28" s="251"/>
      <c r="W28" s="199">
        <f>'25'!A155</f>
        <v>0</v>
      </c>
      <c r="X28" s="182"/>
      <c r="Y28" s="199">
        <f>'25'!A158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1</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'25'!A311</f>
        <v>3000</v>
      </c>
      <c r="H30" s="179"/>
      <c r="I30" s="40"/>
      <c r="J30" s="244"/>
      <c r="K30" s="182" t="s">
        <v>146</v>
      </c>
      <c r="L30" s="40"/>
      <c r="M30" s="255">
        <f>'25'!A325</f>
        <v>3</v>
      </c>
      <c r="N30" s="255">
        <f>'25'!A326</f>
        <v>0</v>
      </c>
      <c r="O30" s="193">
        <f>IF('25'!A328&gt;0,1,0)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1000*'25'!A57+'25'!A312</f>
        <v>0</v>
      </c>
      <c r="H31" s="179"/>
      <c r="I31" s="40"/>
      <c r="J31" s="245"/>
      <c r="K31" s="214"/>
      <c r="L31" s="214"/>
      <c r="M31" s="214"/>
      <c r="N31" s="214"/>
      <c r="O31" s="214"/>
      <c r="P31" s="229"/>
      <c r="R31" s="244"/>
      <c r="S31" s="40" t="s">
        <v>169</v>
      </c>
      <c r="T31" s="40"/>
      <c r="U31" s="199">
        <f>'25'!A161</f>
        <v>108</v>
      </c>
      <c r="V31" s="251"/>
      <c r="W31" s="199">
        <f>'25'!A164</f>
        <v>87</v>
      </c>
      <c r="X31" s="182"/>
      <c r="Y31" s="199">
        <f>'25'!A167</f>
        <v>80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'25'!A313</f>
        <v>0</v>
      </c>
      <c r="H32" s="179"/>
      <c r="I32" s="40"/>
      <c r="M32" s="175" t="s">
        <v>0</v>
      </c>
      <c r="R32" s="244"/>
      <c r="S32" s="259" t="s">
        <v>170</v>
      </c>
      <c r="T32" s="40"/>
      <c r="U32" s="199">
        <f>'25'!A162</f>
        <v>0</v>
      </c>
      <c r="V32" s="251"/>
      <c r="W32" s="199">
        <f>'25'!A165</f>
        <v>0</v>
      </c>
      <c r="X32" s="182"/>
      <c r="Y32" s="199">
        <f>'25'!A168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'25'!A314</f>
        <v>0</v>
      </c>
      <c r="H33" s="263">
        <f>'25'!B313</f>
        <v>0</v>
      </c>
      <c r="I33" s="40"/>
      <c r="M33" s="40"/>
      <c r="R33" s="244"/>
      <c r="S33" s="40" t="s">
        <v>18</v>
      </c>
      <c r="T33" s="40"/>
      <c r="U33" s="199">
        <f>'25'!A163</f>
        <v>0</v>
      </c>
      <c r="V33" s="251"/>
      <c r="W33" s="199">
        <f>'25'!A166</f>
        <v>0</v>
      </c>
      <c r="X33" s="182"/>
      <c r="Y33" s="199">
        <f>'25'!A169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'25'!A315</f>
        <v>2565</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'25'!A316</f>
        <v>435</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'25'!A295</f>
        <v>1434</v>
      </c>
      <c r="N36" s="199">
        <f>'25'!A297</f>
        <v>0</v>
      </c>
      <c r="O36" s="253">
        <f>'25'!A299</f>
        <v>0</v>
      </c>
      <c r="P36" s="179"/>
      <c r="R36" s="244"/>
      <c r="S36" s="247" t="s">
        <v>174</v>
      </c>
      <c r="T36" s="264"/>
      <c r="U36" s="196">
        <f>'25'!A171</f>
        <v>0</v>
      </c>
      <c r="V36" s="254">
        <f>'25'!B171</f>
        <v>0</v>
      </c>
      <c r="W36" s="196">
        <f>'25'!A172</f>
        <v>0</v>
      </c>
      <c r="X36" s="254">
        <f>'25'!B172</f>
        <v>0</v>
      </c>
      <c r="Y36" s="196">
        <f>'25'!A173</f>
        <v>0</v>
      </c>
      <c r="Z36" s="184">
        <f>'25'!B173</f>
        <v>0</v>
      </c>
      <c r="AA36" s="179"/>
      <c r="AC36" s="40"/>
      <c r="AD36" s="247"/>
      <c r="AE36" s="247"/>
      <c r="AF36" s="196"/>
      <c r="AG36" s="184"/>
      <c r="AH36" s="196"/>
      <c r="AI36" s="184"/>
      <c r="AJ36" s="196"/>
      <c r="AK36" s="184"/>
      <c r="AL36" s="40"/>
    </row>
    <row r="37" spans="2:38" x14ac:dyDescent="0.2">
      <c r="B37" s="244"/>
      <c r="C37" s="40" t="s">
        <v>118</v>
      </c>
      <c r="D37" s="40"/>
      <c r="E37" s="40"/>
      <c r="F37" s="40"/>
      <c r="G37" s="196">
        <f>1000*'25'!A58</f>
        <v>2000</v>
      </c>
      <c r="H37" s="179"/>
      <c r="I37" s="40"/>
      <c r="J37" s="244"/>
      <c r="K37" s="40" t="s">
        <v>149</v>
      </c>
      <c r="L37" s="40"/>
      <c r="M37" s="255">
        <f>'25'!A296</f>
        <v>6</v>
      </c>
      <c r="N37" s="255">
        <f>'25'!A298</f>
        <v>0</v>
      </c>
      <c r="O37" s="255">
        <f>'25'!A300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'25'!A317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1000*'25'!A59</f>
        <v>0</v>
      </c>
      <c r="H39" s="179"/>
      <c r="I39" s="40"/>
      <c r="R39" s="244"/>
      <c r="S39" s="247" t="s">
        <v>175</v>
      </c>
      <c r="T39" s="247"/>
      <c r="U39" s="266" t="str">
        <f>'25'!A177</f>
        <v>None</v>
      </c>
      <c r="V39" s="251"/>
      <c r="W39" s="266" t="str">
        <f>'25'!A178</f>
        <v>None</v>
      </c>
      <c r="X39" s="182"/>
      <c r="Y39" s="266" t="str">
        <f>'25'!A179</f>
        <v>None</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'25'!A318</f>
        <v>0</v>
      </c>
      <c r="H42" s="179"/>
      <c r="I42" s="40"/>
      <c r="J42" s="244"/>
      <c r="K42" s="215" t="s">
        <v>150</v>
      </c>
      <c r="N42" s="177" t="s">
        <v>154</v>
      </c>
      <c r="P42" s="179"/>
      <c r="R42" s="244"/>
      <c r="S42" s="269" t="s">
        <v>177</v>
      </c>
      <c r="T42" s="40"/>
      <c r="U42" s="199">
        <f>'25'!A181</f>
        <v>0</v>
      </c>
      <c r="V42" s="251"/>
      <c r="W42" s="196">
        <f>'25'!A182</f>
        <v>0</v>
      </c>
      <c r="X42" s="182"/>
      <c r="Y42" s="199">
        <f>'25'!A183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'25'!A319</f>
        <v>0</v>
      </c>
      <c r="H43" s="179"/>
      <c r="I43" s="40"/>
      <c r="J43" s="244"/>
      <c r="K43" s="175" t="s">
        <v>151</v>
      </c>
      <c r="N43" s="271">
        <f>0.00019*50*G10</f>
        <v>4.75</v>
      </c>
      <c r="P43" s="179"/>
      <c r="R43" s="244"/>
      <c r="S43" s="269" t="s">
        <v>178</v>
      </c>
      <c r="T43" s="40"/>
      <c r="U43" s="199">
        <f>'25'!A54</f>
        <v>0</v>
      </c>
      <c r="V43" s="251"/>
      <c r="W43" s="199">
        <f>'25'!A55</f>
        <v>0</v>
      </c>
      <c r="X43" s="182"/>
      <c r="Y43" s="199">
        <f>'25'!A56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100-'25'!A320/10</f>
        <v>100</v>
      </c>
      <c r="H44" s="179"/>
      <c r="I44" s="40"/>
      <c r="J44" s="244"/>
      <c r="K44" s="175" t="s">
        <v>152</v>
      </c>
      <c r="N44" s="272">
        <f>0.00052*(6*G25+O18)</f>
        <v>8.2576000000000001</v>
      </c>
      <c r="P44" s="179"/>
      <c r="R44" s="244"/>
      <c r="S44" s="269" t="s">
        <v>179</v>
      </c>
      <c r="T44" s="40"/>
      <c r="U44" s="199">
        <f>'25'!A184</f>
        <v>0</v>
      </c>
      <c r="V44" s="251"/>
      <c r="W44" s="196">
        <f>'25'!A185</f>
        <v>0</v>
      </c>
      <c r="X44" s="182"/>
      <c r="Y44" s="199">
        <f>'25'!A186</f>
        <v>0</v>
      </c>
      <c r="Z44" s="182"/>
      <c r="AA44" s="179"/>
      <c r="AC44" s="40"/>
      <c r="AD44" s="269"/>
      <c r="AE44" s="40"/>
      <c r="AF44" s="196"/>
      <c r="AG44" s="182"/>
      <c r="AH44" s="196"/>
      <c r="AI44" s="182"/>
      <c r="AJ44" s="196"/>
      <c r="AK44" s="182"/>
      <c r="AL44" s="40"/>
    </row>
    <row r="45" spans="2:38" x14ac:dyDescent="0.2">
      <c r="B45" s="244"/>
      <c r="C45" s="44" t="s">
        <v>125</v>
      </c>
      <c r="G45" s="175">
        <f>'25'!A329</f>
        <v>0</v>
      </c>
      <c r="H45" s="179"/>
      <c r="I45" s="40"/>
      <c r="J45" s="244"/>
      <c r="K45" s="175" t="s">
        <v>153</v>
      </c>
      <c r="N45" s="271">
        <f>N43+N44</f>
        <v>13.0076</v>
      </c>
      <c r="P45" s="179"/>
      <c r="R45" s="244"/>
      <c r="S45" s="269" t="s">
        <v>180</v>
      </c>
      <c r="T45" s="40"/>
      <c r="U45" s="199">
        <f>'25'!A187</f>
        <v>0</v>
      </c>
      <c r="V45" s="251"/>
      <c r="W45" s="196">
        <f>'25'!A188</f>
        <v>0</v>
      </c>
      <c r="X45" s="182"/>
      <c r="Y45" s="199">
        <f>'25'!A189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tabColor theme="8" tint="0.59999389629810485"/>
  </sheetPr>
  <dimension ref="A1:Z59"/>
  <sheetViews>
    <sheetView showGridLines="0" workbookViewId="0">
      <selection activeCell="V18" sqref="V18"/>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'25'!A1</f>
        <v>1</v>
      </c>
      <c r="F1" s="512" t="s">
        <v>285</v>
      </c>
      <c r="G1" s="175"/>
      <c r="I1" s="172">
        <f>'25'!A2</f>
        <v>1</v>
      </c>
      <c r="J1" s="175"/>
      <c r="K1" s="175"/>
      <c r="L1" s="175"/>
      <c r="M1" s="513" t="s">
        <v>284</v>
      </c>
      <c r="N1" s="175"/>
      <c r="O1" s="175"/>
      <c r="P1" s="175"/>
      <c r="Q1" s="175"/>
      <c r="S1" s="175"/>
      <c r="U1" s="170" t="s">
        <v>81</v>
      </c>
      <c r="V1" s="172">
        <f>'25'!A4</f>
        <v>2016</v>
      </c>
      <c r="W1" s="171" t="s">
        <v>80</v>
      </c>
      <c r="X1" s="172">
        <f>'25'!A5</f>
        <v>3</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'25'!A201</f>
        <v>30000</v>
      </c>
      <c r="G8" s="283"/>
      <c r="H8" s="45"/>
      <c r="I8" s="45" t="s">
        <v>207</v>
      </c>
      <c r="J8" s="45"/>
      <c r="K8" s="45"/>
      <c r="L8" s="286">
        <f>'25'!A241</f>
        <v>484270</v>
      </c>
      <c r="M8" s="283"/>
      <c r="N8" s="45"/>
      <c r="O8" s="268" t="s">
        <v>234</v>
      </c>
      <c r="P8" s="268"/>
      <c r="Q8" s="45"/>
      <c r="R8" s="45"/>
      <c r="S8" s="283"/>
      <c r="T8" s="45"/>
      <c r="U8" s="290" t="s">
        <v>260</v>
      </c>
      <c r="Y8" s="283"/>
    </row>
    <row r="9" spans="2:26" ht="12" x14ac:dyDescent="0.3">
      <c r="B9" s="281"/>
      <c r="C9" s="325" t="s">
        <v>184</v>
      </c>
      <c r="D9" s="45"/>
      <c r="E9" s="45"/>
      <c r="F9" s="286">
        <f>'25'!A202</f>
        <v>0</v>
      </c>
      <c r="G9" s="283"/>
      <c r="H9" s="45"/>
      <c r="I9" s="45"/>
      <c r="J9" s="45"/>
      <c r="K9" s="45"/>
      <c r="L9" s="286"/>
      <c r="M9" s="283"/>
      <c r="N9" s="45"/>
      <c r="O9" s="242" t="s">
        <v>235</v>
      </c>
      <c r="Q9" s="289"/>
      <c r="R9" s="289">
        <f>'25'!A261</f>
        <v>50000</v>
      </c>
      <c r="S9" s="283"/>
      <c r="T9" s="45"/>
      <c r="U9" s="45" t="s">
        <v>261</v>
      </c>
      <c r="V9" s="45"/>
      <c r="W9" s="45"/>
      <c r="X9" s="286">
        <f>'25'!A221</f>
        <v>182705</v>
      </c>
      <c r="Y9" s="283"/>
    </row>
    <row r="10" spans="2:26" x14ac:dyDescent="0.2">
      <c r="B10" s="281"/>
      <c r="C10" s="45" t="s">
        <v>185</v>
      </c>
      <c r="D10" s="45"/>
      <c r="E10" s="45"/>
      <c r="F10" s="286">
        <f>'25'!A203</f>
        <v>0</v>
      </c>
      <c r="G10" s="283"/>
      <c r="H10" s="45"/>
      <c r="I10" s="45" t="s">
        <v>208</v>
      </c>
      <c r="J10" s="45"/>
      <c r="K10" s="45"/>
      <c r="L10" s="286">
        <f>'25'!A242</f>
        <v>160480</v>
      </c>
      <c r="M10" s="283"/>
      <c r="N10" s="45"/>
      <c r="O10" s="45" t="s">
        <v>236</v>
      </c>
      <c r="P10" s="45"/>
      <c r="Q10" s="289"/>
      <c r="R10" s="289">
        <f>'25'!A262</f>
        <v>250000</v>
      </c>
      <c r="S10" s="283"/>
      <c r="T10" s="45"/>
      <c r="U10" s="45" t="s">
        <v>220</v>
      </c>
      <c r="V10" s="45"/>
      <c r="W10" s="45"/>
      <c r="X10" s="286">
        <f>'25'!A222</f>
        <v>0</v>
      </c>
      <c r="Y10" s="283"/>
    </row>
    <row r="11" spans="2:26" x14ac:dyDescent="0.2">
      <c r="B11" s="281"/>
      <c r="C11" s="45" t="s">
        <v>186</v>
      </c>
      <c r="D11" s="45"/>
      <c r="E11" s="45"/>
      <c r="F11" s="286">
        <f>'25'!A204</f>
        <v>59216</v>
      </c>
      <c r="G11" s="283"/>
      <c r="H11" s="45"/>
      <c r="I11" s="287" t="s">
        <v>209</v>
      </c>
      <c r="L11" s="286">
        <f>'25'!A243</f>
        <v>0</v>
      </c>
      <c r="M11" s="283"/>
      <c r="N11" s="45"/>
      <c r="O11" s="45" t="s">
        <v>237</v>
      </c>
      <c r="P11" s="45"/>
      <c r="Q11" s="45"/>
      <c r="R11" s="292">
        <f>'25'!A263</f>
        <v>1155376</v>
      </c>
      <c r="S11" s="283"/>
      <c r="T11" s="45"/>
      <c r="U11" s="45" t="s">
        <v>262</v>
      </c>
      <c r="V11" s="45"/>
      <c r="W11" s="45"/>
      <c r="X11" s="286">
        <f>'25'!A223</f>
        <v>594693</v>
      </c>
      <c r="Y11" s="283"/>
    </row>
    <row r="12" spans="2:26" x14ac:dyDescent="0.2">
      <c r="B12" s="281"/>
      <c r="C12" s="45" t="s">
        <v>187</v>
      </c>
      <c r="D12" s="45"/>
      <c r="E12" s="45"/>
      <c r="F12" s="286">
        <f>'25'!A205</f>
        <v>4842</v>
      </c>
      <c r="G12" s="283"/>
      <c r="H12" s="45"/>
      <c r="I12" s="45" t="s">
        <v>210</v>
      </c>
      <c r="J12" s="45"/>
      <c r="K12" s="45"/>
      <c r="L12" s="286">
        <f>'25'!A244</f>
        <v>124818</v>
      </c>
      <c r="M12" s="283"/>
      <c r="N12" s="45"/>
      <c r="O12" s="45" t="s">
        <v>238</v>
      </c>
      <c r="P12" s="45"/>
      <c r="Q12" s="45"/>
      <c r="R12" s="286">
        <f>SUM(R9:R11)</f>
        <v>1455376</v>
      </c>
      <c r="S12" s="283"/>
      <c r="T12" s="45"/>
      <c r="U12" s="45" t="s">
        <v>263</v>
      </c>
      <c r="V12" s="45"/>
      <c r="W12" s="45"/>
      <c r="X12" s="288">
        <f>'25'!A224</f>
        <v>0</v>
      </c>
      <c r="Y12" s="283"/>
    </row>
    <row r="13" spans="2:26" x14ac:dyDescent="0.2">
      <c r="B13" s="281"/>
      <c r="C13" s="45" t="s">
        <v>188</v>
      </c>
      <c r="D13" s="45"/>
      <c r="E13" s="45"/>
      <c r="F13" s="286">
        <f>'25'!A206</f>
        <v>0</v>
      </c>
      <c r="G13" s="283"/>
      <c r="H13" s="45"/>
      <c r="I13" s="45" t="s">
        <v>211</v>
      </c>
      <c r="J13" s="45"/>
      <c r="K13" s="45"/>
      <c r="L13" s="286">
        <f>'25'!A245</f>
        <v>48874</v>
      </c>
      <c r="M13" s="283"/>
      <c r="N13" s="45"/>
      <c r="S13" s="283"/>
      <c r="T13" s="45"/>
      <c r="U13" s="287" t="s">
        <v>264</v>
      </c>
      <c r="X13" s="289">
        <f>X9+X10-X11-X12</f>
        <v>-411988</v>
      </c>
      <c r="Y13" s="283"/>
    </row>
    <row r="14" spans="2:26" x14ac:dyDescent="0.2">
      <c r="B14" s="281"/>
      <c r="C14" s="45" t="s">
        <v>189</v>
      </c>
      <c r="D14" s="45"/>
      <c r="E14" s="45"/>
      <c r="F14" s="286">
        <f>'25'!A207</f>
        <v>60000</v>
      </c>
      <c r="G14" s="283"/>
      <c r="H14" s="45"/>
      <c r="I14" s="45" t="s">
        <v>212</v>
      </c>
      <c r="J14" s="45"/>
      <c r="K14" s="45"/>
      <c r="L14" s="286">
        <f>'25'!A246</f>
        <v>73855</v>
      </c>
      <c r="M14" s="283"/>
      <c r="N14" s="45"/>
      <c r="O14" s="290" t="s">
        <v>239</v>
      </c>
      <c r="S14" s="283"/>
      <c r="T14" s="45"/>
      <c r="Y14" s="283"/>
    </row>
    <row r="15" spans="2:26" ht="12" x14ac:dyDescent="0.3">
      <c r="B15" s="281"/>
      <c r="C15" s="325" t="s">
        <v>190</v>
      </c>
      <c r="D15" s="45"/>
      <c r="E15" s="45"/>
      <c r="F15" s="286">
        <f>'25'!A208</f>
        <v>0</v>
      </c>
      <c r="G15" s="283"/>
      <c r="H15" s="45"/>
      <c r="I15" s="45" t="s">
        <v>213</v>
      </c>
      <c r="J15" s="45"/>
      <c r="K15" s="45"/>
      <c r="L15" s="286">
        <f>'25'!A247</f>
        <v>50775</v>
      </c>
      <c r="M15" s="283"/>
      <c r="N15" s="45"/>
      <c r="O15" s="45" t="s">
        <v>240</v>
      </c>
      <c r="P15" s="45"/>
      <c r="Q15" s="45"/>
      <c r="R15" s="286">
        <f>'25'!A265</f>
        <v>57721</v>
      </c>
      <c r="S15" s="283"/>
      <c r="T15" s="45"/>
      <c r="U15" s="290" t="s">
        <v>265</v>
      </c>
      <c r="Y15" s="283"/>
    </row>
    <row r="16" spans="2:26" x14ac:dyDescent="0.2">
      <c r="B16" s="281"/>
      <c r="C16" s="45" t="s">
        <v>191</v>
      </c>
      <c r="D16" s="45"/>
      <c r="E16" s="45"/>
      <c r="F16" s="286">
        <f>'25'!A209</f>
        <v>43500</v>
      </c>
      <c r="G16" s="283"/>
      <c r="H16" s="45"/>
      <c r="I16" s="45" t="s">
        <v>214</v>
      </c>
      <c r="J16" s="45"/>
      <c r="K16" s="45"/>
      <c r="L16" s="286">
        <f>'25'!A248</f>
        <v>1487</v>
      </c>
      <c r="M16" s="283"/>
      <c r="N16" s="45"/>
      <c r="O16" s="287" t="s">
        <v>241</v>
      </c>
      <c r="R16" s="286">
        <f>'25'!A266</f>
        <v>0</v>
      </c>
      <c r="S16" s="283"/>
      <c r="T16" s="45"/>
      <c r="U16" s="45" t="s">
        <v>266</v>
      </c>
      <c r="V16" s="45"/>
      <c r="W16" s="45"/>
      <c r="X16" s="286">
        <f>'25'!A225</f>
        <v>2375</v>
      </c>
      <c r="Y16" s="283"/>
    </row>
    <row r="17" spans="2:25" x14ac:dyDescent="0.2">
      <c r="B17" s="281"/>
      <c r="C17" s="45" t="s">
        <v>192</v>
      </c>
      <c r="D17" s="45"/>
      <c r="E17" s="45"/>
      <c r="F17" s="286">
        <f>'25'!A210</f>
        <v>2550</v>
      </c>
      <c r="G17" s="283"/>
      <c r="H17" s="45"/>
      <c r="I17" s="45" t="s">
        <v>215</v>
      </c>
      <c r="L17" s="286">
        <f>'25'!A249</f>
        <v>15600</v>
      </c>
      <c r="M17" s="283"/>
      <c r="N17" s="45"/>
      <c r="O17" s="45" t="s">
        <v>242</v>
      </c>
      <c r="P17" s="45"/>
      <c r="Q17" s="45"/>
      <c r="R17" s="286">
        <f>'25'!A267</f>
        <v>128313</v>
      </c>
      <c r="S17" s="283"/>
      <c r="T17" s="45"/>
      <c r="U17" s="45" t="s">
        <v>267</v>
      </c>
      <c r="X17" s="286">
        <f>'25'!A226</f>
        <v>0</v>
      </c>
      <c r="Y17" s="283"/>
    </row>
    <row r="18" spans="2:25" x14ac:dyDescent="0.2">
      <c r="B18" s="281"/>
      <c r="C18" s="45" t="s">
        <v>193</v>
      </c>
      <c r="D18" s="45"/>
      <c r="E18" s="45"/>
      <c r="F18" s="286">
        <f>'25'!A211</f>
        <v>7979</v>
      </c>
      <c r="G18" s="283"/>
      <c r="H18" s="45"/>
      <c r="I18" s="43" t="s">
        <v>216</v>
      </c>
      <c r="J18" s="45"/>
      <c r="K18" s="45"/>
      <c r="L18" s="288">
        <f>'25'!A250</f>
        <v>186034</v>
      </c>
      <c r="M18" s="283"/>
      <c r="N18" s="45"/>
      <c r="O18" s="45" t="s">
        <v>243</v>
      </c>
      <c r="P18" s="45"/>
      <c r="Q18" s="45"/>
      <c r="R18" s="286">
        <f>'25'!A268</f>
        <v>301565</v>
      </c>
      <c r="S18" s="283"/>
      <c r="T18" s="45"/>
      <c r="U18" s="45" t="s">
        <v>268</v>
      </c>
      <c r="V18" s="45"/>
      <c r="W18" s="45"/>
      <c r="X18" s="288">
        <f>'25'!A227</f>
        <v>600000</v>
      </c>
      <c r="Y18" s="283"/>
    </row>
    <row r="19" spans="2:25" x14ac:dyDescent="0.2">
      <c r="B19" s="281"/>
      <c r="C19" s="45" t="s">
        <v>194</v>
      </c>
      <c r="D19" s="45"/>
      <c r="E19" s="45"/>
      <c r="F19" s="286">
        <f>'25'!A212</f>
        <v>7500</v>
      </c>
      <c r="G19" s="283"/>
      <c r="H19" s="45"/>
      <c r="I19" s="45" t="s">
        <v>217</v>
      </c>
      <c r="J19" s="45"/>
      <c r="K19" s="45"/>
      <c r="L19" s="291">
        <f>'25'!A251</f>
        <v>289855</v>
      </c>
      <c r="M19" s="283"/>
      <c r="N19" s="45"/>
      <c r="O19" s="45" t="s">
        <v>244</v>
      </c>
      <c r="P19" s="45"/>
      <c r="Q19" s="45"/>
      <c r="R19" s="288">
        <f>'25'!A269</f>
        <v>1900000</v>
      </c>
      <c r="S19" s="283"/>
      <c r="T19" s="45"/>
      <c r="U19" s="287" t="s">
        <v>269</v>
      </c>
      <c r="X19" s="289">
        <f>X16+X17-X18</f>
        <v>-597625</v>
      </c>
      <c r="Y19" s="283"/>
    </row>
    <row r="20" spans="2:25" x14ac:dyDescent="0.2">
      <c r="B20" s="281"/>
      <c r="C20" s="45" t="s">
        <v>195</v>
      </c>
      <c r="D20" s="45"/>
      <c r="E20" s="45"/>
      <c r="F20" s="286">
        <f>'25'!A213</f>
        <v>1175</v>
      </c>
      <c r="G20" s="283"/>
      <c r="H20" s="45"/>
      <c r="I20" s="45" t="s">
        <v>218</v>
      </c>
      <c r="J20" s="45"/>
      <c r="K20" s="45"/>
      <c r="L20" s="286">
        <f>'25'!A252</f>
        <v>194415</v>
      </c>
      <c r="M20" s="283"/>
      <c r="N20" s="45"/>
      <c r="O20" s="287" t="s">
        <v>245</v>
      </c>
      <c r="R20" s="515">
        <f>SUM(R15:R19)</f>
        <v>2387599</v>
      </c>
      <c r="S20" s="283"/>
      <c r="T20" s="45"/>
      <c r="Y20" s="283"/>
    </row>
    <row r="21" spans="2:25" x14ac:dyDescent="0.2">
      <c r="B21" s="281"/>
      <c r="C21" s="45" t="s">
        <v>196</v>
      </c>
      <c r="D21" s="45"/>
      <c r="E21" s="45"/>
      <c r="F21" s="286">
        <f>'25'!A214</f>
        <v>6272</v>
      </c>
      <c r="G21" s="283"/>
      <c r="H21" s="45"/>
      <c r="I21" s="45" t="s">
        <v>219</v>
      </c>
      <c r="J21" s="45"/>
      <c r="K21" s="45"/>
      <c r="L21" s="286">
        <f>'25'!A217</f>
        <v>283554</v>
      </c>
      <c r="M21" s="283"/>
      <c r="N21" s="45"/>
      <c r="O21" s="45" t="s">
        <v>246</v>
      </c>
      <c r="P21" s="45"/>
      <c r="Q21" s="45"/>
      <c r="R21" s="286">
        <f>R12+R20</f>
        <v>3842975</v>
      </c>
      <c r="S21" s="283"/>
      <c r="T21" s="45"/>
      <c r="U21" s="290" t="s">
        <v>270</v>
      </c>
      <c r="Y21" s="283"/>
    </row>
    <row r="22" spans="2:25" x14ac:dyDescent="0.2">
      <c r="B22" s="281"/>
      <c r="C22" s="45" t="s">
        <v>197</v>
      </c>
      <c r="D22" s="45"/>
      <c r="E22" s="45"/>
      <c r="F22" s="286">
        <f>'25'!A215</f>
        <v>50000</v>
      </c>
      <c r="G22" s="283"/>
      <c r="H22" s="45"/>
      <c r="I22" s="45" t="s">
        <v>220</v>
      </c>
      <c r="J22" s="45"/>
      <c r="K22" s="45"/>
      <c r="L22" s="286">
        <f>'25'!A222</f>
        <v>0</v>
      </c>
      <c r="M22" s="283"/>
      <c r="N22" s="45"/>
      <c r="S22" s="283"/>
      <c r="T22" s="45"/>
      <c r="U22" s="242" t="s">
        <v>271</v>
      </c>
      <c r="X22" s="286">
        <f>'25'!A228</f>
        <v>0</v>
      </c>
      <c r="Y22" s="283"/>
    </row>
    <row r="23" spans="2:25" x14ac:dyDescent="0.2">
      <c r="B23" s="281"/>
      <c r="C23" s="45" t="s">
        <v>198</v>
      </c>
      <c r="D23" s="45"/>
      <c r="E23" s="45"/>
      <c r="F23" s="288">
        <f>'25'!A216</f>
        <v>10520</v>
      </c>
      <c r="G23" s="283"/>
      <c r="H23" s="45"/>
      <c r="I23" s="45" t="s">
        <v>221</v>
      </c>
      <c r="J23" s="45"/>
      <c r="K23" s="45"/>
      <c r="L23" s="292">
        <f>'25'!A254</f>
        <v>29624</v>
      </c>
      <c r="M23" s="283"/>
      <c r="N23" s="45"/>
      <c r="O23" s="268" t="s">
        <v>247</v>
      </c>
      <c r="P23" s="45"/>
      <c r="Q23" s="45"/>
      <c r="R23" s="286"/>
      <c r="S23" s="283"/>
      <c r="T23" s="45"/>
      <c r="U23" s="242" t="s">
        <v>272</v>
      </c>
      <c r="V23" s="45"/>
      <c r="W23" s="45"/>
      <c r="X23" s="286">
        <f>'25'!A229</f>
        <v>0</v>
      </c>
      <c r="Y23" s="283"/>
    </row>
    <row r="24" spans="2:25" x14ac:dyDescent="0.2">
      <c r="B24" s="281"/>
      <c r="C24" s="45" t="s">
        <v>199</v>
      </c>
      <c r="D24" s="268"/>
      <c r="E24" s="45"/>
      <c r="F24" s="288">
        <f>'25'!A217</f>
        <v>283554</v>
      </c>
      <c r="G24" s="283"/>
      <c r="H24" s="45"/>
      <c r="I24" s="287" t="s">
        <v>222</v>
      </c>
      <c r="L24" s="286">
        <f>L20-L21+L22-L23</f>
        <v>-118763</v>
      </c>
      <c r="M24" s="283"/>
      <c r="N24" s="45"/>
      <c r="O24" s="45" t="s">
        <v>248</v>
      </c>
      <c r="P24" s="45"/>
      <c r="Q24" s="45"/>
      <c r="R24" s="286">
        <f>'25'!A271</f>
        <v>0</v>
      </c>
      <c r="S24" s="283"/>
      <c r="T24" s="45"/>
      <c r="U24" s="45" t="s">
        <v>273</v>
      </c>
      <c r="V24" s="45"/>
      <c r="W24" s="45"/>
      <c r="X24" s="286">
        <f>'25'!A230</f>
        <v>0</v>
      </c>
      <c r="Y24" s="283"/>
    </row>
    <row r="25" spans="2:25" ht="12" x14ac:dyDescent="0.3">
      <c r="B25" s="281"/>
      <c r="C25" s="45"/>
      <c r="F25" s="293"/>
      <c r="G25" s="283"/>
      <c r="H25" s="45"/>
      <c r="I25" s="45" t="s">
        <v>223</v>
      </c>
      <c r="J25" s="45"/>
      <c r="K25" s="45"/>
      <c r="L25" s="286">
        <f>'25'!A225</f>
        <v>2375</v>
      </c>
      <c r="M25" s="283"/>
      <c r="N25" s="45"/>
      <c r="O25" s="325" t="s">
        <v>249</v>
      </c>
      <c r="P25" s="45"/>
      <c r="Q25" s="45"/>
      <c r="R25" s="286">
        <f>'25'!A272</f>
        <v>118538</v>
      </c>
      <c r="S25" s="283"/>
      <c r="T25" s="45"/>
      <c r="U25" s="45" t="s">
        <v>274</v>
      </c>
      <c r="V25" s="45"/>
      <c r="W25" s="45"/>
      <c r="X25" s="286">
        <f>'25'!A231</f>
        <v>0</v>
      </c>
      <c r="Y25" s="283"/>
    </row>
    <row r="26" spans="2:25" x14ac:dyDescent="0.2">
      <c r="B26" s="281"/>
      <c r="C26" s="326" t="s">
        <v>200</v>
      </c>
      <c r="D26" s="45"/>
      <c r="E26" s="45"/>
      <c r="F26" s="286"/>
      <c r="G26" s="283"/>
      <c r="H26" s="45"/>
      <c r="I26" s="45" t="s">
        <v>224</v>
      </c>
      <c r="J26" s="45"/>
      <c r="K26" s="45"/>
      <c r="L26" s="288">
        <f>'25'!A232</f>
        <v>531</v>
      </c>
      <c r="M26" s="283"/>
      <c r="N26" s="45"/>
      <c r="O26" s="45" t="s">
        <v>250</v>
      </c>
      <c r="P26" s="45"/>
      <c r="Q26" s="45"/>
      <c r="R26" s="288">
        <f>'25'!A273</f>
        <v>92603</v>
      </c>
      <c r="S26" s="283"/>
      <c r="T26" s="45"/>
      <c r="U26" s="45" t="s">
        <v>275</v>
      </c>
      <c r="V26" s="45"/>
      <c r="W26" s="45"/>
      <c r="X26" s="288">
        <f>'25'!A232</f>
        <v>531</v>
      </c>
      <c r="Y26" s="283"/>
    </row>
    <row r="27" spans="2:25" x14ac:dyDescent="0.2">
      <c r="B27" s="281"/>
      <c r="C27" s="287" t="s">
        <v>201</v>
      </c>
      <c r="D27" s="45"/>
      <c r="E27" s="45"/>
      <c r="F27" s="289">
        <f>L27</f>
        <v>-116919</v>
      </c>
      <c r="G27" s="283"/>
      <c r="H27" s="45"/>
      <c r="I27" s="287" t="s">
        <v>225</v>
      </c>
      <c r="J27" s="45"/>
      <c r="K27" s="45"/>
      <c r="L27" s="289">
        <f>L24+L25-L26</f>
        <v>-116919</v>
      </c>
      <c r="M27" s="283"/>
      <c r="N27" s="45"/>
      <c r="O27" s="43" t="s">
        <v>251</v>
      </c>
      <c r="P27" s="45"/>
      <c r="Q27" s="45"/>
      <c r="R27" s="286">
        <f>SUM(R24:R26)</f>
        <v>211141</v>
      </c>
      <c r="S27" s="283"/>
      <c r="T27" s="45"/>
      <c r="U27" s="287" t="s">
        <v>276</v>
      </c>
      <c r="X27" s="289">
        <f>X22-X23-X24+X25-X26</f>
        <v>-531</v>
      </c>
      <c r="Y27" s="283"/>
    </row>
    <row r="28" spans="2:25" x14ac:dyDescent="0.2">
      <c r="B28" s="281"/>
      <c r="C28" s="287" t="s">
        <v>202</v>
      </c>
      <c r="D28" s="45"/>
      <c r="E28" s="45"/>
      <c r="F28" s="288">
        <f>'25'!A240</f>
        <v>-251247</v>
      </c>
      <c r="G28" s="283"/>
      <c r="H28" s="45"/>
      <c r="I28" s="45" t="s">
        <v>226</v>
      </c>
      <c r="J28" s="45"/>
      <c r="K28" s="45"/>
      <c r="L28" s="288">
        <f>'25'!A255</f>
        <v>0</v>
      </c>
      <c r="M28" s="283"/>
      <c r="N28" s="45"/>
      <c r="O28" s="45" t="s">
        <v>252</v>
      </c>
      <c r="P28" s="45"/>
      <c r="Q28" s="45"/>
      <c r="R28" s="286">
        <f>'25'!A274</f>
        <v>0</v>
      </c>
      <c r="S28" s="283"/>
      <c r="X28" s="294"/>
      <c r="Y28" s="283"/>
    </row>
    <row r="29" spans="2:25" x14ac:dyDescent="0.2">
      <c r="B29" s="281"/>
      <c r="C29" s="287" t="s">
        <v>203</v>
      </c>
      <c r="F29" s="289">
        <f>'25'!A257</f>
        <v>-368166</v>
      </c>
      <c r="G29" s="283"/>
      <c r="H29" s="45"/>
      <c r="I29" s="45" t="s">
        <v>227</v>
      </c>
      <c r="J29" s="45"/>
      <c r="K29" s="45"/>
      <c r="L29" s="286">
        <f>'25'!A256</f>
        <v>-116919</v>
      </c>
      <c r="M29" s="283"/>
      <c r="N29" s="45"/>
      <c r="S29" s="283"/>
      <c r="U29" s="45" t="s">
        <v>277</v>
      </c>
      <c r="V29" s="45"/>
      <c r="W29" s="45"/>
      <c r="X29" s="289">
        <f>'25'!A233</f>
        <v>-1010144</v>
      </c>
      <c r="Y29" s="283"/>
    </row>
    <row r="30" spans="2:25" x14ac:dyDescent="0.2">
      <c r="B30" s="281"/>
      <c r="C30" s="45"/>
      <c r="G30" s="283"/>
      <c r="H30" s="45"/>
      <c r="I30" s="287" t="s">
        <v>228</v>
      </c>
      <c r="L30" s="295">
        <f>IF(R33&gt;0,100*L29/R33,0)</f>
        <v>-2.9229750000000001</v>
      </c>
      <c r="M30" s="283"/>
      <c r="N30" s="45"/>
      <c r="O30" s="45" t="s">
        <v>253</v>
      </c>
      <c r="P30" s="45"/>
      <c r="Q30" s="45"/>
      <c r="R30" s="286">
        <f>R21-R27-R28</f>
        <v>3631834</v>
      </c>
      <c r="S30" s="283"/>
      <c r="U30" s="287" t="s">
        <v>278</v>
      </c>
      <c r="V30" s="45"/>
      <c r="W30" s="45"/>
      <c r="X30" s="292">
        <f>'25'!A234</f>
        <v>2817541</v>
      </c>
      <c r="Y30" s="283"/>
    </row>
    <row r="31" spans="2:25" x14ac:dyDescent="0.2">
      <c r="B31" s="281"/>
      <c r="C31" s="45"/>
      <c r="G31" s="283"/>
      <c r="H31" s="45"/>
      <c r="M31" s="283"/>
      <c r="N31" s="45"/>
      <c r="S31" s="283"/>
      <c r="U31" s="287" t="s">
        <v>279</v>
      </c>
      <c r="X31" s="45">
        <f>R19-R26</f>
        <v>1807397</v>
      </c>
      <c r="Y31" s="283"/>
    </row>
    <row r="32" spans="2:25" x14ac:dyDescent="0.2">
      <c r="B32" s="281"/>
      <c r="G32" s="283"/>
      <c r="H32" s="45"/>
      <c r="I32" s="43" t="s">
        <v>229</v>
      </c>
      <c r="J32" s="45"/>
      <c r="K32" s="45"/>
      <c r="L32" s="288">
        <f>'25'!A230</f>
        <v>0</v>
      </c>
      <c r="M32" s="283"/>
      <c r="N32" s="45"/>
      <c r="O32" s="290" t="s">
        <v>254</v>
      </c>
      <c r="S32" s="283"/>
      <c r="U32" s="242" t="s">
        <v>280</v>
      </c>
      <c r="X32" s="289">
        <f>'25'!A270</f>
        <v>1900000</v>
      </c>
      <c r="Y32" s="296" t="s">
        <v>9</v>
      </c>
    </row>
    <row r="33" spans="1:25" x14ac:dyDescent="0.2">
      <c r="B33" s="281"/>
      <c r="C33" s="45" t="s">
        <v>204</v>
      </c>
      <c r="D33" s="45"/>
      <c r="E33" s="45"/>
      <c r="F33" s="286">
        <f>'25'!A219</f>
        <v>0</v>
      </c>
      <c r="G33" s="283"/>
      <c r="H33" s="45"/>
      <c r="I33" s="45" t="s">
        <v>230</v>
      </c>
      <c r="J33" s="45"/>
      <c r="K33" s="45"/>
      <c r="L33" s="286">
        <f>L29-L32</f>
        <v>-116919</v>
      </c>
      <c r="M33" s="283"/>
      <c r="O33" s="43" t="s">
        <v>255</v>
      </c>
      <c r="P33" s="45"/>
      <c r="Q33" s="45"/>
      <c r="R33" s="286">
        <f>'25'!A275</f>
        <v>4000000</v>
      </c>
      <c r="S33" s="283"/>
      <c r="Y33" s="283"/>
    </row>
    <row r="34" spans="1:25" x14ac:dyDescent="0.2">
      <c r="B34" s="281"/>
      <c r="C34" s="45" t="s">
        <v>205</v>
      </c>
      <c r="D34" s="45"/>
      <c r="E34" s="45"/>
      <c r="F34" s="286">
        <f>'25'!A220</f>
        <v>1045</v>
      </c>
      <c r="G34" s="283"/>
      <c r="H34" s="45"/>
      <c r="I34" s="242" t="s">
        <v>231</v>
      </c>
      <c r="J34" s="45"/>
      <c r="K34" s="45"/>
      <c r="L34" s="288">
        <f>'25'!A260</f>
        <v>-251247</v>
      </c>
      <c r="M34" s="283"/>
      <c r="O34" s="242" t="s">
        <v>256</v>
      </c>
      <c r="R34" s="286">
        <f>'25'!A276</f>
        <v>0</v>
      </c>
      <c r="S34" s="283"/>
      <c r="U34" s="45" t="s">
        <v>281</v>
      </c>
      <c r="V34" s="45"/>
      <c r="W34" s="45"/>
      <c r="X34" s="289">
        <f>'25'!A238</f>
        <v>396000</v>
      </c>
      <c r="Y34" s="283"/>
    </row>
    <row r="35" spans="1:25" x14ac:dyDescent="0.2">
      <c r="B35" s="281"/>
      <c r="C35" s="45"/>
      <c r="G35" s="283"/>
      <c r="I35" s="242" t="s">
        <v>232</v>
      </c>
      <c r="L35" s="289">
        <f>L33+L34</f>
        <v>-368166</v>
      </c>
      <c r="M35" s="283"/>
      <c r="O35" s="45" t="s">
        <v>257</v>
      </c>
      <c r="P35" s="45"/>
      <c r="Q35" s="45"/>
      <c r="R35" s="288">
        <f>R36-R33-R34</f>
        <v>-368166</v>
      </c>
      <c r="S35" s="283"/>
      <c r="U35" s="45" t="s">
        <v>282</v>
      </c>
      <c r="V35" s="45"/>
      <c r="W35" s="45"/>
      <c r="X35" s="289">
        <f>'25'!A239</f>
        <v>1523000</v>
      </c>
      <c r="Y35" s="283"/>
    </row>
    <row r="36" spans="1:25" x14ac:dyDescent="0.2">
      <c r="B36" s="281"/>
      <c r="G36" s="283"/>
      <c r="M36" s="283"/>
      <c r="O36" s="45" t="s">
        <v>258</v>
      </c>
      <c r="P36" s="45"/>
      <c r="Q36" s="45"/>
      <c r="R36" s="286">
        <f>'25'!A277</f>
        <v>3631834</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tabColor theme="8" tint="0.59999389629810485"/>
    <pageSetUpPr fitToPage="1"/>
  </sheetPr>
  <dimension ref="B1:Q122"/>
  <sheetViews>
    <sheetView showGridLines="0" zoomScaleNormal="100" workbookViewId="0">
      <selection activeCell="L21" sqref="L21"/>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'25'!$A1</f>
        <v>1</v>
      </c>
      <c r="K1" s="170" t="s">
        <v>81</v>
      </c>
      <c r="L1" s="172">
        <f>'25'!$A4</f>
        <v>2016</v>
      </c>
      <c r="M1" s="170" t="s">
        <v>289</v>
      </c>
      <c r="N1" s="517">
        <f>'25'!$A5</f>
        <v>3</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'25'!A505</f>
        <v>4199</v>
      </c>
      <c r="H5" s="187">
        <f>'25'!A506</f>
        <v>4310</v>
      </c>
      <c r="I5" s="187">
        <f>'25'!A504</f>
        <v>6153</v>
      </c>
      <c r="K5" s="182"/>
      <c r="M5" s="40"/>
      <c r="N5" s="179"/>
    </row>
    <row r="6" spans="2:14" ht="13.2" x14ac:dyDescent="0.3">
      <c r="B6" s="244"/>
      <c r="C6" s="259" t="s">
        <v>292</v>
      </c>
      <c r="D6" s="40"/>
      <c r="E6" s="40"/>
      <c r="F6" s="40"/>
      <c r="G6" s="301">
        <f>'25'!A507/10</f>
        <v>8.3000000000000007</v>
      </c>
      <c r="H6" s="301">
        <f>'25'!A508/10</f>
        <v>4.3</v>
      </c>
      <c r="I6" s="217"/>
      <c r="K6" s="182"/>
      <c r="L6" s="196"/>
      <c r="M6" s="40"/>
      <c r="N6" s="179"/>
    </row>
    <row r="7" spans="2:14" x14ac:dyDescent="0.2">
      <c r="B7" s="244"/>
      <c r="C7" s="182" t="s">
        <v>293</v>
      </c>
      <c r="D7" s="40"/>
      <c r="E7" s="40"/>
      <c r="F7" s="40"/>
      <c r="G7" s="187">
        <f>'25'!A509</f>
        <v>1715</v>
      </c>
      <c r="H7" s="187">
        <f>'25'!A510</f>
        <v>1531</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'25'!A501/10</f>
        <v>0.5</v>
      </c>
      <c r="H10" s="301">
        <f>'25'!A502/10</f>
        <v>1.1000000000000001</v>
      </c>
      <c r="I10" s="182" t="s">
        <v>302</v>
      </c>
      <c r="J10" s="182"/>
      <c r="K10" s="196"/>
      <c r="L10" s="302">
        <f>'25'!A511/100</f>
        <v>0.82</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'25'!A518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412</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'25'!A515</f>
        <v>79336</v>
      </c>
      <c r="H20" s="304">
        <f>'25'!A516</f>
        <v>75369</v>
      </c>
      <c r="I20" s="304">
        <f>'25'!A517</f>
        <v>71403</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'25'!A681</f>
        <v>Growing levels of investment in Europe are signs that management</v>
      </c>
      <c r="G23" s="40"/>
      <c r="H23" s="40"/>
      <c r="I23" s="182"/>
      <c r="J23" s="40"/>
      <c r="K23" s="40"/>
      <c r="L23" s="40"/>
      <c r="M23" s="40"/>
      <c r="N23" s="179"/>
    </row>
    <row r="24" spans="2:14" ht="12" x14ac:dyDescent="0.25">
      <c r="B24" s="244"/>
      <c r="C24" s="247"/>
      <c r="F24" s="233" t="str">
        <f>'25'!A682</f>
        <v>of companies are regaining confidence. Manufacturing firms are</v>
      </c>
      <c r="G24" s="40"/>
      <c r="H24" s="40"/>
      <c r="I24" s="182"/>
      <c r="J24" s="40"/>
      <c r="K24" s="40"/>
      <c r="L24" s="40"/>
      <c r="M24" s="40"/>
      <c r="N24" s="179"/>
    </row>
    <row r="25" spans="2:14" ht="12" x14ac:dyDescent="0.25">
      <c r="B25" s="244"/>
      <c r="C25" s="247"/>
      <c r="F25" s="233" t="str">
        <f>'25'!A683</f>
        <v>spending on items such as renewable energy. There is confidence</v>
      </c>
      <c r="G25" s="40"/>
      <c r="H25" s="40"/>
      <c r="I25" s="182"/>
      <c r="J25" s="40"/>
      <c r="K25" s="40"/>
      <c r="L25" s="40"/>
      <c r="M25" s="40"/>
      <c r="N25" s="179"/>
    </row>
    <row r="26" spans="2:14" x14ac:dyDescent="0.2">
      <c r="B26" s="244"/>
      <c r="C26" s="233"/>
      <c r="F26" s="233" t="str">
        <f>'25'!A684</f>
        <v>that there will be positive returns on projects.</v>
      </c>
      <c r="G26" s="233"/>
      <c r="H26" s="233"/>
      <c r="I26" s="184"/>
      <c r="J26" s="233"/>
      <c r="K26" s="40"/>
      <c r="L26" s="40"/>
      <c r="M26" s="40"/>
      <c r="N26" s="179"/>
    </row>
    <row r="27" spans="2:14" x14ac:dyDescent="0.2">
      <c r="B27" s="244"/>
      <c r="C27" s="233"/>
      <c r="F27" s="233" t="str">
        <f>'25'!A685</f>
        <v xml:space="preserve"> </v>
      </c>
      <c r="G27" s="233"/>
      <c r="H27" s="233"/>
      <c r="I27" s="184"/>
      <c r="J27" s="233"/>
      <c r="K27" s="40"/>
      <c r="L27" s="40"/>
      <c r="M27" s="40"/>
      <c r="N27" s="179"/>
    </row>
    <row r="28" spans="2:14" x14ac:dyDescent="0.2">
      <c r="B28" s="244"/>
      <c r="C28" s="233"/>
      <c r="F28" s="233" t="str">
        <f>'25'!A686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'25'!A521</f>
        <v>1</v>
      </c>
      <c r="G33" s="309">
        <f>'25'!A541</f>
        <v>2</v>
      </c>
      <c r="H33" s="309">
        <f>'25'!A561</f>
        <v>3</v>
      </c>
      <c r="I33" s="309">
        <f>'25'!A581</f>
        <v>4</v>
      </c>
      <c r="J33" s="309">
        <f>'25'!A601</f>
        <v>5</v>
      </c>
      <c r="K33" s="309">
        <f>'25'!A621</f>
        <v>6</v>
      </c>
      <c r="L33" s="309">
        <f>'25'!A641</f>
        <v>7</v>
      </c>
      <c r="M33" s="309">
        <f>'25'!A661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'25'!A522/100</f>
        <v>95.97</v>
      </c>
      <c r="G35" s="310">
        <f>'25'!A542/100</f>
        <v>95.97</v>
      </c>
      <c r="H35" s="310">
        <f>'25'!A562/100</f>
        <v>95.97</v>
      </c>
      <c r="I35" s="310">
        <f>'25'!A582/100</f>
        <v>95.97</v>
      </c>
      <c r="J35" s="310">
        <f>'25'!A602/100</f>
        <v>95.97</v>
      </c>
      <c r="K35" s="310">
        <f>'25'!A622/100</f>
        <v>95.97</v>
      </c>
      <c r="L35" s="310">
        <f>'25'!A642/100</f>
        <v>95.97</v>
      </c>
      <c r="M35" s="310">
        <f>'25'!A662/100</f>
        <v>95.97</v>
      </c>
      <c r="N35" s="204"/>
    </row>
    <row r="36" spans="2:17" x14ac:dyDescent="0.2">
      <c r="B36" s="244"/>
      <c r="C36" s="40" t="s">
        <v>310</v>
      </c>
      <c r="D36" s="40"/>
      <c r="E36" s="40"/>
      <c r="F36" s="310">
        <f>'25'!A523</f>
        <v>3838800</v>
      </c>
      <c r="G36" s="310">
        <f>'25'!A543</f>
        <v>3838800</v>
      </c>
      <c r="H36" s="310">
        <f>'25'!A563</f>
        <v>3838800</v>
      </c>
      <c r="I36" s="310">
        <f>'25'!A583</f>
        <v>3838800</v>
      </c>
      <c r="J36" s="310">
        <f>'25'!A603</f>
        <v>3838800</v>
      </c>
      <c r="K36" s="310">
        <f>'25'!A623</f>
        <v>3838800</v>
      </c>
      <c r="L36" s="310">
        <f>'25'!A643</f>
        <v>3838800</v>
      </c>
      <c r="M36" s="310">
        <f>'25'!A663</f>
        <v>3838800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'25'!A524</f>
        <v>0</v>
      </c>
      <c r="G38" s="310">
        <f>'25'!A544</f>
        <v>0</v>
      </c>
      <c r="H38" s="310">
        <f>'25'!A564</f>
        <v>0</v>
      </c>
      <c r="I38" s="310">
        <f>'25'!A584</f>
        <v>0</v>
      </c>
      <c r="J38" s="310">
        <f>'25'!A604</f>
        <v>0</v>
      </c>
      <c r="K38" s="310">
        <f>'25'!A624</f>
        <v>0</v>
      </c>
      <c r="L38" s="310">
        <f>'25'!A644</f>
        <v>0</v>
      </c>
      <c r="M38" s="310">
        <f>'25'!A664</f>
        <v>0</v>
      </c>
      <c r="N38" s="204"/>
    </row>
    <row r="39" spans="2:17" x14ac:dyDescent="0.2">
      <c r="B39" s="244"/>
      <c r="C39" s="40" t="s">
        <v>312</v>
      </c>
      <c r="D39" s="40"/>
      <c r="E39" s="40"/>
      <c r="F39" s="310">
        <f>'25'!A525</f>
        <v>3838800</v>
      </c>
      <c r="G39" s="310">
        <f>'25'!A545</f>
        <v>3838800</v>
      </c>
      <c r="H39" s="310">
        <f>'25'!A565</f>
        <v>3838800</v>
      </c>
      <c r="I39" s="310">
        <f>'25'!A585</f>
        <v>3838800</v>
      </c>
      <c r="J39" s="310">
        <f>'25'!A605</f>
        <v>3838800</v>
      </c>
      <c r="K39" s="310">
        <f>'25'!A625</f>
        <v>3838800</v>
      </c>
      <c r="L39" s="310">
        <f>'25'!A645</f>
        <v>3838800</v>
      </c>
      <c r="M39" s="310">
        <f>'25'!A665</f>
        <v>3838800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'25'!A526</f>
        <v>285</v>
      </c>
      <c r="G43" s="310">
        <f>'25'!A546</f>
        <v>285</v>
      </c>
      <c r="H43" s="310">
        <f>'25'!A566</f>
        <v>285</v>
      </c>
      <c r="I43" s="310">
        <f>'25'!A586</f>
        <v>285</v>
      </c>
      <c r="J43" s="310">
        <f>'25'!A606</f>
        <v>285</v>
      </c>
      <c r="K43" s="310">
        <f>'25'!A626</f>
        <v>285</v>
      </c>
      <c r="L43" s="310">
        <f>'25'!A646</f>
        <v>285</v>
      </c>
      <c r="M43" s="310">
        <f>'25'!A666</f>
        <v>285</v>
      </c>
      <c r="N43" s="204"/>
    </row>
    <row r="44" spans="2:17" x14ac:dyDescent="0.2">
      <c r="B44" s="244"/>
      <c r="C44" s="40" t="s">
        <v>1</v>
      </c>
      <c r="D44" s="182" t="s">
        <v>19</v>
      </c>
      <c r="E44" s="40"/>
      <c r="F44" s="310">
        <f>'25'!A527</f>
        <v>0</v>
      </c>
      <c r="G44" s="310">
        <f>'25'!A547</f>
        <v>0</v>
      </c>
      <c r="H44" s="310">
        <f>'25'!A567</f>
        <v>0</v>
      </c>
      <c r="I44" s="310">
        <f>'25'!A587</f>
        <v>0</v>
      </c>
      <c r="J44" s="310">
        <f>'25'!A607</f>
        <v>0</v>
      </c>
      <c r="K44" s="310">
        <f>'25'!A627</f>
        <v>0</v>
      </c>
      <c r="L44" s="310">
        <f>'25'!A647</f>
        <v>0</v>
      </c>
      <c r="M44" s="310">
        <f>'25'!A667</f>
        <v>0</v>
      </c>
      <c r="N44" s="204"/>
    </row>
    <row r="45" spans="2:17" x14ac:dyDescent="0.2">
      <c r="B45" s="244"/>
      <c r="C45" s="40"/>
      <c r="D45" s="40" t="s">
        <v>18</v>
      </c>
      <c r="E45" s="40"/>
      <c r="F45" s="310">
        <f>'25'!A528</f>
        <v>0</v>
      </c>
      <c r="G45" s="310">
        <f>'25'!A548</f>
        <v>0</v>
      </c>
      <c r="H45" s="310">
        <f>'25'!A568</f>
        <v>0</v>
      </c>
      <c r="I45" s="310">
        <f>'25'!A588</f>
        <v>0</v>
      </c>
      <c r="J45" s="310">
        <f>'25'!A608</f>
        <v>0</v>
      </c>
      <c r="K45" s="310">
        <f>'25'!A628</f>
        <v>0</v>
      </c>
      <c r="L45" s="310">
        <f>'25'!A648</f>
        <v>0</v>
      </c>
      <c r="M45" s="310">
        <f>'25'!A668</f>
        <v>0</v>
      </c>
      <c r="N45" s="204"/>
    </row>
    <row r="46" spans="2:17" x14ac:dyDescent="0.2">
      <c r="B46" s="244"/>
      <c r="C46" s="40" t="s">
        <v>316</v>
      </c>
      <c r="D46" s="40"/>
      <c r="E46" s="40"/>
      <c r="F46" s="310">
        <f>'25'!A529</f>
        <v>450</v>
      </c>
      <c r="G46" s="310">
        <f>'25'!A549</f>
        <v>450</v>
      </c>
      <c r="H46" s="310">
        <f>'25'!A569</f>
        <v>450</v>
      </c>
      <c r="I46" s="310">
        <f>'25'!A589</f>
        <v>450</v>
      </c>
      <c r="J46" s="310">
        <f>'25'!A609</f>
        <v>450</v>
      </c>
      <c r="K46" s="310">
        <f>'25'!A629</f>
        <v>450</v>
      </c>
      <c r="L46" s="310">
        <f>'25'!A649</f>
        <v>450</v>
      </c>
      <c r="M46" s="310">
        <f>'25'!A669</f>
        <v>450</v>
      </c>
      <c r="N46" s="204"/>
    </row>
    <row r="47" spans="2:17" x14ac:dyDescent="0.2">
      <c r="B47" s="244"/>
      <c r="C47" s="40" t="s">
        <v>1</v>
      </c>
      <c r="D47" s="182" t="s">
        <v>19</v>
      </c>
      <c r="E47" s="40"/>
      <c r="F47" s="310">
        <f>'25'!A530</f>
        <v>0</v>
      </c>
      <c r="G47" s="310">
        <f>'25'!A550</f>
        <v>0</v>
      </c>
      <c r="H47" s="310">
        <f>'25'!A570</f>
        <v>0</v>
      </c>
      <c r="I47" s="310">
        <f>'25'!A590</f>
        <v>0</v>
      </c>
      <c r="J47" s="310">
        <f>'25'!A610</f>
        <v>0</v>
      </c>
      <c r="K47" s="310">
        <f>'25'!A630</f>
        <v>0</v>
      </c>
      <c r="L47" s="310">
        <f>'25'!A650</f>
        <v>0</v>
      </c>
      <c r="M47" s="310">
        <f>'25'!A670</f>
        <v>0</v>
      </c>
      <c r="N47" s="204"/>
    </row>
    <row r="48" spans="2:17" x14ac:dyDescent="0.2">
      <c r="B48" s="244"/>
      <c r="C48" s="40"/>
      <c r="D48" s="40" t="s">
        <v>20</v>
      </c>
      <c r="E48" s="40"/>
      <c r="F48" s="310">
        <f>'25'!A531</f>
        <v>0</v>
      </c>
      <c r="G48" s="310">
        <f>'25'!A551</f>
        <v>0</v>
      </c>
      <c r="H48" s="310">
        <f>'25'!A571</f>
        <v>0</v>
      </c>
      <c r="I48" s="310">
        <f>'25'!A591</f>
        <v>0</v>
      </c>
      <c r="J48" s="310">
        <f>'25'!A611</f>
        <v>0</v>
      </c>
      <c r="K48" s="310">
        <f>'25'!A631</f>
        <v>0</v>
      </c>
      <c r="L48" s="310">
        <f>'25'!A651</f>
        <v>0</v>
      </c>
      <c r="M48" s="310">
        <f>'25'!A671</f>
        <v>0</v>
      </c>
      <c r="N48" s="204"/>
    </row>
    <row r="49" spans="2:14" x14ac:dyDescent="0.2">
      <c r="B49" s="244"/>
      <c r="C49" s="40" t="s">
        <v>317</v>
      </c>
      <c r="D49" s="40"/>
      <c r="E49" s="40"/>
      <c r="F49" s="310">
        <f>'25'!A532</f>
        <v>680</v>
      </c>
      <c r="G49" s="310">
        <f>'25'!A552</f>
        <v>680</v>
      </c>
      <c r="H49" s="310">
        <f>'25'!A572</f>
        <v>680</v>
      </c>
      <c r="I49" s="310">
        <f>'25'!A592</f>
        <v>680</v>
      </c>
      <c r="J49" s="310">
        <f>'25'!A612</f>
        <v>680</v>
      </c>
      <c r="K49" s="310">
        <f>'25'!A632</f>
        <v>680</v>
      </c>
      <c r="L49" s="310">
        <f>'25'!A652</f>
        <v>680</v>
      </c>
      <c r="M49" s="310">
        <f>'25'!A672</f>
        <v>680</v>
      </c>
      <c r="N49" s="204"/>
    </row>
    <row r="50" spans="2:14" x14ac:dyDescent="0.2">
      <c r="B50" s="244"/>
      <c r="C50" s="40" t="s">
        <v>1</v>
      </c>
      <c r="D50" s="182" t="s">
        <v>19</v>
      </c>
      <c r="E50" s="40"/>
      <c r="F50" s="310">
        <f>'25'!A533</f>
        <v>0</v>
      </c>
      <c r="G50" s="310">
        <f>'25'!A553</f>
        <v>0</v>
      </c>
      <c r="H50" s="310">
        <f>'25'!A573</f>
        <v>0</v>
      </c>
      <c r="I50" s="310">
        <f>'25'!A593</f>
        <v>0</v>
      </c>
      <c r="J50" s="310">
        <f>'25'!A613</f>
        <v>0</v>
      </c>
      <c r="K50" s="310">
        <f>'25'!A633</f>
        <v>0</v>
      </c>
      <c r="L50" s="310">
        <f>'25'!A653</f>
        <v>0</v>
      </c>
      <c r="M50" s="310">
        <f>'25'!A673</f>
        <v>0</v>
      </c>
      <c r="N50" s="204"/>
    </row>
    <row r="51" spans="2:14" x14ac:dyDescent="0.2">
      <c r="B51" s="244"/>
      <c r="C51" s="40"/>
      <c r="D51" s="40" t="s">
        <v>18</v>
      </c>
      <c r="E51" s="40"/>
      <c r="F51" s="310">
        <f>'25'!A534</f>
        <v>0</v>
      </c>
      <c r="G51" s="310">
        <f>'25'!A554</f>
        <v>0</v>
      </c>
      <c r="H51" s="310">
        <f>'25'!A574</f>
        <v>0</v>
      </c>
      <c r="I51" s="310">
        <f>'25'!A594</f>
        <v>0</v>
      </c>
      <c r="J51" s="310">
        <f>'25'!A614</f>
        <v>0</v>
      </c>
      <c r="K51" s="310">
        <f>'25'!A634</f>
        <v>0</v>
      </c>
      <c r="L51" s="310">
        <f>'25'!A654</f>
        <v>0</v>
      </c>
      <c r="M51" s="310">
        <f>'25'!A674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'25'!A535</f>
        <v>27</v>
      </c>
      <c r="G53" s="310">
        <f>'25'!A555</f>
        <v>27</v>
      </c>
      <c r="H53" s="310">
        <f>'25'!A575</f>
        <v>27</v>
      </c>
      <c r="I53" s="310">
        <f>'25'!A595</f>
        <v>27</v>
      </c>
      <c r="J53" s="310">
        <f>'25'!A615</f>
        <v>27</v>
      </c>
      <c r="K53" s="310">
        <f>'25'!A635</f>
        <v>27</v>
      </c>
      <c r="L53" s="310">
        <f>'25'!A655</f>
        <v>27</v>
      </c>
      <c r="M53" s="310">
        <f>'25'!A675</f>
        <v>27</v>
      </c>
      <c r="N53" s="204"/>
    </row>
    <row r="54" spans="2:14" ht="13.2" x14ac:dyDescent="0.3">
      <c r="B54" s="244"/>
      <c r="C54" s="256" t="s">
        <v>319</v>
      </c>
      <c r="D54" s="40"/>
      <c r="E54" s="40"/>
      <c r="F54" s="310">
        <f>'25'!A536</f>
        <v>1000</v>
      </c>
      <c r="G54" s="310">
        <f>'25'!A556</f>
        <v>1000</v>
      </c>
      <c r="H54" s="310">
        <f>'25'!A576</f>
        <v>1000</v>
      </c>
      <c r="I54" s="310">
        <f>'25'!A596</f>
        <v>1000</v>
      </c>
      <c r="J54" s="310">
        <f>'25'!A616</f>
        <v>1000</v>
      </c>
      <c r="K54" s="310">
        <f>'25'!A636</f>
        <v>1000</v>
      </c>
      <c r="L54" s="310">
        <f>'25'!A656</f>
        <v>1000</v>
      </c>
      <c r="M54" s="310">
        <f>'25'!A676</f>
        <v>1000</v>
      </c>
      <c r="N54" s="204"/>
    </row>
    <row r="55" spans="2:14" x14ac:dyDescent="0.2">
      <c r="B55" s="244"/>
      <c r="C55" s="40" t="s">
        <v>320</v>
      </c>
      <c r="D55" s="40"/>
      <c r="E55" s="40"/>
      <c r="F55" s="310">
        <f>'25'!A537</f>
        <v>2</v>
      </c>
      <c r="G55" s="310">
        <f>'25'!A557</f>
        <v>2</v>
      </c>
      <c r="H55" s="310">
        <f>'25'!A577</f>
        <v>2</v>
      </c>
      <c r="I55" s="310">
        <f>'25'!A597</f>
        <v>2</v>
      </c>
      <c r="J55" s="310">
        <f>'25'!A617</f>
        <v>2</v>
      </c>
      <c r="K55" s="310">
        <f>'25'!A637</f>
        <v>2</v>
      </c>
      <c r="L55" s="310">
        <f>'25'!A657</f>
        <v>2</v>
      </c>
      <c r="M55" s="310">
        <f>'25'!A677</f>
        <v>2</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'25'!$A59</f>
        <v>0</v>
      </c>
      <c r="K61" s="170" t="s">
        <v>81</v>
      </c>
      <c r="L61" s="172">
        <f>'25'!$A62</f>
        <v>9</v>
      </c>
      <c r="M61" s="170" t="s">
        <v>289</v>
      </c>
      <c r="N61" s="517">
        <f>'25'!$A63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'25'!A701</f>
        <v>1</v>
      </c>
      <c r="G65" s="319">
        <f>'25'!A721</f>
        <v>2</v>
      </c>
      <c r="H65" s="319">
        <f>'25'!A741</f>
        <v>3</v>
      </c>
      <c r="I65" s="319">
        <f>'25'!A761</f>
        <v>4</v>
      </c>
      <c r="J65" s="319">
        <f>'25'!A781</f>
        <v>5</v>
      </c>
      <c r="K65" s="319">
        <f>'25'!A801</f>
        <v>6</v>
      </c>
      <c r="L65" s="319">
        <f>'25'!A821</f>
        <v>7</v>
      </c>
      <c r="M65" s="319">
        <f>'25'!A841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'25'!A702</f>
        <v>1455376</v>
      </c>
      <c r="G67" s="310">
        <f>'25'!A722</f>
        <v>1455376</v>
      </c>
      <c r="H67" s="310">
        <f>'25'!A742</f>
        <v>1455376</v>
      </c>
      <c r="I67" s="310">
        <f>'25'!A762</f>
        <v>1455376</v>
      </c>
      <c r="J67" s="310">
        <f>'25'!A782</f>
        <v>1455376</v>
      </c>
      <c r="K67" s="310">
        <f>'25'!A802</f>
        <v>1455376</v>
      </c>
      <c r="L67" s="310">
        <f>'25'!A822</f>
        <v>1455376</v>
      </c>
      <c r="M67" s="310">
        <f>'25'!A842</f>
        <v>1455376</v>
      </c>
      <c r="N67" s="179"/>
    </row>
    <row r="68" spans="2:14" x14ac:dyDescent="0.2">
      <c r="B68" s="244"/>
      <c r="C68" s="40" t="s">
        <v>326</v>
      </c>
      <c r="D68" s="40"/>
      <c r="E68" s="40"/>
      <c r="F68" s="310">
        <f>'25'!A703</f>
        <v>186034</v>
      </c>
      <c r="G68" s="310">
        <f>'25'!A723</f>
        <v>186034</v>
      </c>
      <c r="H68" s="310">
        <f>'25'!A743</f>
        <v>186034</v>
      </c>
      <c r="I68" s="310">
        <f>'25'!A763</f>
        <v>186034</v>
      </c>
      <c r="J68" s="310">
        <f>'25'!A783</f>
        <v>186034</v>
      </c>
      <c r="K68" s="310">
        <f>'25'!A803</f>
        <v>186034</v>
      </c>
      <c r="L68" s="310">
        <f>'25'!A823</f>
        <v>186034</v>
      </c>
      <c r="M68" s="310">
        <f>'25'!A843</f>
        <v>186034</v>
      </c>
      <c r="N68" s="179"/>
    </row>
    <row r="69" spans="2:14" x14ac:dyDescent="0.2">
      <c r="B69" s="244"/>
      <c r="C69" s="40" t="s">
        <v>327</v>
      </c>
      <c r="D69" s="40"/>
      <c r="E69" s="40"/>
      <c r="F69" s="310">
        <f>'25'!A704</f>
        <v>301565</v>
      </c>
      <c r="G69" s="310">
        <f>'25'!A724</f>
        <v>301565</v>
      </c>
      <c r="H69" s="310">
        <f>'25'!A744</f>
        <v>301565</v>
      </c>
      <c r="I69" s="310">
        <f>'25'!A764</f>
        <v>301565</v>
      </c>
      <c r="J69" s="310">
        <f>'25'!A784</f>
        <v>301565</v>
      </c>
      <c r="K69" s="310">
        <f>'25'!A804</f>
        <v>301565</v>
      </c>
      <c r="L69" s="310">
        <f>'25'!A824</f>
        <v>301565</v>
      </c>
      <c r="M69" s="310">
        <f>'25'!A844</f>
        <v>301565</v>
      </c>
      <c r="N69" s="179"/>
    </row>
    <row r="70" spans="2:14" x14ac:dyDescent="0.2">
      <c r="B70" s="244"/>
      <c r="C70" s="40" t="s">
        <v>328</v>
      </c>
      <c r="D70" s="40"/>
      <c r="E70" s="40"/>
      <c r="F70" s="310">
        <f>'25'!A705</f>
        <v>1900000</v>
      </c>
      <c r="G70" s="310">
        <f>'25'!A725</f>
        <v>1900000</v>
      </c>
      <c r="H70" s="310">
        <f>'25'!A745</f>
        <v>1900000</v>
      </c>
      <c r="I70" s="310">
        <f>'25'!A765</f>
        <v>1900000</v>
      </c>
      <c r="J70" s="310">
        <f>'25'!A785</f>
        <v>1900000</v>
      </c>
      <c r="K70" s="310">
        <f>'25'!A805</f>
        <v>1900000</v>
      </c>
      <c r="L70" s="310">
        <f>'25'!A825</f>
        <v>1900000</v>
      </c>
      <c r="M70" s="310">
        <f>'25'!A845</f>
        <v>1900000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'25'!A708</f>
        <v>0</v>
      </c>
      <c r="G73" s="310">
        <f>'25'!A728</f>
        <v>0</v>
      </c>
      <c r="H73" s="310">
        <f>'25'!A748</f>
        <v>0</v>
      </c>
      <c r="I73" s="310">
        <f>'25'!A768</f>
        <v>0</v>
      </c>
      <c r="J73" s="310">
        <f>'25'!A788</f>
        <v>0</v>
      </c>
      <c r="K73" s="310">
        <f>'25'!A808</f>
        <v>0</v>
      </c>
      <c r="L73" s="310">
        <f>'25'!A828</f>
        <v>0</v>
      </c>
      <c r="M73" s="310">
        <f>'25'!A848</f>
        <v>0</v>
      </c>
      <c r="N73" s="179"/>
    </row>
    <row r="74" spans="2:14" x14ac:dyDescent="0.2">
      <c r="B74" s="244"/>
      <c r="C74" s="321" t="s">
        <v>331</v>
      </c>
      <c r="D74" s="40"/>
      <c r="E74" s="40"/>
      <c r="F74" s="310">
        <f>'25'!A709</f>
        <v>118538</v>
      </c>
      <c r="G74" s="310">
        <f>'25'!A729</f>
        <v>118538</v>
      </c>
      <c r="H74" s="310">
        <f>'25'!A749</f>
        <v>118538</v>
      </c>
      <c r="I74" s="310">
        <f>'25'!A769</f>
        <v>118538</v>
      </c>
      <c r="J74" s="310">
        <f>'25'!A789</f>
        <v>118538</v>
      </c>
      <c r="K74" s="310">
        <f>'25'!A809</f>
        <v>118538</v>
      </c>
      <c r="L74" s="310">
        <f>'25'!A829</f>
        <v>118538</v>
      </c>
      <c r="M74" s="310">
        <f>'25'!A849</f>
        <v>118538</v>
      </c>
      <c r="N74" s="179"/>
    </row>
    <row r="75" spans="2:14" x14ac:dyDescent="0.2">
      <c r="B75" s="244"/>
      <c r="C75" s="40" t="s">
        <v>332</v>
      </c>
      <c r="D75" s="40"/>
      <c r="E75" s="40"/>
      <c r="F75" s="310">
        <f>'25'!A710</f>
        <v>92603</v>
      </c>
      <c r="G75" s="310">
        <f>'25'!A730</f>
        <v>92603</v>
      </c>
      <c r="H75" s="310">
        <f>'25'!A750</f>
        <v>92603</v>
      </c>
      <c r="I75" s="310">
        <f>'25'!A770</f>
        <v>92603</v>
      </c>
      <c r="J75" s="310">
        <f>'25'!A790</f>
        <v>92603</v>
      </c>
      <c r="K75" s="310">
        <f>'25'!A810</f>
        <v>92603</v>
      </c>
      <c r="L75" s="310">
        <f>'25'!A830</f>
        <v>92603</v>
      </c>
      <c r="M75" s="310">
        <f>'25'!A850</f>
        <v>92603</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'25'!A712</f>
        <v>0</v>
      </c>
      <c r="G77" s="310">
        <f>'25'!A732</f>
        <v>0</v>
      </c>
      <c r="H77" s="310">
        <f>'25'!A752</f>
        <v>0</v>
      </c>
      <c r="I77" s="310">
        <f>'25'!A772</f>
        <v>0</v>
      </c>
      <c r="J77" s="310">
        <f>'25'!A792</f>
        <v>0</v>
      </c>
      <c r="K77" s="310">
        <f>'25'!A812</f>
        <v>0</v>
      </c>
      <c r="L77" s="310">
        <f>'25'!A832</f>
        <v>0</v>
      </c>
      <c r="M77" s="310">
        <f>'25'!A852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'25'!A714</f>
        <v>4000000</v>
      </c>
      <c r="G80" s="310">
        <f>'25'!A734</f>
        <v>4000000</v>
      </c>
      <c r="H80" s="310">
        <f>'25'!A754</f>
        <v>4000000</v>
      </c>
      <c r="I80" s="310">
        <f>'25'!A774</f>
        <v>4000000</v>
      </c>
      <c r="J80" s="310">
        <f>'25'!A794</f>
        <v>4000000</v>
      </c>
      <c r="K80" s="310">
        <f>'25'!A814</f>
        <v>4000000</v>
      </c>
      <c r="L80" s="310">
        <f>'25'!A834</f>
        <v>4000000</v>
      </c>
      <c r="M80" s="310">
        <f>'25'!A854</f>
        <v>4000000</v>
      </c>
      <c r="N80" s="179"/>
    </row>
    <row r="81" spans="2:14" x14ac:dyDescent="0.2">
      <c r="B81" s="244"/>
      <c r="C81" s="40" t="s">
        <v>336</v>
      </c>
      <c r="D81" s="40"/>
      <c r="E81" s="40"/>
      <c r="F81" s="310">
        <f>'25'!A715</f>
        <v>0</v>
      </c>
      <c r="G81" s="310">
        <f>'25'!A735</f>
        <v>0</v>
      </c>
      <c r="H81" s="310">
        <f>'25'!A755</f>
        <v>0</v>
      </c>
      <c r="I81" s="310">
        <f>'25'!A775</f>
        <v>0</v>
      </c>
      <c r="J81" s="310">
        <f>'25'!A795</f>
        <v>0</v>
      </c>
      <c r="K81" s="310">
        <f>'25'!A815</f>
        <v>0</v>
      </c>
      <c r="L81" s="310">
        <f>'25'!A835</f>
        <v>0</v>
      </c>
      <c r="M81" s="310">
        <f>'25'!A855</f>
        <v>0</v>
      </c>
      <c r="N81" s="179"/>
    </row>
    <row r="82" spans="2:14" x14ac:dyDescent="0.2">
      <c r="B82" s="244"/>
      <c r="C82" s="40" t="s">
        <v>337</v>
      </c>
      <c r="D82" s="40"/>
      <c r="E82" s="40"/>
      <c r="F82" s="310">
        <f>'25'!A716</f>
        <v>-368166</v>
      </c>
      <c r="G82" s="310">
        <f>'25'!A736</f>
        <v>-368166</v>
      </c>
      <c r="H82" s="310">
        <f>'25'!A756</f>
        <v>-368166</v>
      </c>
      <c r="I82" s="310">
        <f>'25'!A776</f>
        <v>-368166</v>
      </c>
      <c r="J82" s="310">
        <f>'25'!A796</f>
        <v>-368166</v>
      </c>
      <c r="K82" s="310">
        <f>'25'!A816</f>
        <v>-368166</v>
      </c>
      <c r="L82" s="310">
        <f>'25'!A836</f>
        <v>-368166</v>
      </c>
      <c r="M82" s="310">
        <f>'25'!A856</f>
        <v>-368166</v>
      </c>
      <c r="N82" s="179"/>
    </row>
    <row r="83" spans="2:14" ht="12" x14ac:dyDescent="0.25">
      <c r="B83" s="244"/>
      <c r="C83" s="247" t="s">
        <v>338</v>
      </c>
      <c r="D83" s="40"/>
      <c r="E83" s="40"/>
      <c r="F83" s="310">
        <f t="shared" ref="F83:M83" si="0">SUM(F80:F82)</f>
        <v>3631834</v>
      </c>
      <c r="G83" s="310">
        <f t="shared" si="0"/>
        <v>3631834</v>
      </c>
      <c r="H83" s="310">
        <f t="shared" si="0"/>
        <v>3631834</v>
      </c>
      <c r="I83" s="310">
        <f t="shared" si="0"/>
        <v>3631834</v>
      </c>
      <c r="J83" s="310">
        <f t="shared" si="0"/>
        <v>3631834</v>
      </c>
      <c r="K83" s="310">
        <f t="shared" si="0"/>
        <v>3631834</v>
      </c>
      <c r="L83" s="310">
        <f t="shared" si="0"/>
        <v>3631834</v>
      </c>
      <c r="M83" s="310">
        <f t="shared" si="0"/>
        <v>3631834</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'25'!A330</f>
        <v>Not requested</v>
      </c>
      <c r="N88" s="179"/>
    </row>
    <row r="89" spans="2:14" ht="12" x14ac:dyDescent="0.25">
      <c r="B89" s="244"/>
      <c r="C89" s="40"/>
      <c r="D89" s="175" t="s">
        <v>340</v>
      </c>
      <c r="F89" s="309" t="str">
        <f>'25'!A331</f>
        <v xml:space="preserve"> </v>
      </c>
      <c r="G89" s="309" t="str">
        <f>'25'!A341</f>
        <v xml:space="preserve"> </v>
      </c>
      <c r="H89" s="309" t="str">
        <f>'25'!A351</f>
        <v xml:space="preserve"> </v>
      </c>
      <c r="I89" s="309" t="str">
        <f>'25'!A361</f>
        <v xml:space="preserve"> </v>
      </c>
      <c r="J89" s="309" t="str">
        <f>'25'!A371</f>
        <v xml:space="preserve"> </v>
      </c>
      <c r="K89" s="309" t="str">
        <f>'25'!A381</f>
        <v xml:space="preserve"> </v>
      </c>
      <c r="L89" s="309" t="str">
        <f>'25'!A391</f>
        <v xml:space="preserve"> </v>
      </c>
      <c r="M89" s="309" t="str">
        <f>'25'!A401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'25'!A332</f>
        <v xml:space="preserve"> </v>
      </c>
      <c r="G91" s="213" t="str">
        <f>'25'!A342</f>
        <v xml:space="preserve"> </v>
      </c>
      <c r="H91" s="213" t="str">
        <f>'25'!A352</f>
        <v xml:space="preserve"> </v>
      </c>
      <c r="I91" s="213" t="str">
        <f>'25'!A362</f>
        <v xml:space="preserve"> </v>
      </c>
      <c r="J91" s="213" t="str">
        <f>'25'!A372</f>
        <v xml:space="preserve"> </v>
      </c>
      <c r="K91" s="213" t="str">
        <f>'25'!A382</f>
        <v xml:space="preserve"> </v>
      </c>
      <c r="L91" s="213" t="str">
        <f>'25'!A392</f>
        <v xml:space="preserve"> </v>
      </c>
      <c r="M91" s="213" t="str">
        <f>'25'!A402</f>
        <v xml:space="preserve"> </v>
      </c>
      <c r="N91" s="179"/>
    </row>
    <row r="92" spans="2:14" x14ac:dyDescent="0.2">
      <c r="B92" s="244"/>
      <c r="C92" s="40"/>
      <c r="D92" s="182" t="s">
        <v>23</v>
      </c>
      <c r="E92" s="40"/>
      <c r="F92" s="213" t="str">
        <f>'25'!A333</f>
        <v xml:space="preserve"> </v>
      </c>
      <c r="G92" s="213" t="str">
        <f>'25'!A343</f>
        <v xml:space="preserve"> </v>
      </c>
      <c r="H92" s="213" t="str">
        <f>'25'!A353</f>
        <v xml:space="preserve"> </v>
      </c>
      <c r="I92" s="213" t="str">
        <f>'25'!A363</f>
        <v xml:space="preserve"> </v>
      </c>
      <c r="J92" s="213" t="str">
        <f>'25'!A373</f>
        <v xml:space="preserve"> </v>
      </c>
      <c r="K92" s="213" t="str">
        <f>'25'!A383</f>
        <v xml:space="preserve"> </v>
      </c>
      <c r="L92" s="213" t="str">
        <f>'25'!A393</f>
        <v xml:space="preserve"> </v>
      </c>
      <c r="M92" s="213" t="str">
        <f>'25'!A403</f>
        <v xml:space="preserve"> </v>
      </c>
      <c r="N92" s="179"/>
    </row>
    <row r="93" spans="2:14" x14ac:dyDescent="0.2">
      <c r="B93" s="244"/>
      <c r="C93" s="40"/>
      <c r="D93" s="182" t="s">
        <v>24</v>
      </c>
      <c r="E93" s="40"/>
      <c r="F93" s="213" t="str">
        <f>'25'!A334</f>
        <v xml:space="preserve"> </v>
      </c>
      <c r="G93" s="213" t="str">
        <f>'25'!A344</f>
        <v xml:space="preserve"> </v>
      </c>
      <c r="H93" s="213" t="str">
        <f>'25'!A354</f>
        <v xml:space="preserve"> </v>
      </c>
      <c r="I93" s="213" t="str">
        <f>'25'!A364</f>
        <v xml:space="preserve"> </v>
      </c>
      <c r="J93" s="213" t="str">
        <f>'25'!A374</f>
        <v xml:space="preserve"> </v>
      </c>
      <c r="K93" s="213" t="str">
        <f>'25'!A384</f>
        <v xml:space="preserve"> </v>
      </c>
      <c r="L93" s="213" t="str">
        <f>'25'!A394</f>
        <v xml:space="preserve"> </v>
      </c>
      <c r="M93" s="213" t="str">
        <f>'25'!A404</f>
        <v xml:space="preserve"> </v>
      </c>
      <c r="N93" s="179"/>
    </row>
    <row r="94" spans="2:14" x14ac:dyDescent="0.2">
      <c r="B94" s="244"/>
      <c r="C94" s="40" t="s">
        <v>343</v>
      </c>
      <c r="D94" s="40"/>
      <c r="E94" s="40"/>
      <c r="F94" s="213" t="str">
        <f>'25'!A335</f>
        <v xml:space="preserve"> </v>
      </c>
      <c r="G94" s="213" t="str">
        <f>'25'!A345</f>
        <v xml:space="preserve"> </v>
      </c>
      <c r="H94" s="213" t="str">
        <f>'25'!A355</f>
        <v xml:space="preserve"> </v>
      </c>
      <c r="I94" s="213" t="str">
        <f>'25'!A365</f>
        <v xml:space="preserve"> </v>
      </c>
      <c r="J94" s="213" t="str">
        <f>'25'!A375</f>
        <v xml:space="preserve"> </v>
      </c>
      <c r="K94" s="213" t="str">
        <f>'25'!A385</f>
        <v xml:space="preserve"> </v>
      </c>
      <c r="L94" s="213" t="str">
        <f>'25'!A395</f>
        <v xml:space="preserve"> </v>
      </c>
      <c r="M94" s="213" t="str">
        <f>'25'!A405</f>
        <v xml:space="preserve"> </v>
      </c>
      <c r="N94" s="179"/>
    </row>
    <row r="95" spans="2:14" x14ac:dyDescent="0.2">
      <c r="B95" s="244"/>
      <c r="C95" s="40"/>
      <c r="D95" s="182" t="s">
        <v>23</v>
      </c>
      <c r="E95" s="40"/>
      <c r="F95" s="213" t="str">
        <f>'25'!A336</f>
        <v xml:space="preserve"> </v>
      </c>
      <c r="G95" s="213" t="str">
        <f>'25'!A346</f>
        <v xml:space="preserve"> </v>
      </c>
      <c r="H95" s="213" t="str">
        <f>'25'!A356</f>
        <v xml:space="preserve"> </v>
      </c>
      <c r="I95" s="213" t="str">
        <f>'25'!A366</f>
        <v xml:space="preserve"> </v>
      </c>
      <c r="J95" s="213" t="str">
        <f>'25'!A376</f>
        <v xml:space="preserve"> </v>
      </c>
      <c r="K95" s="213" t="str">
        <f>'25'!A386</f>
        <v xml:space="preserve"> </v>
      </c>
      <c r="L95" s="213" t="str">
        <f>'25'!A396</f>
        <v xml:space="preserve"> </v>
      </c>
      <c r="M95" s="213" t="str">
        <f>'25'!A406</f>
        <v xml:space="preserve"> </v>
      </c>
      <c r="N95" s="179"/>
    </row>
    <row r="96" spans="2:14" x14ac:dyDescent="0.2">
      <c r="B96" s="244"/>
      <c r="C96" s="40"/>
      <c r="D96" s="224" t="s">
        <v>25</v>
      </c>
      <c r="E96" s="40"/>
      <c r="F96" s="213" t="str">
        <f>'25'!A337</f>
        <v xml:space="preserve"> </v>
      </c>
      <c r="G96" s="213" t="str">
        <f>'25'!A347</f>
        <v xml:space="preserve"> </v>
      </c>
      <c r="H96" s="213" t="str">
        <f>'25'!A357</f>
        <v xml:space="preserve"> </v>
      </c>
      <c r="I96" s="213" t="str">
        <f>'25'!A367</f>
        <v xml:space="preserve"> </v>
      </c>
      <c r="J96" s="213" t="str">
        <f>'25'!A377</f>
        <v xml:space="preserve"> </v>
      </c>
      <c r="K96" s="213" t="str">
        <f>'25'!A387</f>
        <v xml:space="preserve"> </v>
      </c>
      <c r="L96" s="213" t="str">
        <f>'25'!A397</f>
        <v xml:space="preserve"> </v>
      </c>
      <c r="M96" s="213" t="str">
        <f>'25'!A407</f>
        <v xml:space="preserve"> </v>
      </c>
      <c r="N96" s="179"/>
    </row>
    <row r="97" spans="2:14" x14ac:dyDescent="0.2">
      <c r="B97" s="244"/>
      <c r="C97" s="40" t="s">
        <v>344</v>
      </c>
      <c r="D97" s="40"/>
      <c r="E97" s="40"/>
      <c r="F97" s="213" t="str">
        <f>'25'!A338</f>
        <v xml:space="preserve"> </v>
      </c>
      <c r="G97" s="213" t="str">
        <f>'25'!A348</f>
        <v xml:space="preserve"> </v>
      </c>
      <c r="H97" s="213" t="str">
        <f>'25'!A358</f>
        <v xml:space="preserve"> </v>
      </c>
      <c r="I97" s="213" t="str">
        <f>'25'!A368</f>
        <v xml:space="preserve"> </v>
      </c>
      <c r="J97" s="213" t="str">
        <f>'25'!A378</f>
        <v xml:space="preserve"> </v>
      </c>
      <c r="K97" s="213" t="str">
        <f>'25'!A388</f>
        <v xml:space="preserve"> </v>
      </c>
      <c r="L97" s="213" t="str">
        <f>'25'!A398</f>
        <v xml:space="preserve"> </v>
      </c>
      <c r="M97" s="213" t="str">
        <f>'25'!A408</f>
        <v xml:space="preserve"> </v>
      </c>
      <c r="N97" s="179"/>
    </row>
    <row r="98" spans="2:14" x14ac:dyDescent="0.2">
      <c r="B98" s="244"/>
      <c r="C98" s="40"/>
      <c r="D98" s="182" t="s">
        <v>23</v>
      </c>
      <c r="E98" s="40"/>
      <c r="F98" s="213" t="str">
        <f>'25'!A339</f>
        <v xml:space="preserve"> </v>
      </c>
      <c r="G98" s="213" t="str">
        <f>'25'!A349</f>
        <v xml:space="preserve"> </v>
      </c>
      <c r="H98" s="213" t="str">
        <f>'25'!A359</f>
        <v xml:space="preserve"> </v>
      </c>
      <c r="I98" s="213" t="str">
        <f>'25'!A369</f>
        <v xml:space="preserve"> </v>
      </c>
      <c r="J98" s="213" t="str">
        <f>'25'!A379</f>
        <v xml:space="preserve"> </v>
      </c>
      <c r="K98" s="213" t="str">
        <f>'25'!A389</f>
        <v xml:space="preserve"> </v>
      </c>
      <c r="L98" s="213" t="str">
        <f>'25'!A399</f>
        <v xml:space="preserve"> </v>
      </c>
      <c r="M98" s="213" t="str">
        <f>'25'!A409</f>
        <v xml:space="preserve"> </v>
      </c>
      <c r="N98" s="179"/>
    </row>
    <row r="99" spans="2:14" x14ac:dyDescent="0.2">
      <c r="B99" s="244"/>
      <c r="C99" s="40"/>
      <c r="D99" s="182" t="s">
        <v>24</v>
      </c>
      <c r="E99" s="40"/>
      <c r="F99" s="213" t="str">
        <f>'25'!A340</f>
        <v xml:space="preserve"> </v>
      </c>
      <c r="G99" s="213" t="str">
        <f>'25'!A350</f>
        <v xml:space="preserve"> </v>
      </c>
      <c r="H99" s="213" t="str">
        <f>'25'!A360</f>
        <v xml:space="preserve"> </v>
      </c>
      <c r="I99" s="213" t="str">
        <f>'25'!A370</f>
        <v xml:space="preserve"> </v>
      </c>
      <c r="J99" s="213" t="str">
        <f>'25'!A380</f>
        <v xml:space="preserve"> </v>
      </c>
      <c r="K99" s="213" t="str">
        <f>'25'!A390</f>
        <v xml:space="preserve"> </v>
      </c>
      <c r="L99" s="213" t="str">
        <f>'25'!A400</f>
        <v xml:space="preserve"> </v>
      </c>
      <c r="M99" s="213" t="str">
        <f>'25'!A410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'25'!A420</f>
        <v xml:space="preserve"> </v>
      </c>
      <c r="L102" s="40"/>
      <c r="M102" s="40"/>
      <c r="N102" s="179"/>
    </row>
    <row r="103" spans="2:14" ht="12" x14ac:dyDescent="0.25">
      <c r="B103" s="244"/>
      <c r="C103" s="40"/>
      <c r="D103" s="40" t="s">
        <v>346</v>
      </c>
      <c r="E103" s="40"/>
      <c r="F103" s="309">
        <f>'25'!A421</f>
        <v>1</v>
      </c>
      <c r="G103" s="309">
        <f>'25'!A428</f>
        <v>2</v>
      </c>
      <c r="H103" s="309">
        <f>'25'!A435</f>
        <v>3</v>
      </c>
      <c r="I103" s="309">
        <f>'25'!A442</f>
        <v>4</v>
      </c>
      <c r="J103" s="309">
        <f>'25'!A449</f>
        <v>5</v>
      </c>
      <c r="K103" s="309">
        <f>'25'!A456</f>
        <v>6</v>
      </c>
      <c r="L103" s="309">
        <f>'25'!A463</f>
        <v>7</v>
      </c>
      <c r="M103" s="309">
        <f>'25'!A470</f>
        <v>8</v>
      </c>
      <c r="N103" s="179"/>
    </row>
    <row r="104" spans="2:14" x14ac:dyDescent="0.2">
      <c r="B104" s="244"/>
      <c r="C104" s="40" t="s">
        <v>347</v>
      </c>
      <c r="D104" s="40"/>
      <c r="E104" s="40"/>
      <c r="F104" s="310">
        <f>'25'!A422</f>
        <v>30000</v>
      </c>
      <c r="G104" s="310">
        <f>'25'!A429</f>
        <v>30000</v>
      </c>
      <c r="H104" s="310">
        <f>'25'!A436</f>
        <v>30000</v>
      </c>
      <c r="I104" s="310">
        <f>'25'!A443</f>
        <v>30000</v>
      </c>
      <c r="J104" s="310">
        <f>'25'!A450</f>
        <v>30000</v>
      </c>
      <c r="K104" s="310">
        <f>'25'!A457</f>
        <v>30000</v>
      </c>
      <c r="L104" s="310">
        <f>'25'!A464</f>
        <v>30000</v>
      </c>
      <c r="M104" s="310">
        <f>'25'!A471</f>
        <v>30000</v>
      </c>
      <c r="N104" s="179"/>
    </row>
    <row r="105" spans="2:14" x14ac:dyDescent="0.2">
      <c r="B105" s="244"/>
      <c r="C105" s="40" t="s">
        <v>348</v>
      </c>
      <c r="D105" s="40"/>
      <c r="E105" s="40"/>
      <c r="F105" s="310">
        <f>'25'!A423</f>
        <v>60000</v>
      </c>
      <c r="G105" s="310">
        <f>'25'!A430</f>
        <v>60000</v>
      </c>
      <c r="H105" s="310">
        <f>'25'!A437</f>
        <v>60000</v>
      </c>
      <c r="I105" s="310">
        <f>'25'!A444</f>
        <v>60000</v>
      </c>
      <c r="J105" s="310">
        <f>'25'!A451</f>
        <v>60000</v>
      </c>
      <c r="K105" s="310">
        <f>'25'!A458</f>
        <v>60000</v>
      </c>
      <c r="L105" s="310">
        <f>'25'!A465</f>
        <v>60000</v>
      </c>
      <c r="M105" s="310">
        <f>'25'!A472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'25'!A424</f>
        <v xml:space="preserve">   **</v>
      </c>
      <c r="G107" s="323" t="str">
        <f>'25'!A431</f>
        <v xml:space="preserve">   **</v>
      </c>
      <c r="H107" s="323" t="str">
        <f>'25'!A438</f>
        <v xml:space="preserve">   **</v>
      </c>
      <c r="I107" s="323" t="str">
        <f>'25'!A445</f>
        <v xml:space="preserve">   **</v>
      </c>
      <c r="J107" s="323" t="str">
        <f>'25'!A452</f>
        <v xml:space="preserve">   **</v>
      </c>
      <c r="K107" s="323" t="str">
        <f>'25'!A459</f>
        <v xml:space="preserve">   **</v>
      </c>
      <c r="L107" s="323" t="str">
        <f>'25'!A466</f>
        <v xml:space="preserve">   **</v>
      </c>
      <c r="M107" s="323" t="str">
        <f>'25'!A473</f>
        <v xml:space="preserve">   **</v>
      </c>
      <c r="N107" s="179"/>
    </row>
    <row r="108" spans="2:14" x14ac:dyDescent="0.2">
      <c r="B108" s="244"/>
      <c r="C108" s="40" t="s">
        <v>351</v>
      </c>
      <c r="D108" s="40"/>
      <c r="E108" s="40"/>
      <c r="F108" s="323" t="str">
        <f>'25'!A425</f>
        <v xml:space="preserve">   **</v>
      </c>
      <c r="G108" s="323" t="str">
        <f>'25'!A432</f>
        <v xml:space="preserve">   **</v>
      </c>
      <c r="H108" s="323" t="str">
        <f>'25'!A439</f>
        <v xml:space="preserve">   **</v>
      </c>
      <c r="I108" s="323" t="str">
        <f>'25'!A446</f>
        <v xml:space="preserve">   **</v>
      </c>
      <c r="J108" s="323" t="str">
        <f>'25'!A453</f>
        <v xml:space="preserve">   **</v>
      </c>
      <c r="K108" s="323" t="str">
        <f>'25'!A460</f>
        <v xml:space="preserve">   **</v>
      </c>
      <c r="L108" s="323" t="str">
        <f>'25'!A467</f>
        <v xml:space="preserve">   **</v>
      </c>
      <c r="M108" s="323" t="str">
        <f>'25'!A474</f>
        <v xml:space="preserve">   **</v>
      </c>
      <c r="N108" s="179"/>
    </row>
    <row r="109" spans="2:14" x14ac:dyDescent="0.2">
      <c r="B109" s="244"/>
      <c r="C109" s="40" t="s">
        <v>352</v>
      </c>
      <c r="D109" s="40"/>
      <c r="E109" s="40"/>
      <c r="F109" s="323" t="str">
        <f>'25'!A426</f>
        <v xml:space="preserve">   **</v>
      </c>
      <c r="G109" s="323" t="str">
        <f>'25'!A433</f>
        <v xml:space="preserve">   **</v>
      </c>
      <c r="H109" s="323" t="str">
        <f>'25'!A440</f>
        <v xml:space="preserve">   **</v>
      </c>
      <c r="I109" s="323" t="str">
        <f>'25'!A447</f>
        <v xml:space="preserve">   **</v>
      </c>
      <c r="J109" s="323" t="str">
        <f>'25'!A454</f>
        <v xml:space="preserve">   **</v>
      </c>
      <c r="K109" s="323" t="str">
        <f>'25'!A461</f>
        <v xml:space="preserve">   **</v>
      </c>
      <c r="L109" s="323" t="str">
        <f>'25'!A468</f>
        <v xml:space="preserve">   **</v>
      </c>
      <c r="M109" s="323" t="str">
        <f>'25'!A475</f>
        <v xml:space="preserve">   **</v>
      </c>
      <c r="N109" s="179"/>
    </row>
    <row r="110" spans="2:14" x14ac:dyDescent="0.2">
      <c r="B110" s="244"/>
      <c r="C110" s="40" t="s">
        <v>353</v>
      </c>
      <c r="D110" s="40"/>
      <c r="E110" s="40"/>
      <c r="F110" s="323" t="str">
        <f>'25'!A427</f>
        <v xml:space="preserve"> </v>
      </c>
      <c r="G110" s="323" t="str">
        <f>'25'!A434</f>
        <v xml:space="preserve"> </v>
      </c>
      <c r="H110" s="323" t="str">
        <f>'25'!A441</f>
        <v xml:space="preserve"> </v>
      </c>
      <c r="I110" s="323" t="str">
        <f>'25'!A448</f>
        <v xml:space="preserve"> </v>
      </c>
      <c r="J110" s="323" t="str">
        <f>'25'!A455</f>
        <v xml:space="preserve"> </v>
      </c>
      <c r="K110" s="323" t="str">
        <f>'25'!A462</f>
        <v xml:space="preserve"> </v>
      </c>
      <c r="L110" s="323" t="str">
        <f>'25'!A469</f>
        <v xml:space="preserve"> </v>
      </c>
      <c r="M110" s="323" t="str">
        <f>'25'!A476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7">
    <tabColor theme="8" tint="0.59999389629810485"/>
    <pageSetUpPr fitToPage="1"/>
  </sheetPr>
  <dimension ref="A1:I861"/>
  <sheetViews>
    <sheetView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3</v>
      </c>
    </row>
    <row r="6" spans="1:1" x14ac:dyDescent="0.2">
      <c r="A6" s="175" t="s">
        <v>682</v>
      </c>
    </row>
    <row r="7" spans="1:1" x14ac:dyDescent="0.2">
      <c r="A7" s="175">
        <v>10</v>
      </c>
    </row>
    <row r="8" spans="1:1" x14ac:dyDescent="0.2">
      <c r="A8" s="175">
        <v>0</v>
      </c>
    </row>
    <row r="9" spans="1:1" x14ac:dyDescent="0.2">
      <c r="A9" s="175">
        <v>0</v>
      </c>
    </row>
    <row r="10" spans="1:1" x14ac:dyDescent="0.2">
      <c r="A10" s="175">
        <v>0</v>
      </c>
    </row>
    <row r="11" spans="1:1" x14ac:dyDescent="0.2">
      <c r="A11" s="175">
        <v>5</v>
      </c>
    </row>
    <row r="12" spans="1:1" x14ac:dyDescent="0.2">
      <c r="A12" s="175">
        <v>0</v>
      </c>
    </row>
    <row r="13" spans="1:1" x14ac:dyDescent="0.2">
      <c r="A13" s="175">
        <v>0</v>
      </c>
    </row>
    <row r="14" spans="1:1" x14ac:dyDescent="0.2">
      <c r="A14" s="175">
        <v>5</v>
      </c>
    </row>
    <row r="15" spans="1:1" x14ac:dyDescent="0.2">
      <c r="A15" s="175">
        <v>0</v>
      </c>
    </row>
    <row r="16" spans="1:1" x14ac:dyDescent="0.2">
      <c r="A16" s="175">
        <v>0</v>
      </c>
    </row>
    <row r="17" spans="1:1" x14ac:dyDescent="0.2">
      <c r="A17" s="175">
        <v>10</v>
      </c>
    </row>
    <row r="18" spans="1:1" x14ac:dyDescent="0.2">
      <c r="A18" s="175">
        <v>0</v>
      </c>
    </row>
    <row r="19" spans="1:1" x14ac:dyDescent="0.2">
      <c r="A19" s="175">
        <v>0</v>
      </c>
    </row>
    <row r="20" spans="1:1" x14ac:dyDescent="0.2">
      <c r="A20" s="175">
        <v>0</v>
      </c>
    </row>
    <row r="21" spans="1:1" x14ac:dyDescent="0.2">
      <c r="A21" s="175">
        <v>285</v>
      </c>
    </row>
    <row r="22" spans="1:1" x14ac:dyDescent="0.2">
      <c r="A22" s="175">
        <v>0</v>
      </c>
    </row>
    <row r="23" spans="1:1" x14ac:dyDescent="0.2">
      <c r="A23" s="175">
        <v>0</v>
      </c>
    </row>
    <row r="24" spans="1:1" x14ac:dyDescent="0.2">
      <c r="A24" s="175">
        <v>450</v>
      </c>
    </row>
    <row r="25" spans="1:1" x14ac:dyDescent="0.2">
      <c r="A25" s="175">
        <v>0</v>
      </c>
    </row>
    <row r="26" spans="1:1" x14ac:dyDescent="0.2">
      <c r="A26" s="175">
        <v>0</v>
      </c>
    </row>
    <row r="27" spans="1:1" x14ac:dyDescent="0.2">
      <c r="A27" s="175">
        <v>680</v>
      </c>
    </row>
    <row r="28" spans="1:1" x14ac:dyDescent="0.2">
      <c r="A28" s="175">
        <v>0</v>
      </c>
    </row>
    <row r="29" spans="1:1" x14ac:dyDescent="0.2">
      <c r="A29" s="175">
        <v>0</v>
      </c>
    </row>
    <row r="30" spans="1:1" x14ac:dyDescent="0.2">
      <c r="A30" s="175">
        <v>0</v>
      </c>
    </row>
    <row r="31" spans="1:1" x14ac:dyDescent="0.2">
      <c r="A31" s="175">
        <v>700</v>
      </c>
    </row>
    <row r="32" spans="1:1" x14ac:dyDescent="0.2">
      <c r="A32" s="175">
        <v>0</v>
      </c>
    </row>
    <row r="33" spans="1:1" x14ac:dyDescent="0.2">
      <c r="A33" s="175">
        <v>0</v>
      </c>
    </row>
    <row r="34" spans="1:1" x14ac:dyDescent="0.2">
      <c r="A34" s="175">
        <v>450</v>
      </c>
    </row>
    <row r="35" spans="1:1" x14ac:dyDescent="0.2">
      <c r="A35" s="175">
        <v>0</v>
      </c>
    </row>
    <row r="36" spans="1:1" x14ac:dyDescent="0.2">
      <c r="A36" s="175">
        <v>0</v>
      </c>
    </row>
    <row r="37" spans="1:1" x14ac:dyDescent="0.2">
      <c r="A37" s="175">
        <v>300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0</v>
      </c>
    </row>
    <row r="58" spans="1:1" x14ac:dyDescent="0.2">
      <c r="A58" s="175">
        <v>2</v>
      </c>
    </row>
    <row r="59" spans="1:1" x14ac:dyDescent="0.2">
      <c r="A59" s="175">
        <v>0</v>
      </c>
    </row>
    <row r="60" spans="1:1" x14ac:dyDescent="0.2">
      <c r="A60" s="175">
        <v>0</v>
      </c>
    </row>
    <row r="61" spans="1:1" x14ac:dyDescent="0.2">
      <c r="A61" s="175">
        <v>3</v>
      </c>
    </row>
    <row r="62" spans="1:1" x14ac:dyDescent="0.2">
      <c r="A62" s="175">
        <v>9</v>
      </c>
    </row>
    <row r="63" spans="1:1" x14ac:dyDescent="0.2">
      <c r="A63" s="175">
        <v>7</v>
      </c>
    </row>
    <row r="64" spans="1:1" x14ac:dyDescent="0.2">
      <c r="A64" s="175">
        <v>0</v>
      </c>
    </row>
    <row r="65" spans="1:2" x14ac:dyDescent="0.2">
      <c r="A65" s="175">
        <v>0</v>
      </c>
      <c r="B65" s="175" t="s">
        <v>27</v>
      </c>
    </row>
    <row r="66" spans="1:2" x14ac:dyDescent="0.2">
      <c r="A66" s="175">
        <v>0</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0</v>
      </c>
    </row>
    <row r="73" spans="1:2" x14ac:dyDescent="0.2">
      <c r="A73" s="175">
        <v>2</v>
      </c>
    </row>
    <row r="74" spans="1:2" x14ac:dyDescent="0.2">
      <c r="A74" s="175">
        <v>0</v>
      </c>
    </row>
    <row r="75" spans="1:2" x14ac:dyDescent="0.2">
      <c r="A75" s="175">
        <v>15</v>
      </c>
    </row>
    <row r="76" spans="1:2" x14ac:dyDescent="0.2">
      <c r="A76" s="175">
        <v>2</v>
      </c>
    </row>
    <row r="77" spans="1:2" x14ac:dyDescent="0.2">
      <c r="A77" s="175">
        <v>0</v>
      </c>
    </row>
    <row r="78" spans="1:2" x14ac:dyDescent="0.2">
      <c r="A78" s="175">
        <v>0</v>
      </c>
    </row>
    <row r="79" spans="1:2" x14ac:dyDescent="0.2">
      <c r="A79" s="175">
        <v>0</v>
      </c>
    </row>
    <row r="80" spans="1:2" x14ac:dyDescent="0.2">
      <c r="A80" s="175">
        <v>0</v>
      </c>
    </row>
    <row r="81" spans="1:1" x14ac:dyDescent="0.2">
      <c r="A81" s="175">
        <v>0</v>
      </c>
    </row>
    <row r="82" spans="1:1" x14ac:dyDescent="0.2">
      <c r="A82" s="175">
        <v>3</v>
      </c>
    </row>
    <row r="83" spans="1:1" x14ac:dyDescent="0.2">
      <c r="A83" s="175">
        <v>1000</v>
      </c>
    </row>
    <row r="84" spans="1:1" x14ac:dyDescent="0.2">
      <c r="A84" s="175">
        <v>0</v>
      </c>
    </row>
    <row r="85" spans="1:1" x14ac:dyDescent="0.2">
      <c r="A85" s="175">
        <v>50</v>
      </c>
    </row>
    <row r="86" spans="1:1" x14ac:dyDescent="0.2">
      <c r="A86" s="175">
        <v>2</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-500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90</v>
      </c>
    </row>
    <row r="103" spans="1:1" x14ac:dyDescent="0.2">
      <c r="A103" s="175">
        <v>90</v>
      </c>
    </row>
    <row r="104" spans="1:1" x14ac:dyDescent="0.2">
      <c r="A104" s="175">
        <v>90</v>
      </c>
    </row>
    <row r="105" spans="1:1" x14ac:dyDescent="0.2">
      <c r="A105" s="175" t="s">
        <v>673</v>
      </c>
    </row>
    <row r="106" spans="1:1" x14ac:dyDescent="0.2">
      <c r="A106" s="175" t="s">
        <v>605</v>
      </c>
    </row>
    <row r="107" spans="1:1" x14ac:dyDescent="0.2">
      <c r="A107" s="175" t="s">
        <v>605</v>
      </c>
    </row>
    <row r="108" spans="1:1" x14ac:dyDescent="0.2">
      <c r="A108" s="175">
        <v>700</v>
      </c>
    </row>
    <row r="109" spans="1:1" x14ac:dyDescent="0.2">
      <c r="A109" s="175">
        <v>450</v>
      </c>
    </row>
    <row r="110" spans="1:1" x14ac:dyDescent="0.2">
      <c r="A110" s="175">
        <v>300</v>
      </c>
    </row>
    <row r="111" spans="1:1" x14ac:dyDescent="0.2">
      <c r="A111" s="175">
        <v>717</v>
      </c>
    </row>
    <row r="112" spans="1:1" x14ac:dyDescent="0.2">
      <c r="A112" s="175">
        <v>462</v>
      </c>
    </row>
    <row r="113" spans="1:1" x14ac:dyDescent="0.2">
      <c r="A113" s="175">
        <v>308</v>
      </c>
    </row>
    <row r="114" spans="1:1" x14ac:dyDescent="0.2">
      <c r="A114" s="175">
        <v>17</v>
      </c>
    </row>
    <row r="115" spans="1:1" x14ac:dyDescent="0.2">
      <c r="A115" s="175">
        <v>12</v>
      </c>
    </row>
    <row r="116" spans="1:1" x14ac:dyDescent="0.2">
      <c r="A116" s="175">
        <v>8</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700</v>
      </c>
    </row>
    <row r="122" spans="1:1" x14ac:dyDescent="0.2">
      <c r="A122" s="175">
        <v>0</v>
      </c>
    </row>
    <row r="123" spans="1:1" x14ac:dyDescent="0.2">
      <c r="A123" s="175">
        <v>0</v>
      </c>
    </row>
    <row r="124" spans="1:1" x14ac:dyDescent="0.2">
      <c r="A124" s="175">
        <v>450</v>
      </c>
    </row>
    <row r="125" spans="1:1" x14ac:dyDescent="0.2">
      <c r="A125" s="175">
        <v>0</v>
      </c>
    </row>
    <row r="126" spans="1:1" x14ac:dyDescent="0.2">
      <c r="A126" s="175">
        <v>0</v>
      </c>
    </row>
    <row r="127" spans="1:1" x14ac:dyDescent="0.2">
      <c r="A127" s="175">
        <v>300</v>
      </c>
    </row>
    <row r="128" spans="1:1" x14ac:dyDescent="0.2">
      <c r="A128" s="175">
        <v>0</v>
      </c>
    </row>
    <row r="129" spans="1:1" x14ac:dyDescent="0.2">
      <c r="A129" s="175">
        <v>0</v>
      </c>
    </row>
    <row r="130" spans="1:1" x14ac:dyDescent="0.2">
      <c r="A130" s="175">
        <v>999</v>
      </c>
    </row>
    <row r="131" spans="1:1" x14ac:dyDescent="0.2">
      <c r="A131" s="175">
        <v>592</v>
      </c>
    </row>
    <row r="132" spans="1:1" x14ac:dyDescent="0.2">
      <c r="A132" s="175">
        <v>0</v>
      </c>
    </row>
    <row r="133" spans="1:1" x14ac:dyDescent="0.2">
      <c r="A133" s="175">
        <v>0</v>
      </c>
    </row>
    <row r="134" spans="1:1" x14ac:dyDescent="0.2">
      <c r="A134" s="175">
        <v>363</v>
      </c>
    </row>
    <row r="135" spans="1:1" x14ac:dyDescent="0.2">
      <c r="A135" s="175">
        <v>0</v>
      </c>
    </row>
    <row r="136" spans="1:1" x14ac:dyDescent="0.2">
      <c r="A136" s="175">
        <v>0</v>
      </c>
    </row>
    <row r="137" spans="1:1" x14ac:dyDescent="0.2">
      <c r="A137" s="175">
        <v>220</v>
      </c>
    </row>
    <row r="138" spans="1:1" x14ac:dyDescent="0.2">
      <c r="A138" s="175">
        <v>0</v>
      </c>
    </row>
    <row r="139" spans="1:1" x14ac:dyDescent="0.2">
      <c r="A139" s="175">
        <v>0</v>
      </c>
    </row>
    <row r="140" spans="1:1" x14ac:dyDescent="0.2">
      <c r="A140" s="175">
        <v>999</v>
      </c>
    </row>
    <row r="141" spans="1:1" x14ac:dyDescent="0.2">
      <c r="A141" s="175">
        <v>592</v>
      </c>
    </row>
    <row r="142" spans="1:1" x14ac:dyDescent="0.2">
      <c r="A142" s="175">
        <v>0</v>
      </c>
    </row>
    <row r="143" spans="1:1" x14ac:dyDescent="0.2">
      <c r="A143" s="175">
        <v>0</v>
      </c>
    </row>
    <row r="144" spans="1:1" x14ac:dyDescent="0.2">
      <c r="A144" s="175">
        <v>363</v>
      </c>
    </row>
    <row r="145" spans="1:1" x14ac:dyDescent="0.2">
      <c r="A145" s="175">
        <v>0</v>
      </c>
    </row>
    <row r="146" spans="1:1" x14ac:dyDescent="0.2">
      <c r="A146" s="175">
        <v>0</v>
      </c>
    </row>
    <row r="147" spans="1:1" x14ac:dyDescent="0.2">
      <c r="A147" s="175">
        <v>220</v>
      </c>
    </row>
    <row r="148" spans="1:1" x14ac:dyDescent="0.2">
      <c r="A148" s="175">
        <v>0</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108</v>
      </c>
    </row>
    <row r="162" spans="1:1" x14ac:dyDescent="0.2">
      <c r="A162" s="175">
        <v>0</v>
      </c>
    </row>
    <row r="163" spans="1:1" x14ac:dyDescent="0.2">
      <c r="A163" s="175">
        <v>0</v>
      </c>
    </row>
    <row r="164" spans="1:1" x14ac:dyDescent="0.2">
      <c r="A164" s="175">
        <v>87</v>
      </c>
    </row>
    <row r="165" spans="1:1" x14ac:dyDescent="0.2">
      <c r="A165" s="175">
        <v>0</v>
      </c>
    </row>
    <row r="166" spans="1:1" x14ac:dyDescent="0.2">
      <c r="A166" s="175">
        <v>0</v>
      </c>
    </row>
    <row r="167" spans="1:1" x14ac:dyDescent="0.2">
      <c r="A167" s="175">
        <v>80</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496</v>
      </c>
    </row>
    <row r="178" spans="1:1" x14ac:dyDescent="0.2">
      <c r="A178" s="175" t="s">
        <v>496</v>
      </c>
    </row>
    <row r="179" spans="1:1" x14ac:dyDescent="0.2">
      <c r="A179" s="175" t="s">
        <v>496</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11</v>
      </c>
    </row>
    <row r="192" spans="1:1" x14ac:dyDescent="0.2">
      <c r="A192" s="175">
        <v>0</v>
      </c>
    </row>
    <row r="193" spans="1:1" x14ac:dyDescent="0.2">
      <c r="A193" s="175">
        <v>0</v>
      </c>
    </row>
    <row r="194" spans="1:1" x14ac:dyDescent="0.2">
      <c r="A194" s="175">
        <v>16</v>
      </c>
    </row>
    <row r="195" spans="1:1" x14ac:dyDescent="0.2">
      <c r="A195" s="175">
        <v>0</v>
      </c>
    </row>
    <row r="196" spans="1:1" x14ac:dyDescent="0.2">
      <c r="A196" s="175">
        <v>0</v>
      </c>
    </row>
    <row r="197" spans="1:1" x14ac:dyDescent="0.2">
      <c r="A197" s="175">
        <v>14</v>
      </c>
    </row>
    <row r="198" spans="1:1" x14ac:dyDescent="0.2">
      <c r="A198" s="175">
        <v>15</v>
      </c>
    </row>
    <row r="199" spans="1:1" x14ac:dyDescent="0.2">
      <c r="A199" s="175">
        <v>999</v>
      </c>
    </row>
    <row r="200" spans="1:1" x14ac:dyDescent="0.2">
      <c r="A200" s="175">
        <v>999</v>
      </c>
    </row>
    <row r="201" spans="1:1" x14ac:dyDescent="0.2">
      <c r="A201" s="175">
        <v>30000</v>
      </c>
    </row>
    <row r="202" spans="1:1" x14ac:dyDescent="0.2">
      <c r="A202" s="175">
        <v>0</v>
      </c>
    </row>
    <row r="203" spans="1:1" x14ac:dyDescent="0.2">
      <c r="A203" s="175">
        <v>0</v>
      </c>
    </row>
    <row r="204" spans="1:1" x14ac:dyDescent="0.2">
      <c r="A204" s="175">
        <v>59216</v>
      </c>
    </row>
    <row r="205" spans="1:1" x14ac:dyDescent="0.2">
      <c r="A205" s="175">
        <v>4842</v>
      </c>
    </row>
    <row r="206" spans="1:1" x14ac:dyDescent="0.2">
      <c r="A206" s="175">
        <v>0</v>
      </c>
    </row>
    <row r="207" spans="1:1" x14ac:dyDescent="0.2">
      <c r="A207" s="175">
        <v>60000</v>
      </c>
    </row>
    <row r="208" spans="1:1" x14ac:dyDescent="0.2">
      <c r="A208" s="175">
        <v>0</v>
      </c>
    </row>
    <row r="209" spans="1:1" x14ac:dyDescent="0.2">
      <c r="A209" s="175">
        <v>43500</v>
      </c>
    </row>
    <row r="210" spans="1:1" x14ac:dyDescent="0.2">
      <c r="A210" s="175">
        <v>2550</v>
      </c>
    </row>
    <row r="211" spans="1:1" x14ac:dyDescent="0.2">
      <c r="A211" s="175">
        <v>7979</v>
      </c>
    </row>
    <row r="212" spans="1:1" x14ac:dyDescent="0.2">
      <c r="A212" s="175">
        <v>7500</v>
      </c>
    </row>
    <row r="213" spans="1:1" x14ac:dyDescent="0.2">
      <c r="A213" s="175">
        <v>1175</v>
      </c>
    </row>
    <row r="214" spans="1:1" x14ac:dyDescent="0.2">
      <c r="A214" s="175">
        <v>6272</v>
      </c>
    </row>
    <row r="215" spans="1:1" x14ac:dyDescent="0.2">
      <c r="A215" s="175">
        <v>50000</v>
      </c>
    </row>
    <row r="216" spans="1:1" x14ac:dyDescent="0.2">
      <c r="A216" s="175">
        <v>10520</v>
      </c>
    </row>
    <row r="217" spans="1:1" x14ac:dyDescent="0.2">
      <c r="A217" s="175">
        <v>283554</v>
      </c>
    </row>
    <row r="218" spans="1:1" x14ac:dyDescent="0.2">
      <c r="A218" s="175">
        <v>182705</v>
      </c>
    </row>
    <row r="219" spans="1:1" x14ac:dyDescent="0.2">
      <c r="A219" s="175">
        <v>0</v>
      </c>
    </row>
    <row r="220" spans="1:1" x14ac:dyDescent="0.2">
      <c r="A220" s="175">
        <v>1045</v>
      </c>
    </row>
    <row r="221" spans="1:1" x14ac:dyDescent="0.2">
      <c r="A221" s="175">
        <v>182705</v>
      </c>
    </row>
    <row r="222" spans="1:1" x14ac:dyDescent="0.2">
      <c r="A222" s="175">
        <v>0</v>
      </c>
    </row>
    <row r="223" spans="1:1" x14ac:dyDescent="0.2">
      <c r="A223" s="175">
        <v>594693</v>
      </c>
    </row>
    <row r="224" spans="1:1" x14ac:dyDescent="0.2">
      <c r="A224" s="175">
        <v>0</v>
      </c>
    </row>
    <row r="225" spans="1:1" x14ac:dyDescent="0.2">
      <c r="A225" s="175">
        <v>2375</v>
      </c>
    </row>
    <row r="226" spans="1:1" x14ac:dyDescent="0.2">
      <c r="A226" s="175">
        <v>0</v>
      </c>
    </row>
    <row r="227" spans="1:1" x14ac:dyDescent="0.2">
      <c r="A227" s="175">
        <v>600000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531</v>
      </c>
    </row>
    <row r="233" spans="1:1" x14ac:dyDescent="0.2">
      <c r="A233" s="175">
        <v>-1010144</v>
      </c>
    </row>
    <row r="234" spans="1:1" x14ac:dyDescent="0.2">
      <c r="A234" s="175">
        <v>2817541</v>
      </c>
    </row>
    <row r="235" spans="1:1" x14ac:dyDescent="0.2">
      <c r="A235" s="175">
        <v>999</v>
      </c>
    </row>
    <row r="236" spans="1:1" x14ac:dyDescent="0.2">
      <c r="A236" s="175">
        <v>999</v>
      </c>
    </row>
    <row r="237" spans="1:1" x14ac:dyDescent="0.2">
      <c r="A237" s="175">
        <v>999</v>
      </c>
    </row>
    <row r="238" spans="1:1" x14ac:dyDescent="0.2">
      <c r="A238" s="175">
        <v>396000</v>
      </c>
    </row>
    <row r="239" spans="1:1" x14ac:dyDescent="0.2">
      <c r="A239" s="175">
        <v>1523000</v>
      </c>
    </row>
    <row r="240" spans="1:1" x14ac:dyDescent="0.2">
      <c r="A240" s="175">
        <v>-251247</v>
      </c>
    </row>
    <row r="241" spans="1:1" x14ac:dyDescent="0.2">
      <c r="A241" s="175">
        <v>484270</v>
      </c>
    </row>
    <row r="242" spans="1:1" x14ac:dyDescent="0.2">
      <c r="A242" s="175">
        <v>160480</v>
      </c>
    </row>
    <row r="243" spans="1:1" x14ac:dyDescent="0.2">
      <c r="A243" s="175">
        <v>0</v>
      </c>
    </row>
    <row r="244" spans="1:1" x14ac:dyDescent="0.2">
      <c r="A244" s="175">
        <v>124818</v>
      </c>
    </row>
    <row r="245" spans="1:1" x14ac:dyDescent="0.2">
      <c r="A245" s="175">
        <v>48874</v>
      </c>
    </row>
    <row r="246" spans="1:1" x14ac:dyDescent="0.2">
      <c r="A246" s="175">
        <v>73855</v>
      </c>
    </row>
    <row r="247" spans="1:1" x14ac:dyDescent="0.2">
      <c r="A247" s="175">
        <v>50775</v>
      </c>
    </row>
    <row r="248" spans="1:1" x14ac:dyDescent="0.2">
      <c r="A248" s="175">
        <v>1487</v>
      </c>
    </row>
    <row r="249" spans="1:1" x14ac:dyDescent="0.2">
      <c r="A249" s="175">
        <v>15600</v>
      </c>
    </row>
    <row r="250" spans="1:1" x14ac:dyDescent="0.2">
      <c r="A250" s="175">
        <v>186034</v>
      </c>
    </row>
    <row r="251" spans="1:1" x14ac:dyDescent="0.2">
      <c r="A251" s="175">
        <v>289855</v>
      </c>
    </row>
    <row r="252" spans="1:1" x14ac:dyDescent="0.2">
      <c r="A252" s="175">
        <v>194415</v>
      </c>
    </row>
    <row r="253" spans="1:1" x14ac:dyDescent="0.2">
      <c r="A253" s="175">
        <v>0</v>
      </c>
    </row>
    <row r="254" spans="1:1" x14ac:dyDescent="0.2">
      <c r="A254" s="175">
        <v>29624</v>
      </c>
    </row>
    <row r="255" spans="1:1" x14ac:dyDescent="0.2">
      <c r="A255" s="175">
        <v>0</v>
      </c>
    </row>
    <row r="256" spans="1:1" x14ac:dyDescent="0.2">
      <c r="A256" s="175">
        <v>-116919</v>
      </c>
    </row>
    <row r="257" spans="1:1" x14ac:dyDescent="0.2">
      <c r="A257" s="175">
        <v>-368166</v>
      </c>
    </row>
    <row r="258" spans="1:1" x14ac:dyDescent="0.2">
      <c r="A258" s="175">
        <v>999</v>
      </c>
    </row>
    <row r="259" spans="1:1" x14ac:dyDescent="0.2">
      <c r="A259" s="175">
        <v>999</v>
      </c>
    </row>
    <row r="260" spans="1:1" x14ac:dyDescent="0.2">
      <c r="A260" s="175">
        <v>-251247</v>
      </c>
    </row>
    <row r="261" spans="1:1" x14ac:dyDescent="0.2">
      <c r="A261" s="175">
        <v>50000</v>
      </c>
    </row>
    <row r="262" spans="1:1" x14ac:dyDescent="0.2">
      <c r="A262" s="175">
        <v>250000</v>
      </c>
    </row>
    <row r="263" spans="1:1" x14ac:dyDescent="0.2">
      <c r="A263" s="175">
        <v>1155376</v>
      </c>
    </row>
    <row r="264" spans="1:1" x14ac:dyDescent="0.2">
      <c r="A264" s="175">
        <v>0</v>
      </c>
    </row>
    <row r="265" spans="1:1" x14ac:dyDescent="0.2">
      <c r="A265" s="175">
        <v>57721</v>
      </c>
    </row>
    <row r="266" spans="1:1" x14ac:dyDescent="0.2">
      <c r="A266" s="175">
        <v>0</v>
      </c>
    </row>
    <row r="267" spans="1:1" x14ac:dyDescent="0.2">
      <c r="A267" s="175">
        <v>128313</v>
      </c>
    </row>
    <row r="268" spans="1:1" x14ac:dyDescent="0.2">
      <c r="A268" s="175">
        <v>301565</v>
      </c>
    </row>
    <row r="269" spans="1:1" x14ac:dyDescent="0.2">
      <c r="A269" s="175">
        <v>1900000</v>
      </c>
    </row>
    <row r="270" spans="1:1" x14ac:dyDescent="0.2">
      <c r="A270" s="175">
        <v>1900000</v>
      </c>
    </row>
    <row r="271" spans="1:1" x14ac:dyDescent="0.2">
      <c r="A271" s="175">
        <v>0</v>
      </c>
    </row>
    <row r="272" spans="1:1" x14ac:dyDescent="0.2">
      <c r="A272" s="175">
        <v>118538</v>
      </c>
    </row>
    <row r="273" spans="1:1" x14ac:dyDescent="0.2">
      <c r="A273" s="175">
        <v>92603</v>
      </c>
    </row>
    <row r="274" spans="1:1" x14ac:dyDescent="0.2">
      <c r="A274" s="175">
        <v>0</v>
      </c>
    </row>
    <row r="275" spans="1:1" x14ac:dyDescent="0.2">
      <c r="A275" s="175">
        <v>4000000</v>
      </c>
    </row>
    <row r="276" spans="1:1" x14ac:dyDescent="0.2">
      <c r="A276" s="175">
        <v>0</v>
      </c>
    </row>
    <row r="277" spans="1:1" x14ac:dyDescent="0.2">
      <c r="A277" s="175">
        <v>3631834</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140</v>
      </c>
    </row>
    <row r="287" spans="1:1" x14ac:dyDescent="0.2">
      <c r="A287" s="175">
        <v>2</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2</v>
      </c>
    </row>
    <row r="293" spans="1:1" x14ac:dyDescent="0.2">
      <c r="A293" s="175">
        <v>2</v>
      </c>
    </row>
    <row r="294" spans="1:1" x14ac:dyDescent="0.2">
      <c r="A294" s="175">
        <v>4</v>
      </c>
    </row>
    <row r="295" spans="1:1" x14ac:dyDescent="0.2">
      <c r="A295" s="175">
        <v>1434</v>
      </c>
    </row>
    <row r="296" spans="1:1" x14ac:dyDescent="0.2">
      <c r="A296" s="175">
        <v>6</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2136</v>
      </c>
    </row>
    <row r="302" spans="1:1" x14ac:dyDescent="0.2">
      <c r="A302" s="175">
        <v>19</v>
      </c>
    </row>
    <row r="303" spans="1:1" x14ac:dyDescent="0.2">
      <c r="A303" s="175">
        <v>1928</v>
      </c>
    </row>
    <row r="304" spans="1:1" x14ac:dyDescent="0.2">
      <c r="A304" s="175">
        <v>99</v>
      </c>
    </row>
    <row r="305" spans="1:1" x14ac:dyDescent="0.2">
      <c r="A305" s="175">
        <v>6336</v>
      </c>
    </row>
    <row r="306" spans="1:1" x14ac:dyDescent="0.2">
      <c r="A306" s="175">
        <v>1</v>
      </c>
    </row>
    <row r="307" spans="1:1" x14ac:dyDescent="0.2">
      <c r="A307" s="175">
        <v>4312</v>
      </c>
    </row>
    <row r="308" spans="1:1" x14ac:dyDescent="0.2">
      <c r="A308" s="175">
        <v>0</v>
      </c>
    </row>
    <row r="309" spans="1:1" x14ac:dyDescent="0.2">
      <c r="A309" s="175">
        <v>999</v>
      </c>
    </row>
    <row r="310" spans="1:1" x14ac:dyDescent="0.2">
      <c r="A310" s="175">
        <v>999</v>
      </c>
    </row>
    <row r="311" spans="1:1" x14ac:dyDescent="0.2">
      <c r="A311" s="175">
        <v>3000</v>
      </c>
    </row>
    <row r="312" spans="1:1" x14ac:dyDescent="0.2">
      <c r="A312" s="175">
        <v>0</v>
      </c>
    </row>
    <row r="313" spans="1:1" x14ac:dyDescent="0.2">
      <c r="A313" s="175">
        <v>0</v>
      </c>
    </row>
    <row r="314" spans="1:1" x14ac:dyDescent="0.2">
      <c r="A314" s="175">
        <v>0</v>
      </c>
    </row>
    <row r="315" spans="1:1" x14ac:dyDescent="0.2">
      <c r="A315" s="175">
        <v>2565</v>
      </c>
    </row>
    <row r="316" spans="1:1" x14ac:dyDescent="0.2">
      <c r="A316" s="175">
        <v>435</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2</v>
      </c>
    </row>
    <row r="322" spans="1:1" x14ac:dyDescent="0.2">
      <c r="A322" s="175">
        <v>0</v>
      </c>
    </row>
    <row r="323" spans="1:1" x14ac:dyDescent="0.2">
      <c r="A323" s="175">
        <v>0</v>
      </c>
    </row>
    <row r="324" spans="1:1" x14ac:dyDescent="0.2">
      <c r="A324" s="175">
        <v>0</v>
      </c>
    </row>
    <row r="325" spans="1:1" x14ac:dyDescent="0.2">
      <c r="A325" s="175">
        <v>3</v>
      </c>
    </row>
    <row r="326" spans="1:1" x14ac:dyDescent="0.2">
      <c r="A326" s="175">
        <v>0</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30000</v>
      </c>
    </row>
    <row r="423" spans="1:1" x14ac:dyDescent="0.2">
      <c r="A423" s="175">
        <v>60000</v>
      </c>
    </row>
    <row r="424" spans="1:1" x14ac:dyDescent="0.2">
      <c r="A424" s="175" t="s">
        <v>602</v>
      </c>
    </row>
    <row r="425" spans="1:1" x14ac:dyDescent="0.2">
      <c r="A425" s="175" t="s">
        <v>602</v>
      </c>
    </row>
    <row r="426" spans="1:1" x14ac:dyDescent="0.2">
      <c r="A426" s="175" t="s">
        <v>602</v>
      </c>
    </row>
    <row r="427" spans="1:1" x14ac:dyDescent="0.2">
      <c r="A427" s="175" t="s">
        <v>0</v>
      </c>
    </row>
    <row r="428" spans="1:1" x14ac:dyDescent="0.2">
      <c r="A428" s="175">
        <v>2</v>
      </c>
    </row>
    <row r="429" spans="1:1" x14ac:dyDescent="0.2">
      <c r="A429" s="175">
        <v>30000</v>
      </c>
    </row>
    <row r="430" spans="1:1" x14ac:dyDescent="0.2">
      <c r="A430" s="175">
        <v>60000</v>
      </c>
    </row>
    <row r="431" spans="1:1" x14ac:dyDescent="0.2">
      <c r="A431" s="175" t="s">
        <v>602</v>
      </c>
    </row>
    <row r="432" spans="1:1" x14ac:dyDescent="0.2">
      <c r="A432" s="175" t="s">
        <v>602</v>
      </c>
    </row>
    <row r="433" spans="1:1" x14ac:dyDescent="0.2">
      <c r="A433" s="175" t="s">
        <v>602</v>
      </c>
    </row>
    <row r="434" spans="1:1" x14ac:dyDescent="0.2">
      <c r="A434" s="175" t="s">
        <v>0</v>
      </c>
    </row>
    <row r="435" spans="1:1" x14ac:dyDescent="0.2">
      <c r="A435" s="175">
        <v>3</v>
      </c>
    </row>
    <row r="436" spans="1:1" x14ac:dyDescent="0.2">
      <c r="A436" s="175">
        <v>30000</v>
      </c>
    </row>
    <row r="437" spans="1:1" x14ac:dyDescent="0.2">
      <c r="A437" s="175">
        <v>60000</v>
      </c>
    </row>
    <row r="438" spans="1:1" x14ac:dyDescent="0.2">
      <c r="A438" s="175" t="s">
        <v>602</v>
      </c>
    </row>
    <row r="439" spans="1:1" x14ac:dyDescent="0.2">
      <c r="A439" s="175" t="s">
        <v>602</v>
      </c>
    </row>
    <row r="440" spans="1:1" x14ac:dyDescent="0.2">
      <c r="A440" s="175" t="s">
        <v>602</v>
      </c>
    </row>
    <row r="441" spans="1:1" x14ac:dyDescent="0.2">
      <c r="A441" s="175" t="s">
        <v>0</v>
      </c>
    </row>
    <row r="442" spans="1:1" x14ac:dyDescent="0.2">
      <c r="A442" s="175">
        <v>4</v>
      </c>
    </row>
    <row r="443" spans="1:1" x14ac:dyDescent="0.2">
      <c r="A443" s="175">
        <v>30000</v>
      </c>
    </row>
    <row r="444" spans="1:1" x14ac:dyDescent="0.2">
      <c r="A444" s="175">
        <v>60000</v>
      </c>
    </row>
    <row r="445" spans="1:1" x14ac:dyDescent="0.2">
      <c r="A445" s="175" t="s">
        <v>602</v>
      </c>
    </row>
    <row r="446" spans="1:1" x14ac:dyDescent="0.2">
      <c r="A446" s="175" t="s">
        <v>602</v>
      </c>
    </row>
    <row r="447" spans="1:1" x14ac:dyDescent="0.2">
      <c r="A447" s="175" t="s">
        <v>602</v>
      </c>
    </row>
    <row r="448" spans="1:1" x14ac:dyDescent="0.2">
      <c r="A448" s="175" t="s">
        <v>0</v>
      </c>
    </row>
    <row r="449" spans="1:1" x14ac:dyDescent="0.2">
      <c r="A449" s="175">
        <v>5</v>
      </c>
    </row>
    <row r="450" spans="1:1" x14ac:dyDescent="0.2">
      <c r="A450" s="175">
        <v>30000</v>
      </c>
    </row>
    <row r="451" spans="1:1" x14ac:dyDescent="0.2">
      <c r="A451" s="175">
        <v>60000</v>
      </c>
    </row>
    <row r="452" spans="1:1" x14ac:dyDescent="0.2">
      <c r="A452" s="175" t="s">
        <v>602</v>
      </c>
    </row>
    <row r="453" spans="1:1" x14ac:dyDescent="0.2">
      <c r="A453" s="175" t="s">
        <v>602</v>
      </c>
    </row>
    <row r="454" spans="1:1" x14ac:dyDescent="0.2">
      <c r="A454" s="175" t="s">
        <v>602</v>
      </c>
    </row>
    <row r="455" spans="1:1" x14ac:dyDescent="0.2">
      <c r="A455" s="175" t="s">
        <v>0</v>
      </c>
    </row>
    <row r="456" spans="1:1" x14ac:dyDescent="0.2">
      <c r="A456" s="175">
        <v>6</v>
      </c>
    </row>
    <row r="457" spans="1:1" x14ac:dyDescent="0.2">
      <c r="A457" s="175">
        <v>30000</v>
      </c>
    </row>
    <row r="458" spans="1:1" x14ac:dyDescent="0.2">
      <c r="A458" s="175">
        <v>60000</v>
      </c>
    </row>
    <row r="459" spans="1:1" x14ac:dyDescent="0.2">
      <c r="A459" s="175" t="s">
        <v>602</v>
      </c>
    </row>
    <row r="460" spans="1:1" x14ac:dyDescent="0.2">
      <c r="A460" s="175" t="s">
        <v>602</v>
      </c>
    </row>
    <row r="461" spans="1:1" x14ac:dyDescent="0.2">
      <c r="A461" s="175" t="s">
        <v>602</v>
      </c>
    </row>
    <row r="462" spans="1:1" x14ac:dyDescent="0.2">
      <c r="A462" s="175" t="s">
        <v>0</v>
      </c>
    </row>
    <row r="463" spans="1:1" x14ac:dyDescent="0.2">
      <c r="A463" s="175">
        <v>7</v>
      </c>
    </row>
    <row r="464" spans="1:1" x14ac:dyDescent="0.2">
      <c r="A464" s="175">
        <v>30000</v>
      </c>
    </row>
    <row r="465" spans="1:1" x14ac:dyDescent="0.2">
      <c r="A465" s="175">
        <v>60000</v>
      </c>
    </row>
    <row r="466" spans="1:1" x14ac:dyDescent="0.2">
      <c r="A466" s="175" t="s">
        <v>602</v>
      </c>
    </row>
    <row r="467" spans="1:1" x14ac:dyDescent="0.2">
      <c r="A467" s="175" t="s">
        <v>602</v>
      </c>
    </row>
    <row r="468" spans="1:1" x14ac:dyDescent="0.2">
      <c r="A468" s="175" t="s">
        <v>602</v>
      </c>
    </row>
    <row r="469" spans="1:1" x14ac:dyDescent="0.2">
      <c r="A469" s="175" t="s">
        <v>0</v>
      </c>
    </row>
    <row r="470" spans="1:1" x14ac:dyDescent="0.2">
      <c r="A470" s="175">
        <v>8</v>
      </c>
    </row>
    <row r="471" spans="1:1" x14ac:dyDescent="0.2">
      <c r="A471" s="175">
        <v>30000</v>
      </c>
    </row>
    <row r="472" spans="1:1" x14ac:dyDescent="0.2">
      <c r="A472" s="175">
        <v>60000</v>
      </c>
    </row>
    <row r="473" spans="1:1" x14ac:dyDescent="0.2">
      <c r="A473" s="175" t="s">
        <v>602</v>
      </c>
    </row>
    <row r="474" spans="1:1" x14ac:dyDescent="0.2">
      <c r="A474" s="175" t="s">
        <v>602</v>
      </c>
    </row>
    <row r="475" spans="1:1" x14ac:dyDescent="0.2">
      <c r="A475" s="175" t="s">
        <v>602</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6153</v>
      </c>
    </row>
    <row r="505" spans="1:1" x14ac:dyDescent="0.2">
      <c r="A505" s="175">
        <v>4199</v>
      </c>
    </row>
    <row r="506" spans="1:1" x14ac:dyDescent="0.2">
      <c r="A506" s="175">
        <v>4310</v>
      </c>
    </row>
    <row r="507" spans="1:1" x14ac:dyDescent="0.2">
      <c r="A507" s="175">
        <v>83</v>
      </c>
    </row>
    <row r="508" spans="1:1" x14ac:dyDescent="0.2">
      <c r="A508" s="175">
        <v>43</v>
      </c>
    </row>
    <row r="509" spans="1:1" x14ac:dyDescent="0.2">
      <c r="A509" s="175">
        <v>1715</v>
      </c>
    </row>
    <row r="510" spans="1:1" x14ac:dyDescent="0.2">
      <c r="A510" s="175">
        <v>1531</v>
      </c>
    </row>
    <row r="511" spans="1:1" x14ac:dyDescent="0.2">
      <c r="A511" s="175">
        <v>82</v>
      </c>
    </row>
    <row r="512" spans="1:1" x14ac:dyDescent="0.2">
      <c r="A512" s="175">
        <v>999</v>
      </c>
    </row>
    <row r="513" spans="1:1" x14ac:dyDescent="0.2">
      <c r="A513" s="175">
        <v>999</v>
      </c>
    </row>
    <row r="514" spans="1:1" x14ac:dyDescent="0.2">
      <c r="A514" s="175">
        <v>65055</v>
      </c>
    </row>
    <row r="515" spans="1:1" x14ac:dyDescent="0.2">
      <c r="A515" s="175">
        <v>79336</v>
      </c>
    </row>
    <row r="516" spans="1:1" x14ac:dyDescent="0.2">
      <c r="A516" s="175">
        <v>75369</v>
      </c>
    </row>
    <row r="517" spans="1:1" x14ac:dyDescent="0.2">
      <c r="A517" s="175">
        <v>71403</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9597</v>
      </c>
    </row>
    <row r="523" spans="1:1" x14ac:dyDescent="0.2">
      <c r="A523" s="175">
        <v>3838800</v>
      </c>
    </row>
    <row r="524" spans="1:1" x14ac:dyDescent="0.2">
      <c r="A524" s="175">
        <v>0</v>
      </c>
    </row>
    <row r="525" spans="1:1" x14ac:dyDescent="0.2">
      <c r="A525" s="175">
        <v>3838800</v>
      </c>
    </row>
    <row r="526" spans="1:1" x14ac:dyDescent="0.2">
      <c r="A526" s="175">
        <v>285</v>
      </c>
    </row>
    <row r="527" spans="1:1" x14ac:dyDescent="0.2">
      <c r="A527" s="175">
        <v>0</v>
      </c>
    </row>
    <row r="528" spans="1:1" x14ac:dyDescent="0.2">
      <c r="A528" s="175">
        <v>0</v>
      </c>
    </row>
    <row r="529" spans="1:1" x14ac:dyDescent="0.2">
      <c r="A529" s="175">
        <v>450</v>
      </c>
    </row>
    <row r="530" spans="1:1" x14ac:dyDescent="0.2">
      <c r="A530" s="175">
        <v>0</v>
      </c>
    </row>
    <row r="531" spans="1:1" x14ac:dyDescent="0.2">
      <c r="A531" s="175">
        <v>0</v>
      </c>
    </row>
    <row r="532" spans="1:1" x14ac:dyDescent="0.2">
      <c r="A532" s="175">
        <v>680</v>
      </c>
    </row>
    <row r="533" spans="1:1" x14ac:dyDescent="0.2">
      <c r="A533" s="175">
        <v>0</v>
      </c>
    </row>
    <row r="534" spans="1:1" x14ac:dyDescent="0.2">
      <c r="A534" s="175">
        <v>0</v>
      </c>
    </row>
    <row r="535" spans="1:1" x14ac:dyDescent="0.2">
      <c r="A535" s="175">
        <v>27</v>
      </c>
    </row>
    <row r="536" spans="1:1" x14ac:dyDescent="0.2">
      <c r="A536" s="175">
        <v>1000</v>
      </c>
    </row>
    <row r="537" spans="1:1" x14ac:dyDescent="0.2">
      <c r="A537" s="175">
        <v>2</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9597</v>
      </c>
    </row>
    <row r="543" spans="1:1" x14ac:dyDescent="0.2">
      <c r="A543" s="175">
        <v>3838800</v>
      </c>
    </row>
    <row r="544" spans="1:1" x14ac:dyDescent="0.2">
      <c r="A544" s="175">
        <v>0</v>
      </c>
    </row>
    <row r="545" spans="1:1" x14ac:dyDescent="0.2">
      <c r="A545" s="175">
        <v>3838800</v>
      </c>
    </row>
    <row r="546" spans="1:1" x14ac:dyDescent="0.2">
      <c r="A546" s="175">
        <v>285</v>
      </c>
    </row>
    <row r="547" spans="1:1" x14ac:dyDescent="0.2">
      <c r="A547" s="175">
        <v>0</v>
      </c>
    </row>
    <row r="548" spans="1:1" x14ac:dyDescent="0.2">
      <c r="A548" s="175">
        <v>0</v>
      </c>
    </row>
    <row r="549" spans="1:1" x14ac:dyDescent="0.2">
      <c r="A549" s="175">
        <v>450</v>
      </c>
    </row>
    <row r="550" spans="1:1" x14ac:dyDescent="0.2">
      <c r="A550" s="175">
        <v>0</v>
      </c>
    </row>
    <row r="551" spans="1:1" x14ac:dyDescent="0.2">
      <c r="A551" s="175">
        <v>0</v>
      </c>
    </row>
    <row r="552" spans="1:1" x14ac:dyDescent="0.2">
      <c r="A552" s="175">
        <v>680</v>
      </c>
    </row>
    <row r="553" spans="1:1" x14ac:dyDescent="0.2">
      <c r="A553" s="175">
        <v>0</v>
      </c>
    </row>
    <row r="554" spans="1:1" x14ac:dyDescent="0.2">
      <c r="A554" s="175">
        <v>0</v>
      </c>
    </row>
    <row r="555" spans="1:1" x14ac:dyDescent="0.2">
      <c r="A555" s="175">
        <v>27</v>
      </c>
    </row>
    <row r="556" spans="1:1" x14ac:dyDescent="0.2">
      <c r="A556" s="175">
        <v>1000</v>
      </c>
    </row>
    <row r="557" spans="1:1" x14ac:dyDescent="0.2">
      <c r="A557" s="175">
        <v>2</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9597</v>
      </c>
    </row>
    <row r="563" spans="1:1" x14ac:dyDescent="0.2">
      <c r="A563" s="175">
        <v>3838800</v>
      </c>
    </row>
    <row r="564" spans="1:1" x14ac:dyDescent="0.2">
      <c r="A564" s="175">
        <v>0</v>
      </c>
    </row>
    <row r="565" spans="1:1" x14ac:dyDescent="0.2">
      <c r="A565" s="175">
        <v>3838800</v>
      </c>
    </row>
    <row r="566" spans="1:1" x14ac:dyDescent="0.2">
      <c r="A566" s="175">
        <v>285</v>
      </c>
    </row>
    <row r="567" spans="1:1" x14ac:dyDescent="0.2">
      <c r="A567" s="175">
        <v>0</v>
      </c>
    </row>
    <row r="568" spans="1:1" x14ac:dyDescent="0.2">
      <c r="A568" s="175">
        <v>0</v>
      </c>
    </row>
    <row r="569" spans="1:1" x14ac:dyDescent="0.2">
      <c r="A569" s="175">
        <v>450</v>
      </c>
    </row>
    <row r="570" spans="1:1" x14ac:dyDescent="0.2">
      <c r="A570" s="175">
        <v>0</v>
      </c>
    </row>
    <row r="571" spans="1:1" x14ac:dyDescent="0.2">
      <c r="A571" s="175">
        <v>0</v>
      </c>
    </row>
    <row r="572" spans="1:1" x14ac:dyDescent="0.2">
      <c r="A572" s="175">
        <v>680</v>
      </c>
    </row>
    <row r="573" spans="1:1" x14ac:dyDescent="0.2">
      <c r="A573" s="175">
        <v>0</v>
      </c>
    </row>
    <row r="574" spans="1:1" x14ac:dyDescent="0.2">
      <c r="A574" s="175">
        <v>0</v>
      </c>
    </row>
    <row r="575" spans="1:1" x14ac:dyDescent="0.2">
      <c r="A575" s="175">
        <v>27</v>
      </c>
    </row>
    <row r="576" spans="1:1" x14ac:dyDescent="0.2">
      <c r="A576" s="175">
        <v>1000</v>
      </c>
    </row>
    <row r="577" spans="1:1" x14ac:dyDescent="0.2">
      <c r="A577" s="175">
        <v>2</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9597</v>
      </c>
    </row>
    <row r="583" spans="1:1" x14ac:dyDescent="0.2">
      <c r="A583" s="175">
        <v>3838800</v>
      </c>
    </row>
    <row r="584" spans="1:1" x14ac:dyDescent="0.2">
      <c r="A584" s="175">
        <v>0</v>
      </c>
    </row>
    <row r="585" spans="1:1" x14ac:dyDescent="0.2">
      <c r="A585" s="175">
        <v>3838800</v>
      </c>
    </row>
    <row r="586" spans="1:1" x14ac:dyDescent="0.2">
      <c r="A586" s="175">
        <v>285</v>
      </c>
    </row>
    <row r="587" spans="1:1" x14ac:dyDescent="0.2">
      <c r="A587" s="175">
        <v>0</v>
      </c>
    </row>
    <row r="588" spans="1:1" x14ac:dyDescent="0.2">
      <c r="A588" s="175">
        <v>0</v>
      </c>
    </row>
    <row r="589" spans="1:1" x14ac:dyDescent="0.2">
      <c r="A589" s="175">
        <v>450</v>
      </c>
    </row>
    <row r="590" spans="1:1" x14ac:dyDescent="0.2">
      <c r="A590" s="175">
        <v>0</v>
      </c>
    </row>
    <row r="591" spans="1:1" x14ac:dyDescent="0.2">
      <c r="A591" s="175">
        <v>0</v>
      </c>
    </row>
    <row r="592" spans="1:1" x14ac:dyDescent="0.2">
      <c r="A592" s="175">
        <v>680</v>
      </c>
    </row>
    <row r="593" spans="1:1" x14ac:dyDescent="0.2">
      <c r="A593" s="175">
        <v>0</v>
      </c>
    </row>
    <row r="594" spans="1:1" x14ac:dyDescent="0.2">
      <c r="A594" s="175">
        <v>0</v>
      </c>
    </row>
    <row r="595" spans="1:1" x14ac:dyDescent="0.2">
      <c r="A595" s="175">
        <v>27</v>
      </c>
    </row>
    <row r="596" spans="1:1" x14ac:dyDescent="0.2">
      <c r="A596" s="175">
        <v>1000</v>
      </c>
    </row>
    <row r="597" spans="1:1" x14ac:dyDescent="0.2">
      <c r="A597" s="175">
        <v>2</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9597</v>
      </c>
    </row>
    <row r="603" spans="1:1" x14ac:dyDescent="0.2">
      <c r="A603" s="175">
        <v>3838800</v>
      </c>
    </row>
    <row r="604" spans="1:1" x14ac:dyDescent="0.2">
      <c r="A604" s="175">
        <v>0</v>
      </c>
    </row>
    <row r="605" spans="1:1" x14ac:dyDescent="0.2">
      <c r="A605" s="175">
        <v>3838800</v>
      </c>
    </row>
    <row r="606" spans="1:1" x14ac:dyDescent="0.2">
      <c r="A606" s="175">
        <v>285</v>
      </c>
    </row>
    <row r="607" spans="1:1" x14ac:dyDescent="0.2">
      <c r="A607" s="175">
        <v>0</v>
      </c>
    </row>
    <row r="608" spans="1:1" x14ac:dyDescent="0.2">
      <c r="A608" s="175">
        <v>0</v>
      </c>
    </row>
    <row r="609" spans="1:1" x14ac:dyDescent="0.2">
      <c r="A609" s="175">
        <v>450</v>
      </c>
    </row>
    <row r="610" spans="1:1" x14ac:dyDescent="0.2">
      <c r="A610" s="175">
        <v>0</v>
      </c>
    </row>
    <row r="611" spans="1:1" x14ac:dyDescent="0.2">
      <c r="A611" s="175">
        <v>0</v>
      </c>
    </row>
    <row r="612" spans="1:1" x14ac:dyDescent="0.2">
      <c r="A612" s="175">
        <v>680</v>
      </c>
    </row>
    <row r="613" spans="1:1" x14ac:dyDescent="0.2">
      <c r="A613" s="175">
        <v>0</v>
      </c>
    </row>
    <row r="614" spans="1:1" x14ac:dyDescent="0.2">
      <c r="A614" s="175">
        <v>0</v>
      </c>
    </row>
    <row r="615" spans="1:1" x14ac:dyDescent="0.2">
      <c r="A615" s="175">
        <v>27</v>
      </c>
    </row>
    <row r="616" spans="1:1" x14ac:dyDescent="0.2">
      <c r="A616" s="175">
        <v>1000</v>
      </c>
    </row>
    <row r="617" spans="1:1" x14ac:dyDescent="0.2">
      <c r="A617" s="175">
        <v>2</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9597</v>
      </c>
    </row>
    <row r="623" spans="1:1" x14ac:dyDescent="0.2">
      <c r="A623" s="175">
        <v>3838800</v>
      </c>
    </row>
    <row r="624" spans="1:1" x14ac:dyDescent="0.2">
      <c r="A624" s="175">
        <v>0</v>
      </c>
    </row>
    <row r="625" spans="1:1" x14ac:dyDescent="0.2">
      <c r="A625" s="175">
        <v>3838800</v>
      </c>
    </row>
    <row r="626" spans="1:1" x14ac:dyDescent="0.2">
      <c r="A626" s="175">
        <v>285</v>
      </c>
    </row>
    <row r="627" spans="1:1" x14ac:dyDescent="0.2">
      <c r="A627" s="175">
        <v>0</v>
      </c>
    </row>
    <row r="628" spans="1:1" x14ac:dyDescent="0.2">
      <c r="A628" s="175">
        <v>0</v>
      </c>
    </row>
    <row r="629" spans="1:1" x14ac:dyDescent="0.2">
      <c r="A629" s="175">
        <v>450</v>
      </c>
    </row>
    <row r="630" spans="1:1" x14ac:dyDescent="0.2">
      <c r="A630" s="175">
        <v>0</v>
      </c>
    </row>
    <row r="631" spans="1:1" x14ac:dyDescent="0.2">
      <c r="A631" s="175">
        <v>0</v>
      </c>
    </row>
    <row r="632" spans="1:1" x14ac:dyDescent="0.2">
      <c r="A632" s="175">
        <v>680</v>
      </c>
    </row>
    <row r="633" spans="1:1" x14ac:dyDescent="0.2">
      <c r="A633" s="175">
        <v>0</v>
      </c>
    </row>
    <row r="634" spans="1:1" x14ac:dyDescent="0.2">
      <c r="A634" s="175">
        <v>0</v>
      </c>
    </row>
    <row r="635" spans="1:1" x14ac:dyDescent="0.2">
      <c r="A635" s="175">
        <v>27</v>
      </c>
    </row>
    <row r="636" spans="1:1" x14ac:dyDescent="0.2">
      <c r="A636" s="175">
        <v>1000</v>
      </c>
    </row>
    <row r="637" spans="1:1" x14ac:dyDescent="0.2">
      <c r="A637" s="175">
        <v>2</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9597</v>
      </c>
    </row>
    <row r="643" spans="1:1" x14ac:dyDescent="0.2">
      <c r="A643" s="175">
        <v>3838800</v>
      </c>
    </row>
    <row r="644" spans="1:1" x14ac:dyDescent="0.2">
      <c r="A644" s="175">
        <v>0</v>
      </c>
    </row>
    <row r="645" spans="1:1" x14ac:dyDescent="0.2">
      <c r="A645" s="175">
        <v>3838800</v>
      </c>
    </row>
    <row r="646" spans="1:1" x14ac:dyDescent="0.2">
      <c r="A646" s="175">
        <v>285</v>
      </c>
    </row>
    <row r="647" spans="1:1" x14ac:dyDescent="0.2">
      <c r="A647" s="175">
        <v>0</v>
      </c>
    </row>
    <row r="648" spans="1:1" x14ac:dyDescent="0.2">
      <c r="A648" s="175">
        <v>0</v>
      </c>
    </row>
    <row r="649" spans="1:1" x14ac:dyDescent="0.2">
      <c r="A649" s="175">
        <v>450</v>
      </c>
    </row>
    <row r="650" spans="1:1" x14ac:dyDescent="0.2">
      <c r="A650" s="175">
        <v>0</v>
      </c>
    </row>
    <row r="651" spans="1:1" x14ac:dyDescent="0.2">
      <c r="A651" s="175">
        <v>0</v>
      </c>
    </row>
    <row r="652" spans="1:1" x14ac:dyDescent="0.2">
      <c r="A652" s="175">
        <v>680</v>
      </c>
    </row>
    <row r="653" spans="1:1" x14ac:dyDescent="0.2">
      <c r="A653" s="175">
        <v>0</v>
      </c>
    </row>
    <row r="654" spans="1:1" x14ac:dyDescent="0.2">
      <c r="A654" s="175">
        <v>0</v>
      </c>
    </row>
    <row r="655" spans="1:1" x14ac:dyDescent="0.2">
      <c r="A655" s="175">
        <v>27</v>
      </c>
    </row>
    <row r="656" spans="1:1" x14ac:dyDescent="0.2">
      <c r="A656" s="175">
        <v>1000</v>
      </c>
    </row>
    <row r="657" spans="1:1" x14ac:dyDescent="0.2">
      <c r="A657" s="175">
        <v>2</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9597</v>
      </c>
    </row>
    <row r="663" spans="1:1" x14ac:dyDescent="0.2">
      <c r="A663" s="175">
        <v>3838800</v>
      </c>
    </row>
    <row r="664" spans="1:1" x14ac:dyDescent="0.2">
      <c r="A664" s="175">
        <v>0</v>
      </c>
    </row>
    <row r="665" spans="1:1" x14ac:dyDescent="0.2">
      <c r="A665" s="175">
        <v>3838800</v>
      </c>
    </row>
    <row r="666" spans="1:1" x14ac:dyDescent="0.2">
      <c r="A666" s="175">
        <v>285</v>
      </c>
    </row>
    <row r="667" spans="1:1" x14ac:dyDescent="0.2">
      <c r="A667" s="175">
        <v>0</v>
      </c>
    </row>
    <row r="668" spans="1:1" x14ac:dyDescent="0.2">
      <c r="A668" s="175">
        <v>0</v>
      </c>
    </row>
    <row r="669" spans="1:1" x14ac:dyDescent="0.2">
      <c r="A669" s="175">
        <v>450</v>
      </c>
    </row>
    <row r="670" spans="1:1" x14ac:dyDescent="0.2">
      <c r="A670" s="175">
        <v>0</v>
      </c>
    </row>
    <row r="671" spans="1:1" x14ac:dyDescent="0.2">
      <c r="A671" s="175">
        <v>0</v>
      </c>
    </row>
    <row r="672" spans="1:1" x14ac:dyDescent="0.2">
      <c r="A672" s="175">
        <v>680</v>
      </c>
    </row>
    <row r="673" spans="1:1" x14ac:dyDescent="0.2">
      <c r="A673" s="175">
        <v>0</v>
      </c>
    </row>
    <row r="674" spans="1:1" x14ac:dyDescent="0.2">
      <c r="A674" s="175">
        <v>0</v>
      </c>
    </row>
    <row r="675" spans="1:1" x14ac:dyDescent="0.2">
      <c r="A675" s="175">
        <v>27</v>
      </c>
    </row>
    <row r="676" spans="1:1" x14ac:dyDescent="0.2">
      <c r="A676" s="175">
        <v>1000</v>
      </c>
    </row>
    <row r="677" spans="1:1" x14ac:dyDescent="0.2">
      <c r="A677" s="175">
        <v>2</v>
      </c>
    </row>
    <row r="678" spans="1:1" x14ac:dyDescent="0.2">
      <c r="A678" s="175">
        <v>999</v>
      </c>
    </row>
    <row r="679" spans="1:1" x14ac:dyDescent="0.2">
      <c r="A679" s="175">
        <v>999</v>
      </c>
    </row>
    <row r="680" spans="1:1" x14ac:dyDescent="0.2">
      <c r="A680" s="175">
        <v>999</v>
      </c>
    </row>
    <row r="681" spans="1:1" x14ac:dyDescent="0.2">
      <c r="A681" s="175" t="s">
        <v>685</v>
      </c>
    </row>
    <row r="682" spans="1:1" x14ac:dyDescent="0.2">
      <c r="A682" s="175" t="s">
        <v>686</v>
      </c>
    </row>
    <row r="683" spans="1:1" x14ac:dyDescent="0.2">
      <c r="A683" s="175" t="s">
        <v>687</v>
      </c>
    </row>
    <row r="684" spans="1:1" x14ac:dyDescent="0.2">
      <c r="A684" s="175" t="s">
        <v>688</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1455376</v>
      </c>
    </row>
    <row r="703" spans="1:1" x14ac:dyDescent="0.2">
      <c r="A703" s="175">
        <v>186034</v>
      </c>
    </row>
    <row r="704" spans="1:1" x14ac:dyDescent="0.2">
      <c r="A704" s="175">
        <v>301565</v>
      </c>
    </row>
    <row r="705" spans="1:1" x14ac:dyDescent="0.2">
      <c r="A705" s="175">
        <v>1900000</v>
      </c>
    </row>
    <row r="706" spans="1:1" x14ac:dyDescent="0.2">
      <c r="A706" s="175">
        <v>999</v>
      </c>
    </row>
    <row r="707" spans="1:1" x14ac:dyDescent="0.2">
      <c r="A707" s="175">
        <v>999</v>
      </c>
    </row>
    <row r="708" spans="1:1" x14ac:dyDescent="0.2">
      <c r="A708" s="175">
        <v>0</v>
      </c>
    </row>
    <row r="709" spans="1:1" x14ac:dyDescent="0.2">
      <c r="A709" s="175">
        <v>118538</v>
      </c>
    </row>
    <row r="710" spans="1:1" x14ac:dyDescent="0.2">
      <c r="A710" s="175">
        <v>92603</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-368166</v>
      </c>
    </row>
    <row r="717" spans="1:1" x14ac:dyDescent="0.2">
      <c r="A717" s="175">
        <v>3631834</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1455376</v>
      </c>
    </row>
    <row r="723" spans="1:1" x14ac:dyDescent="0.2">
      <c r="A723" s="175">
        <v>186034</v>
      </c>
    </row>
    <row r="724" spans="1:1" x14ac:dyDescent="0.2">
      <c r="A724" s="175">
        <v>301565</v>
      </c>
    </row>
    <row r="725" spans="1:1" x14ac:dyDescent="0.2">
      <c r="A725" s="175">
        <v>1900000</v>
      </c>
    </row>
    <row r="726" spans="1:1" x14ac:dyDescent="0.2">
      <c r="A726" s="175">
        <v>999</v>
      </c>
    </row>
    <row r="727" spans="1:1" x14ac:dyDescent="0.2">
      <c r="A727" s="175">
        <v>999</v>
      </c>
    </row>
    <row r="728" spans="1:1" x14ac:dyDescent="0.2">
      <c r="A728" s="175">
        <v>0</v>
      </c>
    </row>
    <row r="729" spans="1:1" x14ac:dyDescent="0.2">
      <c r="A729" s="175">
        <v>118538</v>
      </c>
    </row>
    <row r="730" spans="1:1" x14ac:dyDescent="0.2">
      <c r="A730" s="175">
        <v>92603</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-368166</v>
      </c>
    </row>
    <row r="737" spans="1:1" x14ac:dyDescent="0.2">
      <c r="A737" s="175">
        <v>3631834</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1455376</v>
      </c>
    </row>
    <row r="743" spans="1:1" x14ac:dyDescent="0.2">
      <c r="A743" s="175">
        <v>186034</v>
      </c>
    </row>
    <row r="744" spans="1:1" x14ac:dyDescent="0.2">
      <c r="A744" s="175">
        <v>301565</v>
      </c>
    </row>
    <row r="745" spans="1:1" x14ac:dyDescent="0.2">
      <c r="A745" s="175">
        <v>1900000</v>
      </c>
    </row>
    <row r="746" spans="1:1" x14ac:dyDescent="0.2">
      <c r="A746" s="175">
        <v>999</v>
      </c>
    </row>
    <row r="747" spans="1:1" x14ac:dyDescent="0.2">
      <c r="A747" s="175">
        <v>999</v>
      </c>
    </row>
    <row r="748" spans="1:1" x14ac:dyDescent="0.2">
      <c r="A748" s="175">
        <v>0</v>
      </c>
    </row>
    <row r="749" spans="1:1" x14ac:dyDescent="0.2">
      <c r="A749" s="175">
        <v>118538</v>
      </c>
    </row>
    <row r="750" spans="1:1" x14ac:dyDescent="0.2">
      <c r="A750" s="175">
        <v>92603</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-368166</v>
      </c>
    </row>
    <row r="757" spans="1:1" x14ac:dyDescent="0.2">
      <c r="A757" s="175">
        <v>3631834</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1455376</v>
      </c>
    </row>
    <row r="763" spans="1:1" x14ac:dyDescent="0.2">
      <c r="A763" s="175">
        <v>186034</v>
      </c>
    </row>
    <row r="764" spans="1:1" x14ac:dyDescent="0.2">
      <c r="A764" s="175">
        <v>301565</v>
      </c>
    </row>
    <row r="765" spans="1:1" x14ac:dyDescent="0.2">
      <c r="A765" s="175">
        <v>1900000</v>
      </c>
    </row>
    <row r="766" spans="1:1" x14ac:dyDescent="0.2">
      <c r="A766" s="175">
        <v>999</v>
      </c>
    </row>
    <row r="767" spans="1:1" x14ac:dyDescent="0.2">
      <c r="A767" s="175">
        <v>999</v>
      </c>
    </row>
    <row r="768" spans="1:1" x14ac:dyDescent="0.2">
      <c r="A768" s="175">
        <v>0</v>
      </c>
    </row>
    <row r="769" spans="1:1" x14ac:dyDescent="0.2">
      <c r="A769" s="175">
        <v>118538</v>
      </c>
    </row>
    <row r="770" spans="1:1" x14ac:dyDescent="0.2">
      <c r="A770" s="175">
        <v>92603</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-368166</v>
      </c>
    </row>
    <row r="777" spans="1:1" x14ac:dyDescent="0.2">
      <c r="A777" s="175">
        <v>3631834</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1455376</v>
      </c>
    </row>
    <row r="783" spans="1:1" x14ac:dyDescent="0.2">
      <c r="A783" s="175">
        <v>186034</v>
      </c>
    </row>
    <row r="784" spans="1:1" x14ac:dyDescent="0.2">
      <c r="A784" s="175">
        <v>301565</v>
      </c>
    </row>
    <row r="785" spans="1:1" x14ac:dyDescent="0.2">
      <c r="A785" s="175">
        <v>1900000</v>
      </c>
    </row>
    <row r="786" spans="1:1" x14ac:dyDescent="0.2">
      <c r="A786" s="175">
        <v>999</v>
      </c>
    </row>
    <row r="787" spans="1:1" x14ac:dyDescent="0.2">
      <c r="A787" s="175">
        <v>999</v>
      </c>
    </row>
    <row r="788" spans="1:1" x14ac:dyDescent="0.2">
      <c r="A788" s="175">
        <v>0</v>
      </c>
    </row>
    <row r="789" spans="1:1" x14ac:dyDescent="0.2">
      <c r="A789" s="175">
        <v>118538</v>
      </c>
    </row>
    <row r="790" spans="1:1" x14ac:dyDescent="0.2">
      <c r="A790" s="175">
        <v>92603</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-368166</v>
      </c>
    </row>
    <row r="797" spans="1:1" x14ac:dyDescent="0.2">
      <c r="A797" s="175">
        <v>3631834</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1455376</v>
      </c>
    </row>
    <row r="803" spans="1:1" x14ac:dyDescent="0.2">
      <c r="A803" s="175">
        <v>186034</v>
      </c>
    </row>
    <row r="804" spans="1:1" x14ac:dyDescent="0.2">
      <c r="A804" s="175">
        <v>301565</v>
      </c>
    </row>
    <row r="805" spans="1:1" x14ac:dyDescent="0.2">
      <c r="A805" s="175">
        <v>1900000</v>
      </c>
    </row>
    <row r="806" spans="1:1" x14ac:dyDescent="0.2">
      <c r="A806" s="175">
        <v>999</v>
      </c>
    </row>
    <row r="807" spans="1:1" x14ac:dyDescent="0.2">
      <c r="A807" s="175">
        <v>999</v>
      </c>
    </row>
    <row r="808" spans="1:1" x14ac:dyDescent="0.2">
      <c r="A808" s="175">
        <v>0</v>
      </c>
    </row>
    <row r="809" spans="1:1" x14ac:dyDescent="0.2">
      <c r="A809" s="175">
        <v>118538</v>
      </c>
    </row>
    <row r="810" spans="1:1" x14ac:dyDescent="0.2">
      <c r="A810" s="175">
        <v>92603</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-368166</v>
      </c>
    </row>
    <row r="817" spans="1:1" x14ac:dyDescent="0.2">
      <c r="A817" s="175">
        <v>3631834</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1455376</v>
      </c>
    </row>
    <row r="823" spans="1:1" x14ac:dyDescent="0.2">
      <c r="A823" s="175">
        <v>186034</v>
      </c>
    </row>
    <row r="824" spans="1:1" x14ac:dyDescent="0.2">
      <c r="A824" s="175">
        <v>301565</v>
      </c>
    </row>
    <row r="825" spans="1:1" x14ac:dyDescent="0.2">
      <c r="A825" s="175">
        <v>1900000</v>
      </c>
    </row>
    <row r="826" spans="1:1" x14ac:dyDescent="0.2">
      <c r="A826" s="175">
        <v>999</v>
      </c>
    </row>
    <row r="827" spans="1:1" x14ac:dyDescent="0.2">
      <c r="A827" s="175">
        <v>999</v>
      </c>
    </row>
    <row r="828" spans="1:1" x14ac:dyDescent="0.2">
      <c r="A828" s="175">
        <v>0</v>
      </c>
    </row>
    <row r="829" spans="1:1" x14ac:dyDescent="0.2">
      <c r="A829" s="175">
        <v>118538</v>
      </c>
    </row>
    <row r="830" spans="1:1" x14ac:dyDescent="0.2">
      <c r="A830" s="175">
        <v>92603</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-368166</v>
      </c>
    </row>
    <row r="837" spans="1:1" x14ac:dyDescent="0.2">
      <c r="A837" s="175">
        <v>3631834</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1455376</v>
      </c>
    </row>
    <row r="843" spans="1:1" x14ac:dyDescent="0.2">
      <c r="A843" s="175">
        <v>186034</v>
      </c>
    </row>
    <row r="844" spans="1:1" x14ac:dyDescent="0.2">
      <c r="A844" s="175">
        <v>301565</v>
      </c>
    </row>
    <row r="845" spans="1:1" x14ac:dyDescent="0.2">
      <c r="A845" s="175">
        <v>1900000</v>
      </c>
    </row>
    <row r="846" spans="1:1" x14ac:dyDescent="0.2">
      <c r="A846" s="175">
        <v>999</v>
      </c>
    </row>
    <row r="847" spans="1:1" x14ac:dyDescent="0.2">
      <c r="A847" s="175">
        <v>999</v>
      </c>
    </row>
    <row r="848" spans="1:1" x14ac:dyDescent="0.2">
      <c r="A848" s="175">
        <v>0</v>
      </c>
    </row>
    <row r="849" spans="1:1" x14ac:dyDescent="0.2">
      <c r="A849" s="175">
        <v>118538</v>
      </c>
    </row>
    <row r="850" spans="1:1" x14ac:dyDescent="0.2">
      <c r="A850" s="175">
        <v>92603</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-368166</v>
      </c>
    </row>
    <row r="857" spans="1:1" x14ac:dyDescent="0.2">
      <c r="A857" s="175">
        <v>3631834</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tabColor theme="8" tint="0.39997558519241921"/>
  </sheetPr>
  <dimension ref="B1:Y55"/>
  <sheetViews>
    <sheetView showGridLines="0" workbookViewId="0">
      <selection activeCell="M16" sqref="M16"/>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LEFT(TRIM('35'!A699),4)</f>
        <v xml:space="preserve">032 </v>
      </c>
      <c r="W1" t="str">
        <f>RIGHT(TRIM('35'!A699),10)</f>
        <v>17/06/2016</v>
      </c>
    </row>
    <row r="2" spans="2:25" ht="33" x14ac:dyDescent="0.6">
      <c r="G2" s="157" t="s">
        <v>82</v>
      </c>
      <c r="H2" s="156"/>
    </row>
    <row r="3" spans="2:25" x14ac:dyDescent="0.25">
      <c r="B3" t="str">
        <f>'35'!A861</f>
        <v xml:space="preserve"> This is a history quarter</v>
      </c>
      <c r="C3" s="506"/>
      <c r="V3" s="158" t="s">
        <v>83</v>
      </c>
      <c r="W3" s="159" t="str">
        <f>'35'!A6</f>
        <v xml:space="preserve">  17C1</v>
      </c>
    </row>
    <row r="4" spans="2:25" x14ac:dyDescent="0.25">
      <c r="B4">
        <f>'35'!A862</f>
        <v>0</v>
      </c>
      <c r="C4" s="506"/>
    </row>
    <row r="5" spans="2:25" ht="17.399999999999999" x14ac:dyDescent="0.3">
      <c r="B5">
        <f>'35'!A863</f>
        <v>0</v>
      </c>
      <c r="H5" s="160" t="s">
        <v>85</v>
      </c>
      <c r="J5" s="161"/>
      <c r="K5" s="161"/>
      <c r="L5" s="161">
        <f>'35'!$A2</f>
        <v>1</v>
      </c>
      <c r="M5" s="160" t="s">
        <v>84</v>
      </c>
      <c r="N5" s="160"/>
      <c r="O5" s="162">
        <f>'35'!$A1</f>
        <v>1</v>
      </c>
      <c r="P5" s="161"/>
      <c r="Q5" s="161"/>
      <c r="S5" s="163"/>
      <c r="T5" s="164"/>
      <c r="U5" s="163"/>
      <c r="V5" s="163"/>
    </row>
    <row r="6" spans="2:25" x14ac:dyDescent="0.25">
      <c r="B6">
        <f>'35'!A864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'35'!$A4</f>
        <v>2016</v>
      </c>
      <c r="Q9" s="164"/>
      <c r="R9" s="171" t="s">
        <v>80</v>
      </c>
      <c r="S9" s="172">
        <f>'35'!$A5</f>
        <v>4</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'35'!A7</f>
        <v>10</v>
      </c>
      <c r="F14" s="196">
        <f>'35'!A11</f>
        <v>5</v>
      </c>
      <c r="G14" s="197"/>
      <c r="H14" s="196">
        <f>'35'!A14</f>
        <v>5</v>
      </c>
      <c r="I14" s="198"/>
      <c r="J14" s="196">
        <f>'35'!A17</f>
        <v>10</v>
      </c>
      <c r="K14" s="198"/>
      <c r="L14" s="40"/>
      <c r="M14" s="182"/>
      <c r="N14" s="182" t="s">
        <v>36</v>
      </c>
      <c r="O14" s="182"/>
      <c r="P14" s="201">
        <f>'35'!A61</f>
        <v>3</v>
      </c>
      <c r="Q14" s="200">
        <f>'35'!B61</f>
        <v>0</v>
      </c>
      <c r="R14" s="190"/>
      <c r="S14" s="175"/>
      <c r="T14" s="201">
        <f>'35'!A62</f>
        <v>10</v>
      </c>
      <c r="U14" s="200">
        <f>'35'!B62</f>
        <v>0</v>
      </c>
      <c r="V14" s="175"/>
      <c r="W14" s="201">
        <f>'35'!A63</f>
        <v>7</v>
      </c>
      <c r="X14" s="202"/>
      <c r="Y14" s="179"/>
    </row>
    <row r="15" spans="2:25" x14ac:dyDescent="0.25">
      <c r="B15" s="168"/>
      <c r="C15" s="40"/>
      <c r="D15" s="40" t="s">
        <v>5</v>
      </c>
      <c r="E15" s="203">
        <f>'35'!A8</f>
        <v>5</v>
      </c>
      <c r="F15" s="196">
        <f>'35'!A12</f>
        <v>0</v>
      </c>
      <c r="G15" s="204"/>
      <c r="H15" s="196">
        <f>'35'!A15</f>
        <v>0</v>
      </c>
      <c r="I15" s="205"/>
      <c r="J15" s="196">
        <f>'35'!A18</f>
        <v>0</v>
      </c>
      <c r="K15" s="205"/>
      <c r="L15" s="40"/>
      <c r="M15" s="182"/>
      <c r="N15" s="182" t="s">
        <v>38</v>
      </c>
      <c r="O15" s="182"/>
      <c r="P15" s="193">
        <f>'35'!A64</f>
        <v>1</v>
      </c>
      <c r="Q15" s="189">
        <f>'35'!B64</f>
        <v>0</v>
      </c>
      <c r="R15" s="190"/>
      <c r="S15" s="175"/>
      <c r="T15" s="199">
        <f>'35'!A65</f>
        <v>7</v>
      </c>
      <c r="U15" s="206">
        <f>'35'!B65</f>
        <v>0</v>
      </c>
      <c r="V15" s="175"/>
      <c r="W15" s="207">
        <f>'35'!A66</f>
        <v>6</v>
      </c>
      <c r="X15" s="206"/>
      <c r="Y15" s="179"/>
    </row>
    <row r="16" spans="2:25" x14ac:dyDescent="0.25">
      <c r="B16" s="168"/>
      <c r="C16" s="40"/>
      <c r="D16" s="40" t="s">
        <v>6</v>
      </c>
      <c r="E16" s="208">
        <f>'35'!A9</f>
        <v>0</v>
      </c>
      <c r="F16" s="209">
        <f>'35'!A13</f>
        <v>0</v>
      </c>
      <c r="G16" s="210"/>
      <c r="H16" s="209">
        <f>'35'!A16</f>
        <v>0</v>
      </c>
      <c r="I16" s="189"/>
      <c r="J16" s="209">
        <f>'35'!A19</f>
        <v>0</v>
      </c>
      <c r="K16" s="189"/>
      <c r="L16" s="40"/>
      <c r="M16" s="182"/>
      <c r="N16" s="182" t="s">
        <v>40</v>
      </c>
      <c r="O16" s="182"/>
      <c r="P16" s="187"/>
      <c r="Q16" s="182"/>
      <c r="R16" s="182"/>
      <c r="S16" s="175"/>
      <c r="T16" s="193">
        <f>'35'!A68</f>
        <v>0</v>
      </c>
      <c r="U16" s="211" t="str">
        <f>'35'!B68</f>
        <v>*</v>
      </c>
      <c r="V16" s="175"/>
      <c r="W16" s="212">
        <f>'35'!A69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'35'!A21</f>
        <v>285</v>
      </c>
      <c r="G19" s="206">
        <f>'35'!B21</f>
        <v>0</v>
      </c>
      <c r="H19" s="218">
        <f>'35'!A24</f>
        <v>450</v>
      </c>
      <c r="I19" s="200">
        <f>'35'!B24</f>
        <v>0</v>
      </c>
      <c r="J19" s="218">
        <f>'35'!A27</f>
        <v>680</v>
      </c>
      <c r="K19" s="200">
        <f>'35'!B27</f>
        <v>0</v>
      </c>
      <c r="L19" s="40"/>
      <c r="M19" s="182" t="s">
        <v>50</v>
      </c>
      <c r="N19" s="182"/>
      <c r="O19" s="187" t="s">
        <v>51</v>
      </c>
      <c r="P19" s="219">
        <f>'35'!A57</f>
        <v>4</v>
      </c>
      <c r="Q19" s="220"/>
      <c r="R19" s="182"/>
      <c r="S19" s="216" t="s">
        <v>74</v>
      </c>
      <c r="T19" s="221">
        <f>'35'!A58</f>
        <v>0</v>
      </c>
      <c r="U19" s="220"/>
      <c r="V19" s="217" t="s">
        <v>75</v>
      </c>
      <c r="W19" s="219">
        <f>'35'!A59</f>
        <v>0</v>
      </c>
      <c r="X19" s="222"/>
      <c r="Y19" s="179"/>
    </row>
    <row r="20" spans="2:25" x14ac:dyDescent="0.25">
      <c r="B20" s="168"/>
      <c r="C20" s="40"/>
      <c r="D20" s="40" t="s">
        <v>5</v>
      </c>
      <c r="E20" s="40"/>
      <c r="F20" s="199">
        <f>'35'!A22</f>
        <v>0</v>
      </c>
      <c r="G20" s="206">
        <f>'35'!B22</f>
        <v>0</v>
      </c>
      <c r="H20" s="196">
        <f>'35'!A25</f>
        <v>0</v>
      </c>
      <c r="I20" s="206">
        <f>'35'!B25</f>
        <v>0</v>
      </c>
      <c r="J20" s="196">
        <f>'35'!A28</f>
        <v>0</v>
      </c>
      <c r="K20" s="206">
        <f>'35'!B28</f>
        <v>0</v>
      </c>
      <c r="L20" s="40"/>
      <c r="M20" s="224" t="s">
        <v>52</v>
      </c>
      <c r="N20" s="223"/>
      <c r="O20" s="224"/>
      <c r="P20" s="199">
        <f>'35'!A75</f>
        <v>15</v>
      </c>
      <c r="Q20" s="225"/>
      <c r="R20" s="224"/>
      <c r="S20" s="182" t="s">
        <v>65</v>
      </c>
      <c r="T20" s="226"/>
      <c r="U20" s="227"/>
      <c r="V20" s="226"/>
      <c r="W20" s="199">
        <f>'35'!A76</f>
        <v>2</v>
      </c>
      <c r="X20" s="202"/>
      <c r="Y20" s="179"/>
    </row>
    <row r="21" spans="2:25" x14ac:dyDescent="0.25">
      <c r="B21" s="168"/>
      <c r="C21" s="40"/>
      <c r="D21" s="40" t="s">
        <v>6</v>
      </c>
      <c r="E21" s="40"/>
      <c r="F21" s="193">
        <f>'35'!A23</f>
        <v>0</v>
      </c>
      <c r="G21" s="211">
        <f>'35'!B23</f>
        <v>0</v>
      </c>
      <c r="H21" s="209">
        <f>'35'!A26</f>
        <v>0</v>
      </c>
      <c r="I21" s="211">
        <f>'35'!B26</f>
        <v>0</v>
      </c>
      <c r="J21" s="209">
        <f>'35'!A29</f>
        <v>0</v>
      </c>
      <c r="K21" s="211">
        <f>'35'!B29</f>
        <v>0</v>
      </c>
      <c r="L21" s="40"/>
      <c r="M21" s="182" t="s">
        <v>53</v>
      </c>
      <c r="N21" s="175"/>
      <c r="O21" s="182"/>
      <c r="P21" s="193">
        <f>'35'!A77</f>
        <v>0</v>
      </c>
      <c r="Q21" s="228"/>
      <c r="R21" s="196"/>
      <c r="S21" s="182" t="s">
        <v>66</v>
      </c>
      <c r="T21" s="182"/>
      <c r="U21" s="182"/>
      <c r="V21" s="182"/>
      <c r="W21" s="193">
        <f>'35'!A78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'35'!A31</f>
        <v>1250</v>
      </c>
      <c r="G24" s="200">
        <f>'35'!B31</f>
        <v>0</v>
      </c>
      <c r="H24" s="218">
        <f>'35'!A34</f>
        <v>700</v>
      </c>
      <c r="I24" s="200">
        <f>'35'!B34</f>
        <v>0</v>
      </c>
      <c r="J24" s="218">
        <f>'35'!A37</f>
        <v>400</v>
      </c>
      <c r="K24" s="200">
        <f>'35'!B37</f>
        <v>0</v>
      </c>
      <c r="L24" s="40"/>
      <c r="M24" s="182" t="s">
        <v>55</v>
      </c>
      <c r="N24" s="182"/>
      <c r="O24" s="182"/>
      <c r="P24" s="201">
        <f>'35'!A81</f>
        <v>0</v>
      </c>
      <c r="Q24" s="206">
        <f>'35'!B81</f>
        <v>0</v>
      </c>
      <c r="R24" s="196"/>
      <c r="S24" s="182" t="s">
        <v>67</v>
      </c>
      <c r="T24" s="182"/>
      <c r="U24" s="182"/>
      <c r="V24" s="182"/>
      <c r="W24" s="219">
        <f>'35'!A82</f>
        <v>2</v>
      </c>
      <c r="X24" s="222">
        <f>'35'!B82</f>
        <v>0</v>
      </c>
      <c r="Y24" s="179"/>
    </row>
    <row r="25" spans="2:25" x14ac:dyDescent="0.25">
      <c r="B25" s="168"/>
      <c r="C25" s="40" t="s">
        <v>37</v>
      </c>
      <c r="D25" s="40" t="s">
        <v>38</v>
      </c>
      <c r="E25" s="40"/>
      <c r="F25" s="199">
        <f>'35'!A32</f>
        <v>0</v>
      </c>
      <c r="G25" s="206">
        <f>'35'!B32</f>
        <v>0</v>
      </c>
      <c r="H25" s="196">
        <f>'35'!A35</f>
        <v>0</v>
      </c>
      <c r="I25" s="206">
        <f>'35'!B35</f>
        <v>0</v>
      </c>
      <c r="J25" s="196">
        <f>'35'!A38</f>
        <v>0</v>
      </c>
      <c r="K25" s="206">
        <f>'35'!B38</f>
        <v>0</v>
      </c>
      <c r="L25" s="40"/>
      <c r="M25" s="182" t="s">
        <v>56</v>
      </c>
      <c r="N25" s="182"/>
      <c r="O25" s="182"/>
      <c r="P25" s="230">
        <f>'35'!A83/100</f>
        <v>11</v>
      </c>
      <c r="Q25" s="206">
        <f>'35'!B83</f>
        <v>0</v>
      </c>
      <c r="R25" s="196"/>
      <c r="S25" s="175"/>
      <c r="T25" s="182"/>
      <c r="U25" s="182"/>
      <c r="V25" s="182"/>
      <c r="W25" s="196"/>
      <c r="X25" s="184"/>
      <c r="Y25" s="179"/>
    </row>
    <row r="26" spans="2:25" x14ac:dyDescent="0.25">
      <c r="B26" s="168"/>
      <c r="C26" s="40" t="s">
        <v>39</v>
      </c>
      <c r="D26" s="40" t="s">
        <v>40</v>
      </c>
      <c r="E26" s="40"/>
      <c r="F26" s="193">
        <f>'35'!A33</f>
        <v>0</v>
      </c>
      <c r="G26" s="211">
        <f>'35'!B33</f>
        <v>0</v>
      </c>
      <c r="H26" s="209">
        <f>'35'!A36</f>
        <v>0</v>
      </c>
      <c r="I26" s="211">
        <f>'35'!B36</f>
        <v>0</v>
      </c>
      <c r="J26" s="193">
        <f>'35'!A39</f>
        <v>0</v>
      </c>
      <c r="K26" s="211">
        <f>'35'!B39</f>
        <v>0</v>
      </c>
      <c r="L26" s="40"/>
      <c r="M26" s="182" t="s">
        <v>57</v>
      </c>
      <c r="N26" s="182"/>
      <c r="O26" s="182"/>
      <c r="P26" s="193">
        <f>'35'!A85</f>
        <v>60</v>
      </c>
      <c r="Q26" s="211">
        <f>'35'!B85</f>
        <v>0</v>
      </c>
      <c r="R26" s="231"/>
      <c r="S26" s="182" t="s">
        <v>68</v>
      </c>
      <c r="T26" s="175"/>
      <c r="U26" s="182"/>
      <c r="V26" s="182"/>
      <c r="W26" s="219">
        <f>'35'!A86</f>
        <v>0</v>
      </c>
      <c r="X26" s="232">
        <f>'35'!B86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'35'!A41</f>
        <v>0</v>
      </c>
      <c r="G29" s="198"/>
      <c r="H29" s="218">
        <f>'35'!A42</f>
        <v>0</v>
      </c>
      <c r="I29" s="198"/>
      <c r="J29" s="218">
        <f>'35'!A43</f>
        <v>0</v>
      </c>
      <c r="K29" s="237"/>
      <c r="L29" s="40"/>
      <c r="M29" s="182" t="s">
        <v>59</v>
      </c>
      <c r="N29" s="182"/>
      <c r="O29" s="182"/>
      <c r="P29" s="201">
        <f>'35'!A91</f>
        <v>0</v>
      </c>
      <c r="Q29" s="206">
        <f>'35'!B91</f>
        <v>0</v>
      </c>
      <c r="R29" s="196"/>
      <c r="S29" s="182" t="s">
        <v>69</v>
      </c>
      <c r="T29" s="182"/>
      <c r="U29" s="182"/>
      <c r="V29" s="182"/>
      <c r="W29" s="201">
        <f>'35'!A92</f>
        <v>0</v>
      </c>
      <c r="X29" s="200">
        <f>'35'!B92</f>
        <v>0</v>
      </c>
      <c r="Y29" s="179"/>
    </row>
    <row r="30" spans="2:25" x14ac:dyDescent="0.25">
      <c r="B30" s="168"/>
      <c r="C30" s="40" t="s">
        <v>43</v>
      </c>
      <c r="D30" s="40"/>
      <c r="E30" s="196"/>
      <c r="F30" s="199">
        <f>'35'!A44</f>
        <v>25</v>
      </c>
      <c r="G30" s="205"/>
      <c r="H30" s="196">
        <f>'35'!A45</f>
        <v>20</v>
      </c>
      <c r="I30" s="205"/>
      <c r="J30" s="196">
        <f>'35'!A46</f>
        <v>15</v>
      </c>
      <c r="K30" s="179"/>
      <c r="L30" s="40"/>
      <c r="M30" s="182" t="s">
        <v>60</v>
      </c>
      <c r="N30" s="182"/>
      <c r="O30" s="182"/>
      <c r="P30" s="199">
        <f>'35'!A93</f>
        <v>0</v>
      </c>
      <c r="Q30" s="206">
        <f>'35'!B93</f>
        <v>0</v>
      </c>
      <c r="R30" s="196"/>
      <c r="S30" s="175" t="s">
        <v>70</v>
      </c>
      <c r="T30" s="182"/>
      <c r="U30" s="182"/>
      <c r="V30" s="182"/>
      <c r="W30" s="199">
        <f>'35'!A94</f>
        <v>-500</v>
      </c>
      <c r="X30" s="206">
        <f>'35'!B94</f>
        <v>0</v>
      </c>
      <c r="Y30" s="179"/>
    </row>
    <row r="31" spans="2:25" x14ac:dyDescent="0.25">
      <c r="B31" s="168"/>
      <c r="C31" s="40" t="s">
        <v>44</v>
      </c>
      <c r="D31" s="175"/>
      <c r="E31" s="175"/>
      <c r="F31" s="199">
        <f>'35'!A47</f>
        <v>115</v>
      </c>
      <c r="G31" s="202"/>
      <c r="H31" s="199">
        <f>'35'!A48</f>
        <v>165</v>
      </c>
      <c r="I31" s="202"/>
      <c r="J31" s="199">
        <f>'35'!A49</f>
        <v>325</v>
      </c>
      <c r="K31" s="202"/>
      <c r="L31" s="40"/>
      <c r="M31" s="182" t="s">
        <v>61</v>
      </c>
      <c r="N31" s="182"/>
      <c r="O31" s="182"/>
      <c r="P31" s="199">
        <f>'35'!A73</f>
        <v>0</v>
      </c>
      <c r="Q31" s="206">
        <f>'35'!B73</f>
        <v>0</v>
      </c>
      <c r="R31" s="196"/>
      <c r="S31" s="182" t="s">
        <v>71</v>
      </c>
      <c r="T31" s="182"/>
      <c r="U31" s="182"/>
      <c r="V31" s="182"/>
      <c r="W31" s="199">
        <f>'35'!A74</f>
        <v>0</v>
      </c>
      <c r="X31" s="206">
        <f>'35'!B74</f>
        <v>0</v>
      </c>
      <c r="Y31" s="179"/>
    </row>
    <row r="32" spans="2:25" x14ac:dyDescent="0.25">
      <c r="B32" s="168"/>
      <c r="C32" s="269" t="s">
        <v>45</v>
      </c>
      <c r="D32" s="40"/>
      <c r="E32" s="196"/>
      <c r="F32" s="193">
        <f>'35'!A51</f>
        <v>0</v>
      </c>
      <c r="G32" s="211">
        <f>'35'!B51</f>
        <v>0</v>
      </c>
      <c r="H32" s="209">
        <f>'35'!A52</f>
        <v>0</v>
      </c>
      <c r="I32" s="211">
        <f>'35'!B52</f>
        <v>0</v>
      </c>
      <c r="J32" s="209">
        <f>'35'!A53</f>
        <v>0</v>
      </c>
      <c r="K32" s="211">
        <f>'35'!B53</f>
        <v>0</v>
      </c>
      <c r="L32" s="40"/>
      <c r="M32" s="44" t="s">
        <v>62</v>
      </c>
      <c r="N32" s="182"/>
      <c r="O32" s="182"/>
      <c r="P32" s="193">
        <f>'35'!A72</f>
        <v>0</v>
      </c>
      <c r="Q32" s="211">
        <f>'35'!B72</f>
        <v>0</v>
      </c>
      <c r="R32" s="196"/>
      <c r="S32" s="182" t="s">
        <v>72</v>
      </c>
      <c r="T32" s="182"/>
      <c r="U32" s="182"/>
      <c r="V32" s="182"/>
      <c r="W32" s="193">
        <f>'35'!A99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'35'!A54</f>
        <v>0</v>
      </c>
      <c r="G35" s="238">
        <f>'35'!B54</f>
        <v>0</v>
      </c>
      <c r="H35" s="188">
        <f>'35'!A55</f>
        <v>0</v>
      </c>
      <c r="I35" s="238">
        <f>'35'!B55</f>
        <v>0</v>
      </c>
      <c r="J35" s="188">
        <f>'35'!A56</f>
        <v>0</v>
      </c>
      <c r="K35" s="238">
        <f>'35'!B56</f>
        <v>0</v>
      </c>
      <c r="L35" s="40"/>
      <c r="M35" s="182" t="s">
        <v>64</v>
      </c>
      <c r="N35" s="182"/>
      <c r="O35" s="182"/>
      <c r="P35" s="219">
        <f>'35'!A97</f>
        <v>0</v>
      </c>
      <c r="Q35" s="239"/>
      <c r="R35" s="182"/>
      <c r="S35" s="182" t="s">
        <v>73</v>
      </c>
      <c r="T35" s="182"/>
      <c r="U35" s="182"/>
      <c r="V35" s="182"/>
      <c r="W35" s="219">
        <f>'35'!A98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tabColor theme="8" tint="0.39997558519241921"/>
    <pageSetUpPr fitToPage="1"/>
  </sheetPr>
  <dimension ref="A1:AL65"/>
  <sheetViews>
    <sheetView showGridLines="0" workbookViewId="0">
      <selection activeCell="T29" sqref="T29"/>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'35'!A1</f>
        <v>1</v>
      </c>
      <c r="F1" s="512" t="s">
        <v>87</v>
      </c>
      <c r="H1" s="172">
        <f>'35'!A2</f>
        <v>1</v>
      </c>
      <c r="M1" s="513" t="s">
        <v>88</v>
      </c>
      <c r="T1" s="170" t="s">
        <v>81</v>
      </c>
      <c r="U1" s="172">
        <f>'35'!A4</f>
        <v>2016</v>
      </c>
      <c r="V1" s="164"/>
      <c r="W1" s="171" t="s">
        <v>80</v>
      </c>
      <c r="X1" s="172">
        <f>'35'!A5</f>
        <v>4</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'35'!A108</f>
        <v>1250</v>
      </c>
      <c r="V6" s="251"/>
      <c r="W6" s="196">
        <f>'35'!A109</f>
        <v>700</v>
      </c>
      <c r="X6" s="182"/>
      <c r="Y6" s="199">
        <f>'35'!A110</f>
        <v>400</v>
      </c>
      <c r="Z6" s="182"/>
      <c r="AA6" s="179"/>
      <c r="AC6" s="40"/>
      <c r="AD6" s="40"/>
      <c r="AE6" s="40"/>
      <c r="AF6" s="196"/>
      <c r="AG6" s="182"/>
      <c r="AH6" s="196"/>
      <c r="AI6" s="182"/>
      <c r="AJ6" s="196"/>
      <c r="AK6" s="182"/>
      <c r="AL6" s="40"/>
    </row>
    <row r="7" spans="2:38" x14ac:dyDescent="0.2">
      <c r="B7" s="244"/>
      <c r="C7" s="175" t="s">
        <v>91</v>
      </c>
      <c r="F7" s="40"/>
      <c r="G7" s="252">
        <f>'35'!A281</f>
        <v>1000</v>
      </c>
      <c r="H7" s="179"/>
      <c r="I7" s="40"/>
      <c r="J7" s="244"/>
      <c r="K7" s="40" t="s">
        <v>129</v>
      </c>
      <c r="L7" s="40"/>
      <c r="M7" s="40"/>
      <c r="N7" s="253">
        <f>'35'!A191</f>
        <v>14</v>
      </c>
      <c r="O7" s="253">
        <f>'35'!A192</f>
        <v>15</v>
      </c>
      <c r="P7" s="179"/>
      <c r="R7" s="244"/>
      <c r="S7" s="40" t="s">
        <v>161</v>
      </c>
      <c r="T7" s="40"/>
      <c r="U7" s="199">
        <f>'35'!A111</f>
        <v>1282</v>
      </c>
      <c r="V7" s="251"/>
      <c r="W7" s="196">
        <f>'35'!A112</f>
        <v>719</v>
      </c>
      <c r="X7" s="182"/>
      <c r="Y7" s="199">
        <f>'35'!A113</f>
        <v>411</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'35'!A193</f>
        <v>0</v>
      </c>
      <c r="O8" s="253">
        <f>'35'!A194</f>
        <v>17</v>
      </c>
      <c r="P8" s="179"/>
      <c r="R8" s="244"/>
      <c r="S8" s="40" t="s">
        <v>162</v>
      </c>
      <c r="T8" s="40"/>
      <c r="U8" s="199">
        <f>'35'!A114</f>
        <v>32</v>
      </c>
      <c r="V8" s="251"/>
      <c r="W8" s="196">
        <f>'35'!A115</f>
        <v>19</v>
      </c>
      <c r="X8" s="182"/>
      <c r="Y8" s="199">
        <f>'35'!A116</f>
        <v>11</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'35'!A82</f>
        <v>2</v>
      </c>
      <c r="O9" s="253"/>
      <c r="P9" s="179"/>
      <c r="R9" s="244"/>
      <c r="S9" s="40" t="s">
        <v>163</v>
      </c>
      <c r="T9" s="40"/>
      <c r="U9" s="199">
        <f>'35'!A117</f>
        <v>0</v>
      </c>
      <c r="V9" s="254">
        <f>'35'!B117</f>
        <v>0</v>
      </c>
      <c r="W9" s="196">
        <f>'35'!A118</f>
        <v>0</v>
      </c>
      <c r="X9" s="184">
        <f>'35'!B118</f>
        <v>0</v>
      </c>
      <c r="Y9" s="199">
        <f>'35'!A119</f>
        <v>0</v>
      </c>
      <c r="Z9" s="184">
        <f>'35'!B119</f>
        <v>0</v>
      </c>
      <c r="AA9" s="179"/>
      <c r="AC9" s="40"/>
      <c r="AD9" s="40"/>
      <c r="AE9" s="40"/>
      <c r="AF9" s="196"/>
      <c r="AG9" s="184"/>
      <c r="AH9" s="196"/>
      <c r="AI9" s="184"/>
      <c r="AJ9" s="196"/>
      <c r="AK9" s="184"/>
      <c r="AL9" s="40"/>
    </row>
    <row r="10" spans="2:38" x14ac:dyDescent="0.2">
      <c r="B10" s="244"/>
      <c r="C10" s="175" t="s">
        <v>94</v>
      </c>
      <c r="F10" s="40"/>
      <c r="G10" s="252">
        <f>'35'!A284</f>
        <v>500</v>
      </c>
      <c r="H10" s="179"/>
      <c r="I10" s="40"/>
      <c r="J10" s="244"/>
      <c r="K10" s="182" t="s">
        <v>132</v>
      </c>
      <c r="L10" s="40"/>
      <c r="M10" s="40"/>
      <c r="N10" s="253">
        <f>'35'!A195</f>
        <v>0</v>
      </c>
      <c r="O10" s="253">
        <f>'35'!A196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'35'!A285</f>
        <v>100</v>
      </c>
      <c r="H12" s="179"/>
      <c r="I12" s="40"/>
      <c r="J12" s="244"/>
      <c r="K12" s="40" t="s">
        <v>134</v>
      </c>
      <c r="L12" s="40"/>
      <c r="M12" s="40"/>
      <c r="N12" s="255">
        <f>'35'!A197</f>
        <v>16</v>
      </c>
      <c r="O12" s="255">
        <f>'35'!A198</f>
        <v>31</v>
      </c>
      <c r="P12" s="179"/>
      <c r="R12" s="244"/>
      <c r="S12" s="182" t="s">
        <v>165</v>
      </c>
      <c r="T12" s="40"/>
      <c r="U12" s="199">
        <f>'35'!A121</f>
        <v>1250</v>
      </c>
      <c r="V12" s="251"/>
      <c r="W12" s="199">
        <f>'35'!A124</f>
        <v>700</v>
      </c>
      <c r="X12" s="182"/>
      <c r="Y12" s="199">
        <f>'35'!A127</f>
        <v>400</v>
      </c>
      <c r="Z12" s="182"/>
      <c r="AA12" s="179"/>
      <c r="AC12" s="40"/>
      <c r="AD12" s="182"/>
      <c r="AE12" s="40"/>
      <c r="AF12" s="196"/>
      <c r="AG12" s="182"/>
      <c r="AH12" s="196"/>
      <c r="AI12" s="182"/>
      <c r="AJ12" s="196"/>
      <c r="AK12" s="182"/>
      <c r="AL12" s="40"/>
    </row>
    <row r="13" spans="2:38" ht="13.2" x14ac:dyDescent="0.3">
      <c r="B13" s="244"/>
      <c r="C13" s="175" t="s">
        <v>97</v>
      </c>
      <c r="F13" s="40"/>
      <c r="G13" s="252">
        <f>'35'!A286</f>
        <v>160</v>
      </c>
      <c r="H13" s="179"/>
      <c r="I13" s="40"/>
      <c r="J13" s="245"/>
      <c r="K13" s="214"/>
      <c r="L13" s="214"/>
      <c r="M13" s="214"/>
      <c r="N13" s="214"/>
      <c r="O13" s="214"/>
      <c r="P13" s="229"/>
      <c r="R13" s="244"/>
      <c r="S13" s="256" t="s">
        <v>166</v>
      </c>
      <c r="T13" s="40"/>
      <c r="U13" s="199">
        <f>'35'!A122</f>
        <v>0</v>
      </c>
      <c r="V13" s="251"/>
      <c r="W13" s="199">
        <f>'35'!A125</f>
        <v>0</v>
      </c>
      <c r="X13" s="182"/>
      <c r="Y13" s="199">
        <f>'35'!A128</f>
        <v>0</v>
      </c>
      <c r="Z13" s="182"/>
      <c r="AA13" s="179"/>
      <c r="AC13" s="40"/>
      <c r="AD13" s="256"/>
      <c r="AE13" s="40"/>
      <c r="AF13" s="196"/>
      <c r="AG13" s="182"/>
      <c r="AH13" s="196"/>
      <c r="AI13" s="182"/>
      <c r="AJ13" s="196"/>
      <c r="AK13" s="182"/>
      <c r="AL13" s="40"/>
    </row>
    <row r="14" spans="2:38" x14ac:dyDescent="0.2">
      <c r="B14" s="244"/>
      <c r="C14" s="175" t="s">
        <v>98</v>
      </c>
      <c r="F14" s="40"/>
      <c r="G14" s="257">
        <f>'35'!A287</f>
        <v>12</v>
      </c>
      <c r="H14" s="179"/>
      <c r="I14" s="40"/>
      <c r="J14" s="244"/>
      <c r="K14" s="40"/>
      <c r="L14" s="40"/>
      <c r="M14" s="40"/>
      <c r="N14" s="40"/>
      <c r="O14" s="213"/>
      <c r="P14" s="179"/>
      <c r="R14" s="244"/>
      <c r="S14" s="182" t="s">
        <v>167</v>
      </c>
      <c r="T14" s="40"/>
      <c r="U14" s="199">
        <f>'35'!A123</f>
        <v>0</v>
      </c>
      <c r="V14" s="251"/>
      <c r="W14" s="199">
        <f>'35'!A126</f>
        <v>0</v>
      </c>
      <c r="X14" s="182"/>
      <c r="Y14" s="199">
        <f>'35'!A129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103</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'35'!A305</f>
        <v>8064</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'35'!A306</f>
        <v>2</v>
      </c>
      <c r="P17" s="254">
        <f>'35'!B307</f>
        <v>0</v>
      </c>
      <c r="R17" s="244"/>
      <c r="S17" s="40" t="s">
        <v>169</v>
      </c>
      <c r="T17" s="40"/>
      <c r="U17" s="199">
        <f>'35'!A131</f>
        <v>1367</v>
      </c>
      <c r="V17" s="251"/>
      <c r="W17" s="199">
        <f>'35'!A134</f>
        <v>772</v>
      </c>
      <c r="X17" s="182"/>
      <c r="Y17" s="199">
        <f>'35'!A137</f>
        <v>437</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'35'!A291</f>
        <v>0</v>
      </c>
      <c r="H18" s="179"/>
      <c r="I18" s="40"/>
      <c r="J18" s="244"/>
      <c r="K18" s="182" t="s">
        <v>107</v>
      </c>
      <c r="L18" s="40"/>
      <c r="M18" s="40"/>
      <c r="N18" s="40"/>
      <c r="O18" s="252">
        <f>'35'!A307</f>
        <v>6660</v>
      </c>
      <c r="P18" s="179"/>
      <c r="R18" s="244"/>
      <c r="S18" s="259" t="s">
        <v>170</v>
      </c>
      <c r="T18" s="40"/>
      <c r="U18" s="199">
        <f>'35'!A132</f>
        <v>0</v>
      </c>
      <c r="V18" s="251"/>
      <c r="W18" s="199">
        <f>'35'!A135</f>
        <v>0</v>
      </c>
      <c r="X18" s="182"/>
      <c r="Y18" s="199">
        <f>'35'!A138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'35'!A292</f>
        <v>4</v>
      </c>
      <c r="H19" s="179"/>
      <c r="I19" s="40"/>
      <c r="J19" s="244"/>
      <c r="P19" s="179"/>
      <c r="R19" s="244"/>
      <c r="S19" s="40" t="s">
        <v>18</v>
      </c>
      <c r="T19" s="40"/>
      <c r="U19" s="199">
        <f>'35'!A133</f>
        <v>0</v>
      </c>
      <c r="V19" s="251"/>
      <c r="W19" s="199">
        <f>'35'!A136</f>
        <v>0</v>
      </c>
      <c r="X19" s="182"/>
      <c r="Y19" s="199">
        <f>'35'!A139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'35'!A293</f>
        <v>0</v>
      </c>
      <c r="H20" s="179"/>
      <c r="I20" s="40"/>
      <c r="J20" s="244"/>
      <c r="K20" s="40" t="s">
        <v>138</v>
      </c>
      <c r="L20" s="40"/>
      <c r="M20" s="40"/>
      <c r="N20" s="40"/>
      <c r="O20" s="196">
        <f>'35'!A308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'35'!A294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'35'!A141</f>
        <v>1358</v>
      </c>
      <c r="V22" s="251"/>
      <c r="W22" s="199">
        <f>'35'!A144</f>
        <v>772</v>
      </c>
      <c r="X22" s="182"/>
      <c r="Y22" s="199">
        <f>'35'!A147</f>
        <v>437</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'35'!A301</f>
        <v>4272</v>
      </c>
      <c r="H23" s="205"/>
      <c r="I23" s="40"/>
      <c r="R23" s="244"/>
      <c r="S23" s="259" t="s">
        <v>170</v>
      </c>
      <c r="T23" s="40"/>
      <c r="U23" s="199">
        <f>'35'!A142</f>
        <v>0</v>
      </c>
      <c r="V23" s="251"/>
      <c r="W23" s="199">
        <f>'35'!A145</f>
        <v>0</v>
      </c>
      <c r="X23" s="182"/>
      <c r="Y23" s="199">
        <f>'35'!A148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'35'!A302</f>
        <v>37</v>
      </c>
      <c r="H24" s="260">
        <f>'35'!B302</f>
        <v>0</v>
      </c>
      <c r="I24" s="40"/>
      <c r="J24" s="243"/>
      <c r="K24" s="227"/>
      <c r="L24" s="227"/>
      <c r="M24" s="227"/>
      <c r="N24" s="188"/>
      <c r="O24" s="188"/>
      <c r="P24" s="237"/>
      <c r="R24" s="244"/>
      <c r="S24" s="40" t="s">
        <v>18</v>
      </c>
      <c r="T24" s="40"/>
      <c r="U24" s="199">
        <f>'35'!A143</f>
        <v>0</v>
      </c>
      <c r="V24" s="251"/>
      <c r="W24" s="199">
        <f>'35'!A146</f>
        <v>0</v>
      </c>
      <c r="X24" s="182"/>
      <c r="Y24" s="199">
        <f>'35'!A149</f>
        <v>0</v>
      </c>
      <c r="Z24" s="182"/>
      <c r="AA24" s="179"/>
      <c r="AC24" s="40"/>
      <c r="AD24" s="40"/>
      <c r="AE24" s="40"/>
      <c r="AF24" s="196"/>
      <c r="AG24" s="182"/>
      <c r="AH24" s="196"/>
      <c r="AI24" s="182"/>
      <c r="AJ24" s="196"/>
      <c r="AK24" s="182"/>
      <c r="AL24" s="40"/>
    </row>
    <row r="25" spans="2:38" ht="12" x14ac:dyDescent="0.25">
      <c r="B25" s="244"/>
      <c r="C25" s="182" t="s">
        <v>107</v>
      </c>
      <c r="G25" s="196">
        <f>'35'!A303</f>
        <v>3057</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G19*'35'!A75-G24</f>
        <v>23</v>
      </c>
      <c r="H26" s="179"/>
      <c r="I26" s="40"/>
      <c r="J26" s="244"/>
      <c r="K26" s="182" t="s">
        <v>142</v>
      </c>
      <c r="L26" s="40"/>
      <c r="M26" s="253">
        <f>'35'!A321</f>
        <v>3</v>
      </c>
      <c r="N26" s="253">
        <f>'35'!A322</f>
        <v>0</v>
      </c>
      <c r="O26" s="196">
        <f>IF('35'!A327&gt;0,1,0)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'35'!A304</f>
        <v>98</v>
      </c>
      <c r="H27" s="179"/>
      <c r="I27" s="40"/>
      <c r="J27" s="244"/>
      <c r="K27" s="182" t="s">
        <v>143</v>
      </c>
      <c r="L27" s="40"/>
      <c r="M27" s="253">
        <f>'35'!A323</f>
        <v>0</v>
      </c>
      <c r="N27" s="253">
        <f>'35'!A324</f>
        <v>0</v>
      </c>
      <c r="O27" s="196"/>
      <c r="P27" s="261"/>
      <c r="R27" s="244"/>
      <c r="S27" s="40" t="s">
        <v>169</v>
      </c>
      <c r="T27" s="40"/>
      <c r="U27" s="199">
        <f>'35'!A151</f>
        <v>4</v>
      </c>
      <c r="V27" s="251"/>
      <c r="W27" s="199">
        <f>'35'!A154</f>
        <v>0</v>
      </c>
      <c r="X27" s="182"/>
      <c r="Y27" s="199">
        <f>'35'!A157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'35'!A152</f>
        <v>0</v>
      </c>
      <c r="V28" s="251"/>
      <c r="W28" s="199">
        <f>'35'!A155</f>
        <v>0</v>
      </c>
      <c r="X28" s="182"/>
      <c r="Y28" s="199">
        <f>'35'!A158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1</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'35'!A311</f>
        <v>2435</v>
      </c>
      <c r="H30" s="179"/>
      <c r="I30" s="40"/>
      <c r="J30" s="244"/>
      <c r="K30" s="182" t="s">
        <v>146</v>
      </c>
      <c r="L30" s="40"/>
      <c r="M30" s="255">
        <f>'35'!A325</f>
        <v>3</v>
      </c>
      <c r="N30" s="255">
        <f>'35'!A326</f>
        <v>1</v>
      </c>
      <c r="O30" s="193">
        <f>IF('35'!A328&gt;0,1,0)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1000*'35'!A57+'35'!A312</f>
        <v>4000</v>
      </c>
      <c r="H31" s="179"/>
      <c r="I31" s="40"/>
      <c r="J31" s="245"/>
      <c r="K31" s="214"/>
      <c r="L31" s="214"/>
      <c r="M31" s="214"/>
      <c r="N31" s="214"/>
      <c r="O31" s="214"/>
      <c r="P31" s="229"/>
      <c r="R31" s="244"/>
      <c r="S31" s="40" t="s">
        <v>169</v>
      </c>
      <c r="T31" s="40"/>
      <c r="U31" s="199">
        <f>'35'!A161</f>
        <v>0</v>
      </c>
      <c r="V31" s="251"/>
      <c r="W31" s="199">
        <f>'35'!A164</f>
        <v>15</v>
      </c>
      <c r="X31" s="182"/>
      <c r="Y31" s="199">
        <f>'35'!A167</f>
        <v>43</v>
      </c>
      <c r="Z31" s="182"/>
      <c r="AA31" s="179"/>
      <c r="AC31" s="40"/>
      <c r="AD31" s="40"/>
      <c r="AE31" s="40"/>
      <c r="AF31" s="196"/>
      <c r="AG31" s="182"/>
      <c r="AH31" s="196"/>
      <c r="AI31" s="182"/>
      <c r="AJ31" s="196"/>
      <c r="AK31" s="182"/>
      <c r="AL31" s="40"/>
    </row>
    <row r="32" spans="2:38" ht="13.2" x14ac:dyDescent="0.3">
      <c r="B32" s="244"/>
      <c r="C32" s="40" t="s">
        <v>113</v>
      </c>
      <c r="D32" s="40"/>
      <c r="E32" s="40"/>
      <c r="F32" s="40"/>
      <c r="G32" s="196">
        <f>'35'!A313</f>
        <v>0</v>
      </c>
      <c r="H32" s="179"/>
      <c r="I32" s="40"/>
      <c r="M32" s="175" t="s">
        <v>0</v>
      </c>
      <c r="R32" s="244"/>
      <c r="S32" s="259" t="s">
        <v>170</v>
      </c>
      <c r="T32" s="40"/>
      <c r="U32" s="199">
        <f>'35'!A162</f>
        <v>0</v>
      </c>
      <c r="V32" s="251"/>
      <c r="W32" s="199">
        <f>'35'!A165</f>
        <v>0</v>
      </c>
      <c r="X32" s="182"/>
      <c r="Y32" s="199">
        <f>'35'!A168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'35'!A314</f>
        <v>0</v>
      </c>
      <c r="H33" s="263">
        <f>'35'!B313</f>
        <v>0</v>
      </c>
      <c r="I33" s="40"/>
      <c r="M33" s="40"/>
      <c r="R33" s="244"/>
      <c r="S33" s="40" t="s">
        <v>18</v>
      </c>
      <c r="T33" s="40"/>
      <c r="U33" s="199">
        <f>'35'!A163</f>
        <v>0</v>
      </c>
      <c r="V33" s="251"/>
      <c r="W33" s="199">
        <f>'35'!A166</f>
        <v>0</v>
      </c>
      <c r="X33" s="182"/>
      <c r="Y33" s="199">
        <f>'35'!A169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'35'!A315</f>
        <v>3953</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'35'!A316</f>
        <v>2482</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'35'!A295</f>
        <v>1381</v>
      </c>
      <c r="N36" s="199">
        <f>'35'!A297</f>
        <v>0</v>
      </c>
      <c r="O36" s="253">
        <f>'35'!A299</f>
        <v>0</v>
      </c>
      <c r="P36" s="179"/>
      <c r="R36" s="244"/>
      <c r="S36" s="247" t="s">
        <v>174</v>
      </c>
      <c r="T36" s="264"/>
      <c r="U36" s="196">
        <f>'35'!A171</f>
        <v>0</v>
      </c>
      <c r="V36" s="254">
        <f>'35'!B171</f>
        <v>0</v>
      </c>
      <c r="W36" s="196">
        <f>'35'!A172</f>
        <v>0</v>
      </c>
      <c r="X36" s="254">
        <f>'35'!B172</f>
        <v>0</v>
      </c>
      <c r="Y36" s="196">
        <f>'35'!A173</f>
        <v>0</v>
      </c>
      <c r="Z36" s="184">
        <f>'35'!B173</f>
        <v>0</v>
      </c>
      <c r="AA36" s="179"/>
      <c r="AC36" s="40"/>
      <c r="AD36" s="247"/>
      <c r="AE36" s="247"/>
      <c r="AF36" s="196"/>
      <c r="AG36" s="184"/>
      <c r="AH36" s="196"/>
      <c r="AI36" s="184"/>
      <c r="AJ36" s="196"/>
      <c r="AK36" s="184"/>
      <c r="AL36" s="40"/>
    </row>
    <row r="37" spans="2:38" x14ac:dyDescent="0.2">
      <c r="B37" s="244"/>
      <c r="C37" s="40" t="s">
        <v>118</v>
      </c>
      <c r="D37" s="40"/>
      <c r="E37" s="40"/>
      <c r="F37" s="40"/>
      <c r="G37" s="196">
        <f>1000*'35'!A58</f>
        <v>0</v>
      </c>
      <c r="H37" s="179"/>
      <c r="I37" s="40"/>
      <c r="J37" s="244"/>
      <c r="K37" s="40" t="s">
        <v>149</v>
      </c>
      <c r="L37" s="40"/>
      <c r="M37" s="255">
        <f>'35'!A296</f>
        <v>9</v>
      </c>
      <c r="N37" s="255">
        <f>'35'!A298</f>
        <v>0</v>
      </c>
      <c r="O37" s="255">
        <f>'35'!A300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'35'!A317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1000*'35'!A59</f>
        <v>0</v>
      </c>
      <c r="H39" s="179"/>
      <c r="I39" s="40"/>
      <c r="R39" s="244"/>
      <c r="S39" s="247" t="s">
        <v>175</v>
      </c>
      <c r="T39" s="247"/>
      <c r="U39" s="266" t="str">
        <f>'35'!A177</f>
        <v>Minor</v>
      </c>
      <c r="V39" s="251"/>
      <c r="W39" s="266" t="str">
        <f>'35'!A178</f>
        <v>Major</v>
      </c>
      <c r="X39" s="182"/>
      <c r="Y39" s="266" t="str">
        <f>'35'!A179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'35'!A318</f>
        <v>0</v>
      </c>
      <c r="H42" s="179"/>
      <c r="I42" s="40"/>
      <c r="J42" s="244"/>
      <c r="K42" s="215" t="s">
        <v>150</v>
      </c>
      <c r="N42" s="177" t="s">
        <v>154</v>
      </c>
      <c r="P42" s="179"/>
      <c r="R42" s="244"/>
      <c r="S42" s="269" t="s">
        <v>177</v>
      </c>
      <c r="T42" s="40"/>
      <c r="U42" s="199">
        <f>'35'!A181</f>
        <v>0</v>
      </c>
      <c r="V42" s="251"/>
      <c r="W42" s="196">
        <f>'35'!A182</f>
        <v>0</v>
      </c>
      <c r="X42" s="182"/>
      <c r="Y42" s="199">
        <f>'35'!A183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'35'!A319</f>
        <v>0</v>
      </c>
      <c r="H43" s="179"/>
      <c r="I43" s="40"/>
      <c r="J43" s="244"/>
      <c r="K43" s="175" t="s">
        <v>151</v>
      </c>
      <c r="N43" s="271">
        <f>0.00019*50*G10</f>
        <v>4.75</v>
      </c>
      <c r="P43" s="179"/>
      <c r="R43" s="244"/>
      <c r="S43" s="269" t="s">
        <v>178</v>
      </c>
      <c r="T43" s="40"/>
      <c r="U43" s="199">
        <f>'35'!A54</f>
        <v>0</v>
      </c>
      <c r="V43" s="251"/>
      <c r="W43" s="199">
        <f>'35'!A55</f>
        <v>0</v>
      </c>
      <c r="X43" s="182"/>
      <c r="Y43" s="199">
        <f>'35'!A56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100-'35'!A320/10</f>
        <v>100</v>
      </c>
      <c r="H44" s="179"/>
      <c r="I44" s="40"/>
      <c r="J44" s="244"/>
      <c r="K44" s="175" t="s">
        <v>152</v>
      </c>
      <c r="N44" s="272">
        <f>0.00052*(6*G25+O18)</f>
        <v>13.00104</v>
      </c>
      <c r="P44" s="179"/>
      <c r="R44" s="244"/>
      <c r="S44" s="269" t="s">
        <v>179</v>
      </c>
      <c r="T44" s="40"/>
      <c r="U44" s="199">
        <f>'35'!A184</f>
        <v>0</v>
      </c>
      <c r="V44" s="251"/>
      <c r="W44" s="196">
        <f>'35'!A185</f>
        <v>0</v>
      </c>
      <c r="X44" s="182"/>
      <c r="Y44" s="199">
        <f>'35'!A186</f>
        <v>0</v>
      </c>
      <c r="Z44" s="182"/>
      <c r="AA44" s="179"/>
      <c r="AC44" s="40"/>
      <c r="AD44" s="269"/>
      <c r="AE44" s="40"/>
      <c r="AF44" s="196"/>
      <c r="AG44" s="182"/>
      <c r="AH44" s="196"/>
      <c r="AI44" s="182"/>
      <c r="AJ44" s="196"/>
      <c r="AK44" s="182"/>
      <c r="AL44" s="40"/>
    </row>
    <row r="45" spans="2:38" x14ac:dyDescent="0.2">
      <c r="B45" s="244"/>
      <c r="C45" s="44" t="s">
        <v>125</v>
      </c>
      <c r="G45" s="175">
        <f>'35'!A329</f>
        <v>0</v>
      </c>
      <c r="H45" s="179"/>
      <c r="I45" s="40"/>
      <c r="J45" s="244"/>
      <c r="K45" s="175" t="s">
        <v>153</v>
      </c>
      <c r="N45" s="271">
        <f>N43+N44</f>
        <v>17.75104</v>
      </c>
      <c r="P45" s="179"/>
      <c r="R45" s="244"/>
      <c r="S45" s="269" t="s">
        <v>180</v>
      </c>
      <c r="T45" s="40"/>
      <c r="U45" s="199">
        <f>'35'!A187</f>
        <v>0</v>
      </c>
      <c r="V45" s="251"/>
      <c r="W45" s="196">
        <f>'35'!A188</f>
        <v>0</v>
      </c>
      <c r="X45" s="182"/>
      <c r="Y45" s="199">
        <f>'35'!A189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tabColor theme="8" tint="0.39997558519241921"/>
  </sheetPr>
  <dimension ref="A1:Z59"/>
  <sheetViews>
    <sheetView showGridLines="0" workbookViewId="0">
      <selection activeCell="R17" sqref="R17"/>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'35'!A1</f>
        <v>1</v>
      </c>
      <c r="F1" s="512" t="s">
        <v>285</v>
      </c>
      <c r="G1" s="175"/>
      <c r="I1" s="172">
        <f>'35'!A2</f>
        <v>1</v>
      </c>
      <c r="J1" s="175"/>
      <c r="K1" s="175"/>
      <c r="L1" s="175"/>
      <c r="M1" s="513" t="s">
        <v>284</v>
      </c>
      <c r="N1" s="175"/>
      <c r="O1" s="175"/>
      <c r="P1" s="175"/>
      <c r="Q1" s="175"/>
      <c r="S1" s="175"/>
      <c r="U1" s="170" t="s">
        <v>81</v>
      </c>
      <c r="V1" s="172">
        <f>'35'!A4</f>
        <v>2016</v>
      </c>
      <c r="W1" s="171" t="s">
        <v>80</v>
      </c>
      <c r="X1" s="172">
        <f>'35'!A5</f>
        <v>4</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'35'!A201</f>
        <v>35000</v>
      </c>
      <c r="G8" s="283"/>
      <c r="H8" s="45"/>
      <c r="I8" s="45" t="s">
        <v>207</v>
      </c>
      <c r="J8" s="45"/>
      <c r="K8" s="45"/>
      <c r="L8" s="286">
        <f>'35'!A241</f>
        <v>1035710</v>
      </c>
      <c r="M8" s="283"/>
      <c r="N8" s="45"/>
      <c r="O8" s="268" t="s">
        <v>234</v>
      </c>
      <c r="P8" s="268"/>
      <c r="Q8" s="45"/>
      <c r="R8" s="45"/>
      <c r="S8" s="283"/>
      <c r="T8" s="45"/>
      <c r="U8" s="290" t="s">
        <v>260</v>
      </c>
      <c r="Y8" s="283"/>
    </row>
    <row r="9" spans="2:26" ht="12" x14ac:dyDescent="0.3">
      <c r="B9" s="281"/>
      <c r="C9" s="325" t="s">
        <v>184</v>
      </c>
      <c r="D9" s="45"/>
      <c r="E9" s="45"/>
      <c r="F9" s="286">
        <f>'35'!A202</f>
        <v>0</v>
      </c>
      <c r="G9" s="283"/>
      <c r="H9" s="45"/>
      <c r="I9" s="45"/>
      <c r="J9" s="45"/>
      <c r="K9" s="45"/>
      <c r="L9" s="286"/>
      <c r="M9" s="283"/>
      <c r="N9" s="45"/>
      <c r="O9" s="242" t="s">
        <v>235</v>
      </c>
      <c r="Q9" s="289"/>
      <c r="R9" s="289">
        <f>'35'!A261</f>
        <v>50000</v>
      </c>
      <c r="S9" s="283"/>
      <c r="T9" s="45"/>
      <c r="U9" s="45" t="s">
        <v>261</v>
      </c>
      <c r="V9" s="45"/>
      <c r="W9" s="45"/>
      <c r="X9" s="286">
        <f>'35'!A221</f>
        <v>659690</v>
      </c>
      <c r="Y9" s="283"/>
    </row>
    <row r="10" spans="2:26" x14ac:dyDescent="0.2">
      <c r="B10" s="281"/>
      <c r="C10" s="45" t="s">
        <v>185</v>
      </c>
      <c r="D10" s="45"/>
      <c r="E10" s="45"/>
      <c r="F10" s="286">
        <f>'35'!A203</f>
        <v>0</v>
      </c>
      <c r="G10" s="283"/>
      <c r="H10" s="45"/>
      <c r="I10" s="45" t="s">
        <v>208</v>
      </c>
      <c r="J10" s="45"/>
      <c r="K10" s="45"/>
      <c r="L10" s="286">
        <f>'35'!A242</f>
        <v>186034</v>
      </c>
      <c r="M10" s="283"/>
      <c r="N10" s="45"/>
      <c r="O10" s="45" t="s">
        <v>236</v>
      </c>
      <c r="P10" s="45"/>
      <c r="Q10" s="289"/>
      <c r="R10" s="289">
        <f>'35'!A262</f>
        <v>250000</v>
      </c>
      <c r="S10" s="283"/>
      <c r="T10" s="45"/>
      <c r="U10" s="45" t="s">
        <v>220</v>
      </c>
      <c r="V10" s="45"/>
      <c r="W10" s="45"/>
      <c r="X10" s="286">
        <f>'35'!A222</f>
        <v>0</v>
      </c>
      <c r="Y10" s="283"/>
    </row>
    <row r="11" spans="2:26" x14ac:dyDescent="0.2">
      <c r="B11" s="281"/>
      <c r="C11" s="45" t="s">
        <v>186</v>
      </c>
      <c r="D11" s="45"/>
      <c r="E11" s="45"/>
      <c r="F11" s="286">
        <f>'35'!A204</f>
        <v>109890</v>
      </c>
      <c r="G11" s="283"/>
      <c r="H11" s="45"/>
      <c r="I11" s="287" t="s">
        <v>209</v>
      </c>
      <c r="L11" s="286">
        <f>'35'!A243</f>
        <v>0</v>
      </c>
      <c r="M11" s="283"/>
      <c r="N11" s="45"/>
      <c r="O11" s="45" t="s">
        <v>237</v>
      </c>
      <c r="P11" s="45"/>
      <c r="Q11" s="45"/>
      <c r="R11" s="292">
        <f>'35'!A263</f>
        <v>1126492</v>
      </c>
      <c r="S11" s="283"/>
      <c r="T11" s="45"/>
      <c r="U11" s="45" t="s">
        <v>262</v>
      </c>
      <c r="V11" s="45"/>
      <c r="W11" s="45"/>
      <c r="X11" s="286">
        <f>'35'!A223</f>
        <v>817292</v>
      </c>
      <c r="Y11" s="283"/>
    </row>
    <row r="12" spans="2:26" x14ac:dyDescent="0.2">
      <c r="B12" s="281"/>
      <c r="C12" s="45" t="s">
        <v>187</v>
      </c>
      <c r="D12" s="45"/>
      <c r="E12" s="45"/>
      <c r="F12" s="286">
        <f>'35'!A205</f>
        <v>10357</v>
      </c>
      <c r="G12" s="283"/>
      <c r="H12" s="45"/>
      <c r="I12" s="45" t="s">
        <v>210</v>
      </c>
      <c r="J12" s="45"/>
      <c r="K12" s="45"/>
      <c r="L12" s="286">
        <f>'35'!A244</f>
        <v>260220</v>
      </c>
      <c r="M12" s="283"/>
      <c r="N12" s="45"/>
      <c r="O12" s="45" t="s">
        <v>238</v>
      </c>
      <c r="P12" s="45"/>
      <c r="Q12" s="45"/>
      <c r="R12" s="286">
        <f>SUM(R9:R11)</f>
        <v>1426492</v>
      </c>
      <c r="S12" s="283"/>
      <c r="T12" s="45"/>
      <c r="U12" s="45" t="s">
        <v>263</v>
      </c>
      <c r="V12" s="45"/>
      <c r="W12" s="45"/>
      <c r="X12" s="288">
        <f>'35'!A224</f>
        <v>0</v>
      </c>
      <c r="Y12" s="283"/>
    </row>
    <row r="13" spans="2:26" x14ac:dyDescent="0.2">
      <c r="B13" s="281"/>
      <c r="C13" s="45" t="s">
        <v>188</v>
      </c>
      <c r="D13" s="45"/>
      <c r="E13" s="45"/>
      <c r="F13" s="286">
        <f>'35'!A206</f>
        <v>0</v>
      </c>
      <c r="G13" s="283"/>
      <c r="H13" s="45"/>
      <c r="I13" s="45" t="s">
        <v>211</v>
      </c>
      <c r="J13" s="45"/>
      <c r="K13" s="45"/>
      <c r="L13" s="286">
        <f>'35'!A245</f>
        <v>65806</v>
      </c>
      <c r="M13" s="283"/>
      <c r="N13" s="45"/>
      <c r="S13" s="283"/>
      <c r="T13" s="45"/>
      <c r="U13" s="287" t="s">
        <v>264</v>
      </c>
      <c r="X13" s="289">
        <f>X9+X10-X11-X12</f>
        <v>-157602</v>
      </c>
      <c r="Y13" s="283"/>
    </row>
    <row r="14" spans="2:26" x14ac:dyDescent="0.2">
      <c r="B14" s="281"/>
      <c r="C14" s="45" t="s">
        <v>189</v>
      </c>
      <c r="D14" s="45"/>
      <c r="E14" s="45"/>
      <c r="F14" s="286">
        <f>'35'!A207</f>
        <v>60000</v>
      </c>
      <c r="G14" s="283"/>
      <c r="H14" s="45"/>
      <c r="I14" s="45" t="s">
        <v>212</v>
      </c>
      <c r="J14" s="45"/>
      <c r="K14" s="45"/>
      <c r="L14" s="286">
        <f>'35'!A246</f>
        <v>118004</v>
      </c>
      <c r="M14" s="283"/>
      <c r="N14" s="45"/>
      <c r="O14" s="290" t="s">
        <v>239</v>
      </c>
      <c r="S14" s="283"/>
      <c r="T14" s="45"/>
      <c r="Y14" s="283"/>
    </row>
    <row r="15" spans="2:26" ht="12" x14ac:dyDescent="0.3">
      <c r="B15" s="281"/>
      <c r="C15" s="325" t="s">
        <v>190</v>
      </c>
      <c r="D15" s="45"/>
      <c r="E15" s="45"/>
      <c r="F15" s="286">
        <f>'35'!A208</f>
        <v>0</v>
      </c>
      <c r="G15" s="283"/>
      <c r="H15" s="45"/>
      <c r="I15" s="45" t="s">
        <v>213</v>
      </c>
      <c r="J15" s="45"/>
      <c r="K15" s="45"/>
      <c r="L15" s="286">
        <f>'35'!A247</f>
        <v>77550</v>
      </c>
      <c r="M15" s="283"/>
      <c r="N15" s="45"/>
      <c r="O15" s="45" t="s">
        <v>240</v>
      </c>
      <c r="P15" s="45"/>
      <c r="Q15" s="45"/>
      <c r="R15" s="286">
        <f>'35'!A265</f>
        <v>17931</v>
      </c>
      <c r="S15" s="283"/>
      <c r="T15" s="45"/>
      <c r="U15" s="290" t="s">
        <v>265</v>
      </c>
      <c r="Y15" s="283"/>
    </row>
    <row r="16" spans="2:26" x14ac:dyDescent="0.2">
      <c r="B16" s="281"/>
      <c r="C16" s="45" t="s">
        <v>191</v>
      </c>
      <c r="D16" s="45"/>
      <c r="E16" s="45"/>
      <c r="F16" s="286">
        <f>'35'!A209</f>
        <v>34000</v>
      </c>
      <c r="G16" s="283"/>
      <c r="H16" s="45"/>
      <c r="I16" s="45" t="s">
        <v>214</v>
      </c>
      <c r="J16" s="45"/>
      <c r="K16" s="45"/>
      <c r="L16" s="286">
        <f>'35'!A248</f>
        <v>2412</v>
      </c>
      <c r="M16" s="283"/>
      <c r="N16" s="45"/>
      <c r="O16" s="287" t="s">
        <v>241</v>
      </c>
      <c r="R16" s="286">
        <f>'35'!A266</f>
        <v>0</v>
      </c>
      <c r="S16" s="283"/>
      <c r="T16" s="45"/>
      <c r="U16" s="45" t="s">
        <v>266</v>
      </c>
      <c r="V16" s="45"/>
      <c r="W16" s="45"/>
      <c r="X16" s="286">
        <f>'35'!A225</f>
        <v>1750</v>
      </c>
      <c r="Y16" s="283"/>
    </row>
    <row r="17" spans="2:25" x14ac:dyDescent="0.2">
      <c r="B17" s="281"/>
      <c r="C17" s="45" t="s">
        <v>192</v>
      </c>
      <c r="D17" s="45"/>
      <c r="E17" s="45"/>
      <c r="F17" s="286">
        <f>'35'!A210</f>
        <v>5100</v>
      </c>
      <c r="G17" s="283"/>
      <c r="H17" s="45"/>
      <c r="I17" s="45" t="s">
        <v>215</v>
      </c>
      <c r="L17" s="286">
        <f>'35'!A249</f>
        <v>23400</v>
      </c>
      <c r="M17" s="283"/>
      <c r="N17" s="45"/>
      <c r="O17" s="45" t="s">
        <v>242</v>
      </c>
      <c r="P17" s="45"/>
      <c r="Q17" s="45"/>
      <c r="R17" s="286">
        <f>'35'!A267</f>
        <v>132397</v>
      </c>
      <c r="S17" s="283"/>
      <c r="T17" s="45"/>
      <c r="U17" s="45" t="s">
        <v>267</v>
      </c>
      <c r="X17" s="286">
        <f>'35'!A226</f>
        <v>0</v>
      </c>
      <c r="Y17" s="283"/>
    </row>
    <row r="18" spans="2:25" x14ac:dyDescent="0.2">
      <c r="B18" s="281"/>
      <c r="C18" s="45" t="s">
        <v>193</v>
      </c>
      <c r="D18" s="45"/>
      <c r="E18" s="45"/>
      <c r="F18" s="286">
        <f>'35'!A211</f>
        <v>8080</v>
      </c>
      <c r="G18" s="283"/>
      <c r="H18" s="45"/>
      <c r="I18" s="43" t="s">
        <v>216</v>
      </c>
      <c r="J18" s="45"/>
      <c r="K18" s="45"/>
      <c r="L18" s="288">
        <f>'35'!A250</f>
        <v>150328</v>
      </c>
      <c r="M18" s="283"/>
      <c r="N18" s="45"/>
      <c r="O18" s="45" t="s">
        <v>243</v>
      </c>
      <c r="P18" s="45"/>
      <c r="Q18" s="45"/>
      <c r="R18" s="286">
        <f>'35'!A268</f>
        <v>677585</v>
      </c>
      <c r="S18" s="283"/>
      <c r="T18" s="45"/>
      <c r="U18" s="45" t="s">
        <v>268</v>
      </c>
      <c r="V18" s="45"/>
      <c r="W18" s="45"/>
      <c r="X18" s="288">
        <f>'35'!A227</f>
        <v>0</v>
      </c>
      <c r="Y18" s="283"/>
    </row>
    <row r="19" spans="2:25" x14ac:dyDescent="0.2">
      <c r="B19" s="281"/>
      <c r="C19" s="45" t="s">
        <v>194</v>
      </c>
      <c r="D19" s="45"/>
      <c r="E19" s="45"/>
      <c r="F19" s="286">
        <f>'35'!A212</f>
        <v>7500</v>
      </c>
      <c r="G19" s="283"/>
      <c r="H19" s="45"/>
      <c r="I19" s="45" t="s">
        <v>217</v>
      </c>
      <c r="J19" s="45"/>
      <c r="K19" s="45"/>
      <c r="L19" s="291">
        <f>'35'!A251</f>
        <v>583098</v>
      </c>
      <c r="M19" s="283"/>
      <c r="N19" s="45"/>
      <c r="O19" s="45" t="s">
        <v>244</v>
      </c>
      <c r="P19" s="45"/>
      <c r="Q19" s="45"/>
      <c r="R19" s="288">
        <f>'35'!A269</f>
        <v>1651545</v>
      </c>
      <c r="S19" s="283"/>
      <c r="T19" s="45"/>
      <c r="U19" s="287" t="s">
        <v>269</v>
      </c>
      <c r="X19" s="289">
        <f>X16+X17-X18</f>
        <v>1750</v>
      </c>
      <c r="Y19" s="283"/>
    </row>
    <row r="20" spans="2:25" x14ac:dyDescent="0.2">
      <c r="B20" s="281"/>
      <c r="C20" s="45" t="s">
        <v>195</v>
      </c>
      <c r="D20" s="45"/>
      <c r="E20" s="45"/>
      <c r="F20" s="286">
        <f>'35'!A213</f>
        <v>2567</v>
      </c>
      <c r="G20" s="283"/>
      <c r="H20" s="45"/>
      <c r="I20" s="45" t="s">
        <v>218</v>
      </c>
      <c r="J20" s="45"/>
      <c r="K20" s="45"/>
      <c r="L20" s="286">
        <f>'35'!A252</f>
        <v>452612</v>
      </c>
      <c r="M20" s="283"/>
      <c r="N20" s="45"/>
      <c r="O20" s="287" t="s">
        <v>245</v>
      </c>
      <c r="R20" s="515">
        <f>SUM(R15:R19)</f>
        <v>2479458</v>
      </c>
      <c r="S20" s="283"/>
      <c r="T20" s="45"/>
      <c r="Y20" s="283"/>
    </row>
    <row r="21" spans="2:25" x14ac:dyDescent="0.2">
      <c r="B21" s="281"/>
      <c r="C21" s="45" t="s">
        <v>196</v>
      </c>
      <c r="D21" s="45"/>
      <c r="E21" s="45"/>
      <c r="F21" s="286">
        <f>'35'!A214</f>
        <v>9848</v>
      </c>
      <c r="G21" s="283"/>
      <c r="H21" s="45"/>
      <c r="I21" s="45" t="s">
        <v>219</v>
      </c>
      <c r="J21" s="45"/>
      <c r="K21" s="45"/>
      <c r="L21" s="286">
        <f>'35'!A217</f>
        <v>353052</v>
      </c>
      <c r="M21" s="283"/>
      <c r="N21" s="45"/>
      <c r="O21" s="45" t="s">
        <v>246</v>
      </c>
      <c r="P21" s="45"/>
      <c r="Q21" s="45"/>
      <c r="R21" s="286">
        <f>R12+R20</f>
        <v>3905950</v>
      </c>
      <c r="S21" s="283"/>
      <c r="T21" s="45"/>
      <c r="U21" s="290" t="s">
        <v>270</v>
      </c>
      <c r="Y21" s="283"/>
    </row>
    <row r="22" spans="2:25" x14ac:dyDescent="0.2">
      <c r="B22" s="281"/>
      <c r="C22" s="45" t="s">
        <v>197</v>
      </c>
      <c r="D22" s="45"/>
      <c r="E22" s="45"/>
      <c r="F22" s="286">
        <f>'35'!A215</f>
        <v>60000</v>
      </c>
      <c r="G22" s="283"/>
      <c r="H22" s="45"/>
      <c r="I22" s="45" t="s">
        <v>220</v>
      </c>
      <c r="J22" s="45"/>
      <c r="K22" s="45"/>
      <c r="L22" s="286">
        <f>'35'!A222</f>
        <v>0</v>
      </c>
      <c r="M22" s="283"/>
      <c r="N22" s="45"/>
      <c r="S22" s="283"/>
      <c r="T22" s="45"/>
      <c r="U22" s="242" t="s">
        <v>271</v>
      </c>
      <c r="X22" s="286">
        <f>'35'!A228</f>
        <v>0</v>
      </c>
      <c r="Y22" s="283"/>
    </row>
    <row r="23" spans="2:25" x14ac:dyDescent="0.2">
      <c r="B23" s="281"/>
      <c r="C23" s="45" t="s">
        <v>198</v>
      </c>
      <c r="D23" s="45"/>
      <c r="E23" s="45"/>
      <c r="F23" s="288">
        <f>'35'!A216</f>
        <v>10710</v>
      </c>
      <c r="G23" s="283"/>
      <c r="H23" s="45"/>
      <c r="I23" s="45" t="s">
        <v>221</v>
      </c>
      <c r="J23" s="45"/>
      <c r="K23" s="45"/>
      <c r="L23" s="292">
        <f>'35'!A254</f>
        <v>28884</v>
      </c>
      <c r="M23" s="283"/>
      <c r="N23" s="45"/>
      <c r="O23" s="268" t="s">
        <v>247</v>
      </c>
      <c r="P23" s="45"/>
      <c r="Q23" s="45"/>
      <c r="R23" s="286"/>
      <c r="S23" s="283"/>
      <c r="T23" s="45"/>
      <c r="U23" s="242" t="s">
        <v>272</v>
      </c>
      <c r="V23" s="45"/>
      <c r="W23" s="45"/>
      <c r="X23" s="286">
        <f>'35'!A229</f>
        <v>0</v>
      </c>
      <c r="Y23" s="283"/>
    </row>
    <row r="24" spans="2:25" x14ac:dyDescent="0.2">
      <c r="B24" s="281"/>
      <c r="C24" s="45" t="s">
        <v>199</v>
      </c>
      <c r="D24" s="268"/>
      <c r="E24" s="45"/>
      <c r="F24" s="288">
        <f>'35'!A217</f>
        <v>353052</v>
      </c>
      <c r="G24" s="283"/>
      <c r="H24" s="45"/>
      <c r="I24" s="287" t="s">
        <v>222</v>
      </c>
      <c r="L24" s="286">
        <f>L20-L21+L22-L23</f>
        <v>70676</v>
      </c>
      <c r="M24" s="283"/>
      <c r="N24" s="45"/>
      <c r="O24" s="45" t="s">
        <v>248</v>
      </c>
      <c r="P24" s="45"/>
      <c r="Q24" s="45"/>
      <c r="R24" s="286">
        <f>'35'!A271</f>
        <v>0</v>
      </c>
      <c r="S24" s="283"/>
      <c r="T24" s="45"/>
      <c r="U24" s="45" t="s">
        <v>273</v>
      </c>
      <c r="V24" s="45"/>
      <c r="W24" s="45"/>
      <c r="X24" s="286">
        <f>'35'!A230</f>
        <v>0</v>
      </c>
      <c r="Y24" s="283"/>
    </row>
    <row r="25" spans="2:25" ht="12" x14ac:dyDescent="0.3">
      <c r="B25" s="281"/>
      <c r="C25" s="45"/>
      <c r="F25" s="293"/>
      <c r="G25" s="283"/>
      <c r="H25" s="45"/>
      <c r="I25" s="45" t="s">
        <v>223</v>
      </c>
      <c r="J25" s="45"/>
      <c r="K25" s="45"/>
      <c r="L25" s="286">
        <f>'35'!A225</f>
        <v>1750</v>
      </c>
      <c r="M25" s="283"/>
      <c r="N25" s="45"/>
      <c r="O25" s="325" t="s">
        <v>249</v>
      </c>
      <c r="P25" s="45"/>
      <c r="Q25" s="45"/>
      <c r="R25" s="286">
        <f>'35'!A272</f>
        <v>201690</v>
      </c>
      <c r="S25" s="283"/>
      <c r="T25" s="45"/>
      <c r="U25" s="45" t="s">
        <v>274</v>
      </c>
      <c r="V25" s="45"/>
      <c r="W25" s="45"/>
      <c r="X25" s="286">
        <f>'35'!A231</f>
        <v>0</v>
      </c>
      <c r="Y25" s="283"/>
    </row>
    <row r="26" spans="2:25" x14ac:dyDescent="0.2">
      <c r="B26" s="281"/>
      <c r="C26" s="326" t="s">
        <v>200</v>
      </c>
      <c r="D26" s="45"/>
      <c r="E26" s="45"/>
      <c r="F26" s="286"/>
      <c r="G26" s="283"/>
      <c r="H26" s="45"/>
      <c r="I26" s="45" t="s">
        <v>224</v>
      </c>
      <c r="J26" s="45"/>
      <c r="K26" s="45"/>
      <c r="L26" s="288">
        <f>'35'!A232</f>
        <v>0</v>
      </c>
      <c r="M26" s="283"/>
      <c r="N26" s="45"/>
      <c r="O26" s="45" t="s">
        <v>250</v>
      </c>
      <c r="P26" s="45"/>
      <c r="Q26" s="45"/>
      <c r="R26" s="288">
        <f>'35'!A273</f>
        <v>0</v>
      </c>
      <c r="S26" s="283"/>
      <c r="T26" s="45"/>
      <c r="U26" s="45" t="s">
        <v>275</v>
      </c>
      <c r="V26" s="45"/>
      <c r="W26" s="45"/>
      <c r="X26" s="288">
        <f>'35'!A232</f>
        <v>0</v>
      </c>
      <c r="Y26" s="283"/>
    </row>
    <row r="27" spans="2:25" x14ac:dyDescent="0.2">
      <c r="B27" s="281"/>
      <c r="C27" s="287" t="s">
        <v>201</v>
      </c>
      <c r="D27" s="45"/>
      <c r="E27" s="45"/>
      <c r="F27" s="289">
        <f>L27</f>
        <v>72426</v>
      </c>
      <c r="G27" s="283"/>
      <c r="H27" s="45"/>
      <c r="I27" s="287" t="s">
        <v>225</v>
      </c>
      <c r="J27" s="45"/>
      <c r="K27" s="45"/>
      <c r="L27" s="289">
        <f>L24+L25-L26</f>
        <v>72426</v>
      </c>
      <c r="M27" s="283"/>
      <c r="N27" s="45"/>
      <c r="O27" s="43" t="s">
        <v>251</v>
      </c>
      <c r="P27" s="45"/>
      <c r="Q27" s="45"/>
      <c r="R27" s="286">
        <f>SUM(R24:R26)</f>
        <v>201690</v>
      </c>
      <c r="S27" s="283"/>
      <c r="T27" s="45"/>
      <c r="U27" s="287" t="s">
        <v>276</v>
      </c>
      <c r="X27" s="289">
        <f>X22-X23-X24+X25-X26</f>
        <v>0</v>
      </c>
      <c r="Y27" s="283"/>
    </row>
    <row r="28" spans="2:25" x14ac:dyDescent="0.2">
      <c r="B28" s="281"/>
      <c r="C28" s="287" t="s">
        <v>202</v>
      </c>
      <c r="D28" s="45"/>
      <c r="E28" s="45"/>
      <c r="F28" s="288">
        <f>'35'!A240</f>
        <v>-368166</v>
      </c>
      <c r="G28" s="283"/>
      <c r="H28" s="45"/>
      <c r="I28" s="45" t="s">
        <v>226</v>
      </c>
      <c r="J28" s="45"/>
      <c r="K28" s="45"/>
      <c r="L28" s="288">
        <f>'35'!A255</f>
        <v>0</v>
      </c>
      <c r="M28" s="283"/>
      <c r="N28" s="45"/>
      <c r="O28" s="45" t="s">
        <v>252</v>
      </c>
      <c r="P28" s="45"/>
      <c r="Q28" s="45"/>
      <c r="R28" s="286">
        <f>'35'!A274</f>
        <v>0</v>
      </c>
      <c r="S28" s="283"/>
      <c r="X28" s="294"/>
      <c r="Y28" s="283"/>
    </row>
    <row r="29" spans="2:25" x14ac:dyDescent="0.2">
      <c r="B29" s="281"/>
      <c r="C29" s="287" t="s">
        <v>203</v>
      </c>
      <c r="F29" s="289">
        <f>'35'!A257</f>
        <v>-295740</v>
      </c>
      <c r="G29" s="283"/>
      <c r="H29" s="45"/>
      <c r="I29" s="45" t="s">
        <v>227</v>
      </c>
      <c r="J29" s="45"/>
      <c r="K29" s="45"/>
      <c r="L29" s="286">
        <f>'35'!A256</f>
        <v>72426</v>
      </c>
      <c r="M29" s="283"/>
      <c r="N29" s="45"/>
      <c r="S29" s="283"/>
      <c r="U29" s="45" t="s">
        <v>277</v>
      </c>
      <c r="V29" s="45"/>
      <c r="W29" s="45"/>
      <c r="X29" s="289">
        <f>'35'!A233</f>
        <v>-155852</v>
      </c>
      <c r="Y29" s="283"/>
    </row>
    <row r="30" spans="2:25" x14ac:dyDescent="0.2">
      <c r="B30" s="281"/>
      <c r="C30" s="45"/>
      <c r="G30" s="283"/>
      <c r="H30" s="45"/>
      <c r="I30" s="287" t="s">
        <v>228</v>
      </c>
      <c r="L30" s="295">
        <f>IF(R33&gt;0,100*L29/R33,0)</f>
        <v>1.8106500000000001</v>
      </c>
      <c r="M30" s="283"/>
      <c r="N30" s="45"/>
      <c r="O30" s="45" t="s">
        <v>253</v>
      </c>
      <c r="P30" s="45"/>
      <c r="Q30" s="45"/>
      <c r="R30" s="286">
        <f>R21-R27-R28</f>
        <v>3704260</v>
      </c>
      <c r="S30" s="283"/>
      <c r="U30" s="287" t="s">
        <v>278</v>
      </c>
      <c r="V30" s="45"/>
      <c r="W30" s="45"/>
      <c r="X30" s="292">
        <f>'35'!A234</f>
        <v>1807397</v>
      </c>
      <c r="Y30" s="283"/>
    </row>
    <row r="31" spans="2:25" x14ac:dyDescent="0.2">
      <c r="B31" s="281"/>
      <c r="C31" s="45"/>
      <c r="G31" s="283"/>
      <c r="H31" s="45"/>
      <c r="M31" s="283"/>
      <c r="N31" s="45"/>
      <c r="S31" s="283"/>
      <c r="U31" s="287" t="s">
        <v>279</v>
      </c>
      <c r="X31" s="45">
        <f>R19-R26</f>
        <v>1651545</v>
      </c>
      <c r="Y31" s="283"/>
    </row>
    <row r="32" spans="2:25" x14ac:dyDescent="0.2">
      <c r="B32" s="281"/>
      <c r="G32" s="283"/>
      <c r="H32" s="45"/>
      <c r="I32" s="43" t="s">
        <v>229</v>
      </c>
      <c r="J32" s="45"/>
      <c r="K32" s="45"/>
      <c r="L32" s="288">
        <f>'35'!A230</f>
        <v>0</v>
      </c>
      <c r="M32" s="283"/>
      <c r="N32" s="45"/>
      <c r="O32" s="290" t="s">
        <v>254</v>
      </c>
      <c r="S32" s="283"/>
      <c r="U32" s="242" t="s">
        <v>280</v>
      </c>
      <c r="X32" s="289">
        <f>'35'!A270</f>
        <v>1400000</v>
      </c>
      <c r="Y32" s="296" t="s">
        <v>9</v>
      </c>
    </row>
    <row r="33" spans="1:25" x14ac:dyDescent="0.2">
      <c r="B33" s="281"/>
      <c r="C33" s="45" t="s">
        <v>204</v>
      </c>
      <c r="D33" s="45"/>
      <c r="E33" s="45"/>
      <c r="F33" s="286">
        <f>'35'!A219</f>
        <v>0</v>
      </c>
      <c r="G33" s="283"/>
      <c r="H33" s="45"/>
      <c r="I33" s="45" t="s">
        <v>230</v>
      </c>
      <c r="J33" s="45"/>
      <c r="K33" s="45"/>
      <c r="L33" s="286">
        <f>L29-L32</f>
        <v>72426</v>
      </c>
      <c r="M33" s="283"/>
      <c r="O33" s="43" t="s">
        <v>255</v>
      </c>
      <c r="P33" s="45"/>
      <c r="Q33" s="45"/>
      <c r="R33" s="286">
        <f>'35'!A275</f>
        <v>4000000</v>
      </c>
      <c r="S33" s="283"/>
      <c r="Y33" s="283"/>
    </row>
    <row r="34" spans="1:25" x14ac:dyDescent="0.2">
      <c r="B34" s="281"/>
      <c r="C34" s="45" t="s">
        <v>205</v>
      </c>
      <c r="D34" s="45"/>
      <c r="E34" s="45"/>
      <c r="F34" s="286">
        <f>'35'!A220</f>
        <v>1641</v>
      </c>
      <c r="G34" s="283"/>
      <c r="H34" s="45"/>
      <c r="I34" s="242" t="s">
        <v>231</v>
      </c>
      <c r="J34" s="45"/>
      <c r="K34" s="45"/>
      <c r="L34" s="288">
        <f>'35'!A260</f>
        <v>-368166</v>
      </c>
      <c r="M34" s="283"/>
      <c r="O34" s="242" t="s">
        <v>256</v>
      </c>
      <c r="R34" s="286">
        <f>'35'!A276</f>
        <v>0</v>
      </c>
      <c r="S34" s="283"/>
      <c r="U34" s="45" t="s">
        <v>281</v>
      </c>
      <c r="V34" s="45"/>
      <c r="W34" s="45"/>
      <c r="X34" s="289">
        <f>'35'!A238</f>
        <v>633000</v>
      </c>
      <c r="Y34" s="283"/>
    </row>
    <row r="35" spans="1:25" x14ac:dyDescent="0.2">
      <c r="B35" s="281"/>
      <c r="C35" s="45"/>
      <c r="G35" s="283"/>
      <c r="I35" s="242" t="s">
        <v>232</v>
      </c>
      <c r="L35" s="289">
        <f>L33+L34</f>
        <v>-295740</v>
      </c>
      <c r="M35" s="283"/>
      <c r="O35" s="45" t="s">
        <v>257</v>
      </c>
      <c r="P35" s="45"/>
      <c r="Q35" s="45"/>
      <c r="R35" s="288">
        <f>R36-R33-R34</f>
        <v>-295740</v>
      </c>
      <c r="S35" s="283"/>
      <c r="U35" s="45" t="s">
        <v>282</v>
      </c>
      <c r="V35" s="45"/>
      <c r="W35" s="45"/>
      <c r="X35" s="289">
        <f>'35'!A239</f>
        <v>1399000</v>
      </c>
      <c r="Y35" s="283"/>
    </row>
    <row r="36" spans="1:25" x14ac:dyDescent="0.2">
      <c r="B36" s="281"/>
      <c r="G36" s="283"/>
      <c r="M36" s="283"/>
      <c r="O36" s="45" t="s">
        <v>258</v>
      </c>
      <c r="P36" s="45"/>
      <c r="Q36" s="45"/>
      <c r="R36" s="286">
        <f>'35'!A277</f>
        <v>3704260</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theme="8" tint="0.39997558519241921"/>
    <pageSetUpPr fitToPage="1"/>
  </sheetPr>
  <dimension ref="B1:Q122"/>
  <sheetViews>
    <sheetView showGridLines="0" zoomScaleNormal="100" workbookViewId="0">
      <selection activeCell="K35" sqref="K35"/>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'35'!$A1</f>
        <v>1</v>
      </c>
      <c r="K1" s="170" t="s">
        <v>81</v>
      </c>
      <c r="L1" s="172">
        <f>'35'!$A4</f>
        <v>2016</v>
      </c>
      <c r="M1" s="170" t="s">
        <v>289</v>
      </c>
      <c r="N1" s="517">
        <f>'35'!$A5</f>
        <v>4</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'35'!A505</f>
        <v>4237</v>
      </c>
      <c r="H5" s="187">
        <f>'35'!A506</f>
        <v>4352</v>
      </c>
      <c r="I5" s="187">
        <f>'35'!A504</f>
        <v>6143</v>
      </c>
      <c r="K5" s="182"/>
      <c r="M5" s="40"/>
      <c r="N5" s="179"/>
    </row>
    <row r="6" spans="2:14" ht="13.2" x14ac:dyDescent="0.3">
      <c r="B6" s="244"/>
      <c r="C6" s="259" t="s">
        <v>292</v>
      </c>
      <c r="D6" s="40"/>
      <c r="E6" s="40"/>
      <c r="F6" s="40"/>
      <c r="G6" s="301">
        <f>'35'!A507/10</f>
        <v>8.3000000000000007</v>
      </c>
      <c r="H6" s="301">
        <f>'35'!A508/10</f>
        <v>4.4000000000000004</v>
      </c>
      <c r="I6" s="217"/>
      <c r="K6" s="182"/>
      <c r="L6" s="196"/>
      <c r="M6" s="40"/>
      <c r="N6" s="179"/>
    </row>
    <row r="7" spans="2:14" x14ac:dyDescent="0.2">
      <c r="B7" s="244"/>
      <c r="C7" s="182" t="s">
        <v>293</v>
      </c>
      <c r="D7" s="40"/>
      <c r="E7" s="40"/>
      <c r="F7" s="40"/>
      <c r="G7" s="187">
        <f>'35'!A509</f>
        <v>1755</v>
      </c>
      <c r="H7" s="187">
        <f>'35'!A510</f>
        <v>1774</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'35'!A501/10</f>
        <v>0.6</v>
      </c>
      <c r="H10" s="301">
        <f>'35'!A502/10</f>
        <v>1.1000000000000001</v>
      </c>
      <c r="I10" s="182" t="s">
        <v>302</v>
      </c>
      <c r="J10" s="182"/>
      <c r="K10" s="196"/>
      <c r="L10" s="302">
        <f>'35'!A511/100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'35'!A518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206</v>
      </c>
      <c r="I16" s="667">
        <f>INT(L10*3*G20/1000) + 120</f>
        <v>317</v>
      </c>
      <c r="K16" s="196"/>
      <c r="L16" s="196"/>
      <c r="M16" s="196"/>
      <c r="N16" s="179"/>
    </row>
    <row r="17" spans="2:14" x14ac:dyDescent="0.2">
      <c r="B17" s="244"/>
      <c r="C17" s="269" t="s">
        <v>299</v>
      </c>
      <c r="E17" s="40"/>
      <c r="F17" s="40"/>
      <c r="G17" s="667">
        <f>INT(L10*1.5*G20/1000) + 60</f>
        <v>158</v>
      </c>
      <c r="H17" s="667">
        <f>INT(L10*1.5*2*G20/1000) + 75</f>
        <v>272</v>
      </c>
      <c r="I17" s="667">
        <f>INT(L10*1.5*3*G20/1000) + 120</f>
        <v>416</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'35'!A515</f>
        <v>79345</v>
      </c>
      <c r="H20" s="304">
        <f>'35'!A516</f>
        <v>75378</v>
      </c>
      <c r="I20" s="304">
        <f>'35'!A517</f>
        <v>71410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'35'!A681</f>
        <v>The European Union thinks that it is too risky to increase interest</v>
      </c>
      <c r="G23" s="40"/>
      <c r="H23" s="40"/>
      <c r="I23" s="182"/>
      <c r="J23" s="40"/>
      <c r="K23" s="40"/>
      <c r="L23" s="40"/>
      <c r="M23" s="40"/>
      <c r="N23" s="179"/>
    </row>
    <row r="24" spans="2:14" ht="12" x14ac:dyDescent="0.25">
      <c r="B24" s="244"/>
      <c r="C24" s="247"/>
      <c r="F24" s="233" t="str">
        <f>'35'!A682</f>
        <v>rates. Inflation is increasing but past experience has shown that</v>
      </c>
      <c r="G24" s="40"/>
      <c r="H24" s="40"/>
      <c r="I24" s="182"/>
      <c r="J24" s="40"/>
      <c r="K24" s="40"/>
      <c r="L24" s="40"/>
      <c r="M24" s="40"/>
      <c r="N24" s="179"/>
    </row>
    <row r="25" spans="2:14" ht="12" x14ac:dyDescent="0.25">
      <c r="B25" s="244"/>
      <c r="C25" s="247"/>
      <c r="F25" s="233" t="str">
        <f>'35'!A683</f>
        <v>if interest rates are increased too soon this can slow down the</v>
      </c>
      <c r="G25" s="40"/>
      <c r="H25" s="40"/>
      <c r="I25" s="182"/>
      <c r="J25" s="40"/>
      <c r="K25" s="40"/>
      <c r="L25" s="40"/>
      <c r="M25" s="40"/>
      <c r="N25" s="179"/>
    </row>
    <row r="26" spans="2:14" x14ac:dyDescent="0.2">
      <c r="B26" s="244"/>
      <c r="C26" s="233"/>
      <c r="F26" s="233" t="str">
        <f>'35'!A684</f>
        <v>the economy.</v>
      </c>
      <c r="G26" s="233"/>
      <c r="H26" s="233"/>
      <c r="I26" s="184"/>
      <c r="J26" s="233"/>
      <c r="K26" s="40"/>
      <c r="L26" s="40"/>
      <c r="M26" s="40"/>
      <c r="N26" s="179"/>
    </row>
    <row r="27" spans="2:14" x14ac:dyDescent="0.2">
      <c r="B27" s="244"/>
      <c r="C27" s="233"/>
      <c r="F27" s="233" t="str">
        <f>'35'!A685</f>
        <v xml:space="preserve"> </v>
      </c>
      <c r="G27" s="233"/>
      <c r="H27" s="233"/>
      <c r="I27" s="184"/>
      <c r="J27" s="233"/>
      <c r="K27" s="40"/>
      <c r="L27" s="40"/>
      <c r="M27" s="40"/>
      <c r="N27" s="179"/>
    </row>
    <row r="28" spans="2:14" x14ac:dyDescent="0.2">
      <c r="B28" s="244"/>
      <c r="C28" s="233"/>
      <c r="F28" s="233" t="str">
        <f>'35'!A686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'35'!A521</f>
        <v>1</v>
      </c>
      <c r="G33" s="309">
        <f>'35'!A541</f>
        <v>2</v>
      </c>
      <c r="H33" s="309">
        <f>'35'!A561</f>
        <v>3</v>
      </c>
      <c r="I33" s="309">
        <f>'35'!A581</f>
        <v>4</v>
      </c>
      <c r="J33" s="309">
        <f>'35'!A601</f>
        <v>5</v>
      </c>
      <c r="K33" s="309">
        <f>'35'!A621</f>
        <v>6</v>
      </c>
      <c r="L33" s="309">
        <f>'35'!A641</f>
        <v>7</v>
      </c>
      <c r="M33" s="309">
        <f>'35'!A661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'35'!A522/100</f>
        <v>101.6</v>
      </c>
      <c r="G35" s="310">
        <f>'35'!A542/100</f>
        <v>101.6</v>
      </c>
      <c r="H35" s="310">
        <f>'35'!A562/100</f>
        <v>101.6</v>
      </c>
      <c r="I35" s="310">
        <f>'35'!A582/100</f>
        <v>101.6</v>
      </c>
      <c r="J35" s="310">
        <f>'35'!A602/100</f>
        <v>101.6</v>
      </c>
      <c r="K35" s="310">
        <f>'35'!A622/100</f>
        <v>101.6</v>
      </c>
      <c r="L35" s="310">
        <f>'35'!A642/100</f>
        <v>101.6</v>
      </c>
      <c r="M35" s="310">
        <f>'35'!A662/100</f>
        <v>101.6</v>
      </c>
      <c r="N35" s="204"/>
    </row>
    <row r="36" spans="2:17" x14ac:dyDescent="0.2">
      <c r="B36" s="244"/>
      <c r="C36" s="40" t="s">
        <v>310</v>
      </c>
      <c r="D36" s="40"/>
      <c r="E36" s="40"/>
      <c r="F36" s="310">
        <f>'35'!A523</f>
        <v>4064000</v>
      </c>
      <c r="G36" s="310">
        <f>'35'!A543</f>
        <v>4064000</v>
      </c>
      <c r="H36" s="310">
        <f>'35'!A563</f>
        <v>4064000</v>
      </c>
      <c r="I36" s="310">
        <f>'35'!A583</f>
        <v>4064000</v>
      </c>
      <c r="J36" s="310">
        <f>'35'!A603</f>
        <v>4064000</v>
      </c>
      <c r="K36" s="310">
        <f>'35'!A623</f>
        <v>4064000</v>
      </c>
      <c r="L36" s="310">
        <f>'35'!A643</f>
        <v>4064000</v>
      </c>
      <c r="M36" s="310">
        <f>'35'!A663</f>
        <v>4064000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'35'!A524</f>
        <v>0</v>
      </c>
      <c r="G38" s="310">
        <f>'35'!A544</f>
        <v>0</v>
      </c>
      <c r="H38" s="310">
        <f>'35'!A564</f>
        <v>0</v>
      </c>
      <c r="I38" s="310">
        <f>'35'!A584</f>
        <v>0</v>
      </c>
      <c r="J38" s="310">
        <f>'35'!A604</f>
        <v>0</v>
      </c>
      <c r="K38" s="310">
        <f>'35'!A624</f>
        <v>0</v>
      </c>
      <c r="L38" s="310">
        <f>'35'!A644</f>
        <v>0</v>
      </c>
      <c r="M38" s="310">
        <f>'35'!A664</f>
        <v>0</v>
      </c>
      <c r="N38" s="204"/>
    </row>
    <row r="39" spans="2:17" x14ac:dyDescent="0.2">
      <c r="B39" s="244"/>
      <c r="C39" s="40" t="s">
        <v>312</v>
      </c>
      <c r="D39" s="40"/>
      <c r="E39" s="40"/>
      <c r="F39" s="310">
        <f>'35'!A525</f>
        <v>4064000</v>
      </c>
      <c r="G39" s="310">
        <f>'35'!A545</f>
        <v>4064000</v>
      </c>
      <c r="H39" s="310">
        <f>'35'!A565</f>
        <v>4064000</v>
      </c>
      <c r="I39" s="310">
        <f>'35'!A585</f>
        <v>4064000</v>
      </c>
      <c r="J39" s="310">
        <f>'35'!A605</f>
        <v>4064000</v>
      </c>
      <c r="K39" s="310">
        <f>'35'!A625</f>
        <v>4064000</v>
      </c>
      <c r="L39" s="310">
        <f>'35'!A645</f>
        <v>4064000</v>
      </c>
      <c r="M39" s="310">
        <f>'35'!A665</f>
        <v>4064000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'35'!A526</f>
        <v>285</v>
      </c>
      <c r="G43" s="310">
        <f>'35'!A546</f>
        <v>285</v>
      </c>
      <c r="H43" s="310">
        <f>'35'!A566</f>
        <v>285</v>
      </c>
      <c r="I43" s="310">
        <f>'35'!A586</f>
        <v>285</v>
      </c>
      <c r="J43" s="310">
        <f>'35'!A606</f>
        <v>285</v>
      </c>
      <c r="K43" s="310">
        <f>'35'!A626</f>
        <v>285</v>
      </c>
      <c r="L43" s="310">
        <f>'35'!A646</f>
        <v>285</v>
      </c>
      <c r="M43" s="310">
        <f>'35'!A666</f>
        <v>285</v>
      </c>
      <c r="N43" s="204"/>
    </row>
    <row r="44" spans="2:17" x14ac:dyDescent="0.2">
      <c r="B44" s="244"/>
      <c r="C44" s="40" t="s">
        <v>1</v>
      </c>
      <c r="D44" s="182" t="s">
        <v>19</v>
      </c>
      <c r="E44" s="40"/>
      <c r="F44" s="310">
        <f>'35'!A527</f>
        <v>0</v>
      </c>
      <c r="G44" s="310">
        <f>'35'!A547</f>
        <v>0</v>
      </c>
      <c r="H44" s="310">
        <f>'35'!A567</f>
        <v>0</v>
      </c>
      <c r="I44" s="310">
        <f>'35'!A587</f>
        <v>0</v>
      </c>
      <c r="J44" s="310">
        <f>'35'!A607</f>
        <v>0</v>
      </c>
      <c r="K44" s="310">
        <f>'35'!A627</f>
        <v>0</v>
      </c>
      <c r="L44" s="310">
        <f>'35'!A647</f>
        <v>0</v>
      </c>
      <c r="M44" s="310">
        <f>'35'!A667</f>
        <v>0</v>
      </c>
      <c r="N44" s="204"/>
    </row>
    <row r="45" spans="2:17" x14ac:dyDescent="0.2">
      <c r="B45" s="244"/>
      <c r="C45" s="40"/>
      <c r="D45" s="40" t="s">
        <v>18</v>
      </c>
      <c r="E45" s="40"/>
      <c r="F45" s="310">
        <f>'35'!A528</f>
        <v>0</v>
      </c>
      <c r="G45" s="310">
        <f>'35'!A548</f>
        <v>0</v>
      </c>
      <c r="H45" s="310">
        <f>'35'!A568</f>
        <v>0</v>
      </c>
      <c r="I45" s="310">
        <f>'35'!A588</f>
        <v>0</v>
      </c>
      <c r="J45" s="310">
        <f>'35'!A608</f>
        <v>0</v>
      </c>
      <c r="K45" s="310">
        <f>'35'!A628</f>
        <v>0</v>
      </c>
      <c r="L45" s="310">
        <f>'35'!A648</f>
        <v>0</v>
      </c>
      <c r="M45" s="310">
        <f>'35'!A668</f>
        <v>0</v>
      </c>
      <c r="N45" s="204"/>
    </row>
    <row r="46" spans="2:17" x14ac:dyDescent="0.2">
      <c r="B46" s="244"/>
      <c r="C46" s="40" t="s">
        <v>316</v>
      </c>
      <c r="D46" s="40"/>
      <c r="E46" s="40"/>
      <c r="F46" s="310">
        <f>'35'!A529</f>
        <v>450</v>
      </c>
      <c r="G46" s="310">
        <f>'35'!A549</f>
        <v>450</v>
      </c>
      <c r="H46" s="310">
        <f>'35'!A569</f>
        <v>450</v>
      </c>
      <c r="I46" s="310">
        <f>'35'!A589</f>
        <v>450</v>
      </c>
      <c r="J46" s="310">
        <f>'35'!A609</f>
        <v>450</v>
      </c>
      <c r="K46" s="310">
        <f>'35'!A629</f>
        <v>450</v>
      </c>
      <c r="L46" s="310">
        <f>'35'!A649</f>
        <v>450</v>
      </c>
      <c r="M46" s="310">
        <f>'35'!A669</f>
        <v>450</v>
      </c>
      <c r="N46" s="204"/>
    </row>
    <row r="47" spans="2:17" x14ac:dyDescent="0.2">
      <c r="B47" s="244"/>
      <c r="C47" s="40" t="s">
        <v>1</v>
      </c>
      <c r="D47" s="182" t="s">
        <v>19</v>
      </c>
      <c r="E47" s="40"/>
      <c r="F47" s="310">
        <f>'35'!A530</f>
        <v>0</v>
      </c>
      <c r="G47" s="310">
        <f>'35'!A550</f>
        <v>0</v>
      </c>
      <c r="H47" s="310">
        <f>'35'!A570</f>
        <v>0</v>
      </c>
      <c r="I47" s="310">
        <f>'35'!A590</f>
        <v>0</v>
      </c>
      <c r="J47" s="310">
        <f>'35'!A610</f>
        <v>0</v>
      </c>
      <c r="K47" s="310">
        <f>'35'!A630</f>
        <v>0</v>
      </c>
      <c r="L47" s="310">
        <f>'35'!A650</f>
        <v>0</v>
      </c>
      <c r="M47" s="310">
        <f>'35'!A670</f>
        <v>0</v>
      </c>
      <c r="N47" s="204"/>
    </row>
    <row r="48" spans="2:17" x14ac:dyDescent="0.2">
      <c r="B48" s="244"/>
      <c r="C48" s="40"/>
      <c r="D48" s="40" t="s">
        <v>20</v>
      </c>
      <c r="E48" s="40"/>
      <c r="F48" s="310">
        <f>'35'!A531</f>
        <v>0</v>
      </c>
      <c r="G48" s="310">
        <f>'35'!A551</f>
        <v>0</v>
      </c>
      <c r="H48" s="310">
        <f>'35'!A571</f>
        <v>0</v>
      </c>
      <c r="I48" s="310">
        <f>'35'!A591</f>
        <v>0</v>
      </c>
      <c r="J48" s="310">
        <f>'35'!A611</f>
        <v>0</v>
      </c>
      <c r="K48" s="310">
        <f>'35'!A631</f>
        <v>0</v>
      </c>
      <c r="L48" s="310">
        <f>'35'!A651</f>
        <v>0</v>
      </c>
      <c r="M48" s="310">
        <f>'35'!A671</f>
        <v>0</v>
      </c>
      <c r="N48" s="204"/>
    </row>
    <row r="49" spans="2:14" x14ac:dyDescent="0.2">
      <c r="B49" s="244"/>
      <c r="C49" s="40" t="s">
        <v>317</v>
      </c>
      <c r="D49" s="40"/>
      <c r="E49" s="40"/>
      <c r="F49" s="310">
        <f>'35'!A532</f>
        <v>680</v>
      </c>
      <c r="G49" s="310">
        <f>'35'!A552</f>
        <v>680</v>
      </c>
      <c r="H49" s="310">
        <f>'35'!A572</f>
        <v>680</v>
      </c>
      <c r="I49" s="310">
        <f>'35'!A592</f>
        <v>680</v>
      </c>
      <c r="J49" s="310">
        <f>'35'!A612</f>
        <v>680</v>
      </c>
      <c r="K49" s="310">
        <f>'35'!A632</f>
        <v>680</v>
      </c>
      <c r="L49" s="310">
        <f>'35'!A652</f>
        <v>680</v>
      </c>
      <c r="M49" s="310">
        <f>'35'!A672</f>
        <v>680</v>
      </c>
      <c r="N49" s="204"/>
    </row>
    <row r="50" spans="2:14" x14ac:dyDescent="0.2">
      <c r="B50" s="244"/>
      <c r="C50" s="40" t="s">
        <v>1</v>
      </c>
      <c r="D50" s="182" t="s">
        <v>19</v>
      </c>
      <c r="E50" s="40"/>
      <c r="F50" s="310">
        <f>'35'!A533</f>
        <v>0</v>
      </c>
      <c r="G50" s="310">
        <f>'35'!A553</f>
        <v>0</v>
      </c>
      <c r="H50" s="310">
        <f>'35'!A573</f>
        <v>0</v>
      </c>
      <c r="I50" s="310">
        <f>'35'!A593</f>
        <v>0</v>
      </c>
      <c r="J50" s="310">
        <f>'35'!A613</f>
        <v>0</v>
      </c>
      <c r="K50" s="310">
        <f>'35'!A633</f>
        <v>0</v>
      </c>
      <c r="L50" s="310">
        <f>'35'!A653</f>
        <v>0</v>
      </c>
      <c r="M50" s="310">
        <f>'35'!A673</f>
        <v>0</v>
      </c>
      <c r="N50" s="204"/>
    </row>
    <row r="51" spans="2:14" x14ac:dyDescent="0.2">
      <c r="B51" s="244"/>
      <c r="C51" s="40"/>
      <c r="D51" s="40" t="s">
        <v>18</v>
      </c>
      <c r="E51" s="40"/>
      <c r="F51" s="310">
        <f>'35'!A534</f>
        <v>0</v>
      </c>
      <c r="G51" s="310">
        <f>'35'!A554</f>
        <v>0</v>
      </c>
      <c r="H51" s="310">
        <f>'35'!A574</f>
        <v>0</v>
      </c>
      <c r="I51" s="310">
        <f>'35'!A594</f>
        <v>0</v>
      </c>
      <c r="J51" s="310">
        <f>'35'!A614</f>
        <v>0</v>
      </c>
      <c r="K51" s="310">
        <f>'35'!A634</f>
        <v>0</v>
      </c>
      <c r="L51" s="310">
        <f>'35'!A654</f>
        <v>0</v>
      </c>
      <c r="M51" s="310">
        <f>'35'!A674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'35'!A535</f>
        <v>46</v>
      </c>
      <c r="G53" s="310">
        <f>'35'!A555</f>
        <v>46</v>
      </c>
      <c r="H53" s="310">
        <f>'35'!A575</f>
        <v>46</v>
      </c>
      <c r="I53" s="310">
        <f>'35'!A595</f>
        <v>46</v>
      </c>
      <c r="J53" s="310">
        <f>'35'!A615</f>
        <v>46</v>
      </c>
      <c r="K53" s="310">
        <f>'35'!A635</f>
        <v>46</v>
      </c>
      <c r="L53" s="310">
        <f>'35'!A655</f>
        <v>46</v>
      </c>
      <c r="M53" s="310">
        <f>'35'!A675</f>
        <v>46</v>
      </c>
      <c r="N53" s="204"/>
    </row>
    <row r="54" spans="2:14" ht="13.2" x14ac:dyDescent="0.3">
      <c r="B54" s="244"/>
      <c r="C54" s="256" t="s">
        <v>319</v>
      </c>
      <c r="D54" s="40"/>
      <c r="E54" s="40"/>
      <c r="F54" s="310">
        <f>'35'!A536</f>
        <v>1100</v>
      </c>
      <c r="G54" s="310">
        <f>'35'!A556</f>
        <v>1100</v>
      </c>
      <c r="H54" s="310">
        <f>'35'!A576</f>
        <v>1100</v>
      </c>
      <c r="I54" s="310">
        <f>'35'!A596</f>
        <v>1100</v>
      </c>
      <c r="J54" s="310">
        <f>'35'!A616</f>
        <v>1100</v>
      </c>
      <c r="K54" s="310">
        <f>'35'!A636</f>
        <v>1100</v>
      </c>
      <c r="L54" s="310">
        <f>'35'!A656</f>
        <v>1100</v>
      </c>
      <c r="M54" s="310">
        <f>'35'!A676</f>
        <v>1100</v>
      </c>
      <c r="N54" s="204"/>
    </row>
    <row r="55" spans="2:14" x14ac:dyDescent="0.2">
      <c r="B55" s="244"/>
      <c r="C55" s="40" t="s">
        <v>320</v>
      </c>
      <c r="D55" s="40"/>
      <c r="E55" s="40"/>
      <c r="F55" s="310">
        <f>'35'!A537</f>
        <v>3</v>
      </c>
      <c r="G55" s="310">
        <f>'35'!A557</f>
        <v>3</v>
      </c>
      <c r="H55" s="310">
        <f>'35'!A577</f>
        <v>3</v>
      </c>
      <c r="I55" s="310">
        <f>'35'!A597</f>
        <v>3</v>
      </c>
      <c r="J55" s="310">
        <f>'35'!A617</f>
        <v>3</v>
      </c>
      <c r="K55" s="310">
        <f>'35'!A637</f>
        <v>3</v>
      </c>
      <c r="L55" s="310">
        <f>'35'!A657</f>
        <v>3</v>
      </c>
      <c r="M55" s="310">
        <f>'35'!A677</f>
        <v>3</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'35'!$A59</f>
        <v>0</v>
      </c>
      <c r="K61" s="170" t="s">
        <v>81</v>
      </c>
      <c r="L61" s="172">
        <f>'35'!$A62</f>
        <v>10</v>
      </c>
      <c r="M61" s="170" t="s">
        <v>289</v>
      </c>
      <c r="N61" s="517">
        <f>'35'!$A63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'35'!A701</f>
        <v>1</v>
      </c>
      <c r="G65" s="319">
        <f>'35'!A721</f>
        <v>2</v>
      </c>
      <c r="H65" s="319">
        <f>'35'!A741</f>
        <v>3</v>
      </c>
      <c r="I65" s="319">
        <f>'35'!A761</f>
        <v>4</v>
      </c>
      <c r="J65" s="319">
        <f>'35'!A781</f>
        <v>5</v>
      </c>
      <c r="K65" s="319">
        <f>'35'!A801</f>
        <v>6</v>
      </c>
      <c r="L65" s="319">
        <f>'35'!A821</f>
        <v>7</v>
      </c>
      <c r="M65" s="319">
        <f>'35'!A841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'35'!A702</f>
        <v>1426492</v>
      </c>
      <c r="G67" s="310">
        <f>'35'!A722</f>
        <v>1426492</v>
      </c>
      <c r="H67" s="310">
        <f>'35'!A742</f>
        <v>1426492</v>
      </c>
      <c r="I67" s="310">
        <f>'35'!A762</f>
        <v>1426492</v>
      </c>
      <c r="J67" s="310">
        <f>'35'!A782</f>
        <v>1426492</v>
      </c>
      <c r="K67" s="310">
        <f>'35'!A802</f>
        <v>1426492</v>
      </c>
      <c r="L67" s="310">
        <f>'35'!A822</f>
        <v>1426492</v>
      </c>
      <c r="M67" s="310">
        <f>'35'!A842</f>
        <v>1426492</v>
      </c>
      <c r="N67" s="179"/>
    </row>
    <row r="68" spans="2:14" x14ac:dyDescent="0.2">
      <c r="B68" s="244"/>
      <c r="C68" s="40" t="s">
        <v>326</v>
      </c>
      <c r="D68" s="40"/>
      <c r="E68" s="40"/>
      <c r="F68" s="310">
        <f>'35'!A703</f>
        <v>150328</v>
      </c>
      <c r="G68" s="310">
        <f>'35'!A723</f>
        <v>150328</v>
      </c>
      <c r="H68" s="310">
        <f>'35'!A743</f>
        <v>150328</v>
      </c>
      <c r="I68" s="310">
        <f>'35'!A763</f>
        <v>150328</v>
      </c>
      <c r="J68" s="310">
        <f>'35'!A783</f>
        <v>150328</v>
      </c>
      <c r="K68" s="310">
        <f>'35'!A803</f>
        <v>150328</v>
      </c>
      <c r="L68" s="310">
        <f>'35'!A823</f>
        <v>150328</v>
      </c>
      <c r="M68" s="310">
        <f>'35'!A843</f>
        <v>150328</v>
      </c>
      <c r="N68" s="179"/>
    </row>
    <row r="69" spans="2:14" x14ac:dyDescent="0.2">
      <c r="B69" s="244"/>
      <c r="C69" s="40" t="s">
        <v>327</v>
      </c>
      <c r="D69" s="40"/>
      <c r="E69" s="40"/>
      <c r="F69" s="310">
        <f>'35'!A704</f>
        <v>677585</v>
      </c>
      <c r="G69" s="310">
        <f>'35'!A724</f>
        <v>677585</v>
      </c>
      <c r="H69" s="310">
        <f>'35'!A744</f>
        <v>677585</v>
      </c>
      <c r="I69" s="310">
        <f>'35'!A764</f>
        <v>677585</v>
      </c>
      <c r="J69" s="310">
        <f>'35'!A784</f>
        <v>677585</v>
      </c>
      <c r="K69" s="310">
        <f>'35'!A804</f>
        <v>677585</v>
      </c>
      <c r="L69" s="310">
        <f>'35'!A824</f>
        <v>677585</v>
      </c>
      <c r="M69" s="310">
        <f>'35'!A844</f>
        <v>677585</v>
      </c>
      <c r="N69" s="179"/>
    </row>
    <row r="70" spans="2:14" x14ac:dyDescent="0.2">
      <c r="B70" s="244"/>
      <c r="C70" s="40" t="s">
        <v>328</v>
      </c>
      <c r="D70" s="40"/>
      <c r="E70" s="40"/>
      <c r="F70" s="310">
        <f>'35'!A705</f>
        <v>1651545</v>
      </c>
      <c r="G70" s="310">
        <f>'35'!A725</f>
        <v>1651545</v>
      </c>
      <c r="H70" s="310">
        <f>'35'!A745</f>
        <v>1651545</v>
      </c>
      <c r="I70" s="310">
        <f>'35'!A765</f>
        <v>1651545</v>
      </c>
      <c r="J70" s="310">
        <f>'35'!A785</f>
        <v>1651545</v>
      </c>
      <c r="K70" s="310">
        <f>'35'!A805</f>
        <v>1651545</v>
      </c>
      <c r="L70" s="310">
        <f>'35'!A825</f>
        <v>1651545</v>
      </c>
      <c r="M70" s="310">
        <f>'35'!A845</f>
        <v>1651545</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'35'!A708</f>
        <v>0</v>
      </c>
      <c r="G73" s="310">
        <f>'35'!A728</f>
        <v>0</v>
      </c>
      <c r="H73" s="310">
        <f>'35'!A748</f>
        <v>0</v>
      </c>
      <c r="I73" s="310">
        <f>'35'!A768</f>
        <v>0</v>
      </c>
      <c r="J73" s="310">
        <f>'35'!A788</f>
        <v>0</v>
      </c>
      <c r="K73" s="310">
        <f>'35'!A808</f>
        <v>0</v>
      </c>
      <c r="L73" s="310">
        <f>'35'!A828</f>
        <v>0</v>
      </c>
      <c r="M73" s="310">
        <f>'35'!A848</f>
        <v>0</v>
      </c>
      <c r="N73" s="179"/>
    </row>
    <row r="74" spans="2:14" x14ac:dyDescent="0.2">
      <c r="B74" s="244"/>
      <c r="C74" s="321" t="s">
        <v>331</v>
      </c>
      <c r="D74" s="40"/>
      <c r="E74" s="40"/>
      <c r="F74" s="310">
        <f>'35'!A709</f>
        <v>201690</v>
      </c>
      <c r="G74" s="310">
        <f>'35'!A729</f>
        <v>201690</v>
      </c>
      <c r="H74" s="310">
        <f>'35'!A749</f>
        <v>201690</v>
      </c>
      <c r="I74" s="310">
        <f>'35'!A769</f>
        <v>201690</v>
      </c>
      <c r="J74" s="310">
        <f>'35'!A789</f>
        <v>201690</v>
      </c>
      <c r="K74" s="310">
        <f>'35'!A809</f>
        <v>201690</v>
      </c>
      <c r="L74" s="310">
        <f>'35'!A829</f>
        <v>201690</v>
      </c>
      <c r="M74" s="310">
        <f>'35'!A849</f>
        <v>201690</v>
      </c>
      <c r="N74" s="179"/>
    </row>
    <row r="75" spans="2:14" x14ac:dyDescent="0.2">
      <c r="B75" s="244"/>
      <c r="C75" s="40" t="s">
        <v>332</v>
      </c>
      <c r="D75" s="40"/>
      <c r="E75" s="40"/>
      <c r="F75" s="310">
        <f>'35'!A710</f>
        <v>0</v>
      </c>
      <c r="G75" s="310">
        <f>'35'!A730</f>
        <v>0</v>
      </c>
      <c r="H75" s="310">
        <f>'35'!A750</f>
        <v>0</v>
      </c>
      <c r="I75" s="310">
        <f>'35'!A770</f>
        <v>0</v>
      </c>
      <c r="J75" s="310">
        <f>'35'!A790</f>
        <v>0</v>
      </c>
      <c r="K75" s="310">
        <f>'35'!A810</f>
        <v>0</v>
      </c>
      <c r="L75" s="310">
        <f>'35'!A830</f>
        <v>0</v>
      </c>
      <c r="M75" s="310">
        <f>'35'!A850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'35'!A712</f>
        <v>0</v>
      </c>
      <c r="G77" s="310">
        <f>'35'!A732</f>
        <v>0</v>
      </c>
      <c r="H77" s="310">
        <f>'35'!A752</f>
        <v>0</v>
      </c>
      <c r="I77" s="310">
        <f>'35'!A772</f>
        <v>0</v>
      </c>
      <c r="J77" s="310">
        <f>'35'!A792</f>
        <v>0</v>
      </c>
      <c r="K77" s="310">
        <f>'35'!A812</f>
        <v>0</v>
      </c>
      <c r="L77" s="310">
        <f>'35'!A832</f>
        <v>0</v>
      </c>
      <c r="M77" s="310">
        <f>'35'!A852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'35'!A714</f>
        <v>4000000</v>
      </c>
      <c r="G80" s="310">
        <f>'35'!A734</f>
        <v>4000000</v>
      </c>
      <c r="H80" s="310">
        <f>'35'!A754</f>
        <v>4000000</v>
      </c>
      <c r="I80" s="310">
        <f>'35'!A774</f>
        <v>4000000</v>
      </c>
      <c r="J80" s="310">
        <f>'35'!A794</f>
        <v>4000000</v>
      </c>
      <c r="K80" s="310">
        <f>'35'!A814</f>
        <v>4000000</v>
      </c>
      <c r="L80" s="310">
        <f>'35'!A834</f>
        <v>4000000</v>
      </c>
      <c r="M80" s="310">
        <f>'35'!A854</f>
        <v>4000000</v>
      </c>
      <c r="N80" s="179"/>
    </row>
    <row r="81" spans="2:14" x14ac:dyDescent="0.2">
      <c r="B81" s="244"/>
      <c r="C81" s="40" t="s">
        <v>336</v>
      </c>
      <c r="D81" s="40"/>
      <c r="E81" s="40"/>
      <c r="F81" s="310">
        <f>'35'!A715</f>
        <v>0</v>
      </c>
      <c r="G81" s="310">
        <f>'35'!A735</f>
        <v>0</v>
      </c>
      <c r="H81" s="310">
        <f>'35'!A755</f>
        <v>0</v>
      </c>
      <c r="I81" s="310">
        <f>'35'!A775</f>
        <v>0</v>
      </c>
      <c r="J81" s="310">
        <f>'35'!A795</f>
        <v>0</v>
      </c>
      <c r="K81" s="310">
        <f>'35'!A815</f>
        <v>0</v>
      </c>
      <c r="L81" s="310">
        <f>'35'!A835</f>
        <v>0</v>
      </c>
      <c r="M81" s="310">
        <f>'35'!A855</f>
        <v>0</v>
      </c>
      <c r="N81" s="179"/>
    </row>
    <row r="82" spans="2:14" x14ac:dyDescent="0.2">
      <c r="B82" s="244"/>
      <c r="C82" s="40" t="s">
        <v>337</v>
      </c>
      <c r="D82" s="40"/>
      <c r="E82" s="40"/>
      <c r="F82" s="310">
        <f>'35'!A716</f>
        <v>-295740</v>
      </c>
      <c r="G82" s="310">
        <f>'35'!A736</f>
        <v>-295740</v>
      </c>
      <c r="H82" s="310">
        <f>'35'!A756</f>
        <v>-295740</v>
      </c>
      <c r="I82" s="310">
        <f>'35'!A776</f>
        <v>-295740</v>
      </c>
      <c r="J82" s="310">
        <f>'35'!A796</f>
        <v>-295740</v>
      </c>
      <c r="K82" s="310">
        <f>'35'!A816</f>
        <v>-295740</v>
      </c>
      <c r="L82" s="310">
        <f>'35'!A836</f>
        <v>-295740</v>
      </c>
      <c r="M82" s="310">
        <f>'35'!A856</f>
        <v>-295740</v>
      </c>
      <c r="N82" s="179"/>
    </row>
    <row r="83" spans="2:14" ht="12" x14ac:dyDescent="0.25">
      <c r="B83" s="244"/>
      <c r="C83" s="247" t="s">
        <v>338</v>
      </c>
      <c r="D83" s="40"/>
      <c r="E83" s="40"/>
      <c r="F83" s="310">
        <f t="shared" ref="F83:M83" si="0">SUM(F80:F82)</f>
        <v>3704260</v>
      </c>
      <c r="G83" s="310">
        <f t="shared" si="0"/>
        <v>3704260</v>
      </c>
      <c r="H83" s="310">
        <f t="shared" si="0"/>
        <v>3704260</v>
      </c>
      <c r="I83" s="310">
        <f t="shared" si="0"/>
        <v>3704260</v>
      </c>
      <c r="J83" s="310">
        <f t="shared" si="0"/>
        <v>3704260</v>
      </c>
      <c r="K83" s="310">
        <f t="shared" si="0"/>
        <v>3704260</v>
      </c>
      <c r="L83" s="310">
        <f t="shared" si="0"/>
        <v>3704260</v>
      </c>
      <c r="M83" s="310">
        <f t="shared" si="0"/>
        <v>3704260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'35'!A330</f>
        <v>Not requested</v>
      </c>
      <c r="N88" s="179"/>
    </row>
    <row r="89" spans="2:14" ht="12" x14ac:dyDescent="0.25">
      <c r="B89" s="244"/>
      <c r="C89" s="40"/>
      <c r="D89" s="175" t="s">
        <v>340</v>
      </c>
      <c r="F89" s="309" t="str">
        <f>'35'!A331</f>
        <v xml:space="preserve"> </v>
      </c>
      <c r="G89" s="309" t="str">
        <f>'35'!A341</f>
        <v xml:space="preserve"> </v>
      </c>
      <c r="H89" s="309" t="str">
        <f>'35'!A351</f>
        <v xml:space="preserve"> </v>
      </c>
      <c r="I89" s="309" t="str">
        <f>'35'!A361</f>
        <v xml:space="preserve"> </v>
      </c>
      <c r="J89" s="309" t="str">
        <f>'35'!A371</f>
        <v xml:space="preserve"> </v>
      </c>
      <c r="K89" s="309" t="str">
        <f>'35'!A381</f>
        <v xml:space="preserve"> </v>
      </c>
      <c r="L89" s="309" t="str">
        <f>'35'!A391</f>
        <v xml:space="preserve"> </v>
      </c>
      <c r="M89" s="309" t="str">
        <f>'35'!A401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'35'!A332</f>
        <v xml:space="preserve"> </v>
      </c>
      <c r="G91" s="213" t="str">
        <f>'35'!A342</f>
        <v xml:space="preserve"> </v>
      </c>
      <c r="H91" s="213" t="str">
        <f>'35'!A352</f>
        <v xml:space="preserve"> </v>
      </c>
      <c r="I91" s="213" t="str">
        <f>'35'!A362</f>
        <v xml:space="preserve"> </v>
      </c>
      <c r="J91" s="213" t="str">
        <f>'35'!A372</f>
        <v xml:space="preserve"> </v>
      </c>
      <c r="K91" s="213" t="str">
        <f>'35'!A382</f>
        <v xml:space="preserve"> </v>
      </c>
      <c r="L91" s="213" t="str">
        <f>'35'!A392</f>
        <v xml:space="preserve"> </v>
      </c>
      <c r="M91" s="213" t="str">
        <f>'35'!A402</f>
        <v xml:space="preserve"> </v>
      </c>
      <c r="N91" s="179"/>
    </row>
    <row r="92" spans="2:14" x14ac:dyDescent="0.2">
      <c r="B92" s="244"/>
      <c r="C92" s="40"/>
      <c r="D92" s="182" t="s">
        <v>23</v>
      </c>
      <c r="E92" s="40"/>
      <c r="F92" s="213" t="str">
        <f>'35'!A333</f>
        <v xml:space="preserve"> </v>
      </c>
      <c r="G92" s="213" t="str">
        <f>'35'!A343</f>
        <v xml:space="preserve"> </v>
      </c>
      <c r="H92" s="213" t="str">
        <f>'35'!A353</f>
        <v xml:space="preserve"> </v>
      </c>
      <c r="I92" s="213" t="str">
        <f>'35'!A363</f>
        <v xml:space="preserve"> </v>
      </c>
      <c r="J92" s="213" t="str">
        <f>'35'!A373</f>
        <v xml:space="preserve"> </v>
      </c>
      <c r="K92" s="213" t="str">
        <f>'35'!A383</f>
        <v xml:space="preserve"> </v>
      </c>
      <c r="L92" s="213" t="str">
        <f>'35'!A393</f>
        <v xml:space="preserve"> </v>
      </c>
      <c r="M92" s="213" t="str">
        <f>'35'!A403</f>
        <v xml:space="preserve"> </v>
      </c>
      <c r="N92" s="179"/>
    </row>
    <row r="93" spans="2:14" x14ac:dyDescent="0.2">
      <c r="B93" s="244"/>
      <c r="C93" s="40"/>
      <c r="D93" s="182" t="s">
        <v>24</v>
      </c>
      <c r="E93" s="40"/>
      <c r="F93" s="213" t="str">
        <f>'35'!A334</f>
        <v xml:space="preserve"> </v>
      </c>
      <c r="G93" s="213" t="str">
        <f>'35'!A344</f>
        <v xml:space="preserve"> </v>
      </c>
      <c r="H93" s="213" t="str">
        <f>'35'!A354</f>
        <v xml:space="preserve"> </v>
      </c>
      <c r="I93" s="213" t="str">
        <f>'35'!A364</f>
        <v xml:space="preserve"> </v>
      </c>
      <c r="J93" s="213" t="str">
        <f>'35'!A374</f>
        <v xml:space="preserve"> </v>
      </c>
      <c r="K93" s="213" t="str">
        <f>'35'!A384</f>
        <v xml:space="preserve"> </v>
      </c>
      <c r="L93" s="213" t="str">
        <f>'35'!A394</f>
        <v xml:space="preserve"> </v>
      </c>
      <c r="M93" s="213" t="str">
        <f>'35'!A404</f>
        <v xml:space="preserve"> </v>
      </c>
      <c r="N93" s="179"/>
    </row>
    <row r="94" spans="2:14" x14ac:dyDescent="0.2">
      <c r="B94" s="244"/>
      <c r="C94" s="40" t="s">
        <v>343</v>
      </c>
      <c r="D94" s="40"/>
      <c r="E94" s="40"/>
      <c r="F94" s="213" t="str">
        <f>'35'!A335</f>
        <v xml:space="preserve"> </v>
      </c>
      <c r="G94" s="213" t="str">
        <f>'35'!A345</f>
        <v xml:space="preserve"> </v>
      </c>
      <c r="H94" s="213" t="str">
        <f>'35'!A355</f>
        <v xml:space="preserve"> </v>
      </c>
      <c r="I94" s="213" t="str">
        <f>'35'!A365</f>
        <v xml:space="preserve"> </v>
      </c>
      <c r="J94" s="213" t="str">
        <f>'35'!A375</f>
        <v xml:space="preserve"> </v>
      </c>
      <c r="K94" s="213" t="str">
        <f>'35'!A385</f>
        <v xml:space="preserve"> </v>
      </c>
      <c r="L94" s="213" t="str">
        <f>'35'!A395</f>
        <v xml:space="preserve"> </v>
      </c>
      <c r="M94" s="213" t="str">
        <f>'35'!A405</f>
        <v xml:space="preserve"> </v>
      </c>
      <c r="N94" s="179"/>
    </row>
    <row r="95" spans="2:14" x14ac:dyDescent="0.2">
      <c r="B95" s="244"/>
      <c r="C95" s="40"/>
      <c r="D95" s="182" t="s">
        <v>23</v>
      </c>
      <c r="E95" s="40"/>
      <c r="F95" s="213" t="str">
        <f>'35'!A336</f>
        <v xml:space="preserve"> </v>
      </c>
      <c r="G95" s="213" t="str">
        <f>'35'!A346</f>
        <v xml:space="preserve"> </v>
      </c>
      <c r="H95" s="213" t="str">
        <f>'35'!A356</f>
        <v xml:space="preserve"> </v>
      </c>
      <c r="I95" s="213" t="str">
        <f>'35'!A366</f>
        <v xml:space="preserve"> </v>
      </c>
      <c r="J95" s="213" t="str">
        <f>'35'!A376</f>
        <v xml:space="preserve"> </v>
      </c>
      <c r="K95" s="213" t="str">
        <f>'35'!A386</f>
        <v xml:space="preserve"> </v>
      </c>
      <c r="L95" s="213" t="str">
        <f>'35'!A396</f>
        <v xml:space="preserve"> </v>
      </c>
      <c r="M95" s="213" t="str">
        <f>'35'!A406</f>
        <v xml:space="preserve"> </v>
      </c>
      <c r="N95" s="179"/>
    </row>
    <row r="96" spans="2:14" x14ac:dyDescent="0.2">
      <c r="B96" s="244"/>
      <c r="C96" s="40"/>
      <c r="D96" s="224" t="s">
        <v>25</v>
      </c>
      <c r="E96" s="40"/>
      <c r="F96" s="213" t="str">
        <f>'35'!A337</f>
        <v xml:space="preserve"> </v>
      </c>
      <c r="G96" s="213" t="str">
        <f>'35'!A347</f>
        <v xml:space="preserve"> </v>
      </c>
      <c r="H96" s="213" t="str">
        <f>'35'!A357</f>
        <v xml:space="preserve"> </v>
      </c>
      <c r="I96" s="213" t="str">
        <f>'35'!A367</f>
        <v xml:space="preserve"> </v>
      </c>
      <c r="J96" s="213" t="str">
        <f>'35'!A377</f>
        <v xml:space="preserve"> </v>
      </c>
      <c r="K96" s="213" t="str">
        <f>'35'!A387</f>
        <v xml:space="preserve"> </v>
      </c>
      <c r="L96" s="213" t="str">
        <f>'35'!A397</f>
        <v xml:space="preserve"> </v>
      </c>
      <c r="M96" s="213" t="str">
        <f>'35'!A407</f>
        <v xml:space="preserve"> </v>
      </c>
      <c r="N96" s="179"/>
    </row>
    <row r="97" spans="2:14" x14ac:dyDescent="0.2">
      <c r="B97" s="244"/>
      <c r="C97" s="40" t="s">
        <v>344</v>
      </c>
      <c r="D97" s="40"/>
      <c r="E97" s="40"/>
      <c r="F97" s="213" t="str">
        <f>'35'!A338</f>
        <v xml:space="preserve"> </v>
      </c>
      <c r="G97" s="213" t="str">
        <f>'35'!A348</f>
        <v xml:space="preserve"> </v>
      </c>
      <c r="H97" s="213" t="str">
        <f>'35'!A358</f>
        <v xml:space="preserve"> </v>
      </c>
      <c r="I97" s="213" t="str">
        <f>'35'!A368</f>
        <v xml:space="preserve"> </v>
      </c>
      <c r="J97" s="213" t="str">
        <f>'35'!A378</f>
        <v xml:space="preserve"> </v>
      </c>
      <c r="K97" s="213" t="str">
        <f>'35'!A388</f>
        <v xml:space="preserve"> </v>
      </c>
      <c r="L97" s="213" t="str">
        <f>'35'!A398</f>
        <v xml:space="preserve"> </v>
      </c>
      <c r="M97" s="213" t="str">
        <f>'35'!A408</f>
        <v xml:space="preserve"> </v>
      </c>
      <c r="N97" s="179"/>
    </row>
    <row r="98" spans="2:14" x14ac:dyDescent="0.2">
      <c r="B98" s="244"/>
      <c r="C98" s="40"/>
      <c r="D98" s="182" t="s">
        <v>23</v>
      </c>
      <c r="E98" s="40"/>
      <c r="F98" s="213" t="str">
        <f>'35'!A339</f>
        <v xml:space="preserve"> </v>
      </c>
      <c r="G98" s="213" t="str">
        <f>'35'!A349</f>
        <v xml:space="preserve"> </v>
      </c>
      <c r="H98" s="213" t="str">
        <f>'35'!A359</f>
        <v xml:space="preserve"> </v>
      </c>
      <c r="I98" s="213" t="str">
        <f>'35'!A369</f>
        <v xml:space="preserve"> </v>
      </c>
      <c r="J98" s="213" t="str">
        <f>'35'!A379</f>
        <v xml:space="preserve"> </v>
      </c>
      <c r="K98" s="213" t="str">
        <f>'35'!A389</f>
        <v xml:space="preserve"> </v>
      </c>
      <c r="L98" s="213" t="str">
        <f>'35'!A399</f>
        <v xml:space="preserve"> </v>
      </c>
      <c r="M98" s="213" t="str">
        <f>'35'!A409</f>
        <v xml:space="preserve"> </v>
      </c>
      <c r="N98" s="179"/>
    </row>
    <row r="99" spans="2:14" x14ac:dyDescent="0.2">
      <c r="B99" s="244"/>
      <c r="C99" s="40"/>
      <c r="D99" s="182" t="s">
        <v>24</v>
      </c>
      <c r="E99" s="40"/>
      <c r="F99" s="213" t="str">
        <f>'35'!A340</f>
        <v xml:space="preserve"> </v>
      </c>
      <c r="G99" s="213" t="str">
        <f>'35'!A350</f>
        <v xml:space="preserve"> </v>
      </c>
      <c r="H99" s="213" t="str">
        <f>'35'!A360</f>
        <v xml:space="preserve"> </v>
      </c>
      <c r="I99" s="213" t="str">
        <f>'35'!A370</f>
        <v xml:space="preserve"> </v>
      </c>
      <c r="J99" s="213" t="str">
        <f>'35'!A380</f>
        <v xml:space="preserve"> </v>
      </c>
      <c r="K99" s="213" t="str">
        <f>'35'!A390</f>
        <v xml:space="preserve"> </v>
      </c>
      <c r="L99" s="213" t="str">
        <f>'35'!A400</f>
        <v xml:space="preserve"> </v>
      </c>
      <c r="M99" s="213" t="str">
        <f>'35'!A410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'35'!A420</f>
        <v xml:space="preserve"> </v>
      </c>
      <c r="L102" s="40"/>
      <c r="M102" s="40"/>
      <c r="N102" s="179"/>
    </row>
    <row r="103" spans="2:14" ht="12" x14ac:dyDescent="0.25">
      <c r="B103" s="244"/>
      <c r="C103" s="40"/>
      <c r="D103" s="40" t="s">
        <v>346</v>
      </c>
      <c r="E103" s="40"/>
      <c r="F103" s="309">
        <f>'35'!A421</f>
        <v>1</v>
      </c>
      <c r="G103" s="309">
        <f>'35'!A428</f>
        <v>2</v>
      </c>
      <c r="H103" s="309">
        <f>'35'!A435</f>
        <v>3</v>
      </c>
      <c r="I103" s="309">
        <f>'35'!A442</f>
        <v>4</v>
      </c>
      <c r="J103" s="309">
        <f>'35'!A449</f>
        <v>5</v>
      </c>
      <c r="K103" s="309">
        <f>'35'!A456</f>
        <v>6</v>
      </c>
      <c r="L103" s="309">
        <f>'35'!A463</f>
        <v>7</v>
      </c>
      <c r="M103" s="309">
        <f>'35'!A470</f>
        <v>8</v>
      </c>
      <c r="N103" s="179"/>
    </row>
    <row r="104" spans="2:14" x14ac:dyDescent="0.2">
      <c r="B104" s="244"/>
      <c r="C104" s="40" t="s">
        <v>347</v>
      </c>
      <c r="D104" s="40"/>
      <c r="E104" s="40"/>
      <c r="F104" s="310">
        <f>'35'!A422</f>
        <v>35000</v>
      </c>
      <c r="G104" s="310">
        <f>'35'!A429</f>
        <v>35000</v>
      </c>
      <c r="H104" s="310">
        <f>'35'!A436</f>
        <v>35000</v>
      </c>
      <c r="I104" s="310">
        <f>'35'!A443</f>
        <v>35000</v>
      </c>
      <c r="J104" s="310">
        <f>'35'!A450</f>
        <v>35000</v>
      </c>
      <c r="K104" s="310">
        <f>'35'!A457</f>
        <v>35000</v>
      </c>
      <c r="L104" s="310">
        <f>'35'!A464</f>
        <v>35000</v>
      </c>
      <c r="M104" s="310">
        <f>'35'!A471</f>
        <v>35000</v>
      </c>
      <c r="N104" s="179"/>
    </row>
    <row r="105" spans="2:14" x14ac:dyDescent="0.2">
      <c r="B105" s="244"/>
      <c r="C105" s="40" t="s">
        <v>348</v>
      </c>
      <c r="D105" s="40"/>
      <c r="E105" s="40"/>
      <c r="F105" s="310">
        <f>'35'!A423</f>
        <v>60000</v>
      </c>
      <c r="G105" s="310">
        <f>'35'!A430</f>
        <v>60000</v>
      </c>
      <c r="H105" s="310">
        <f>'35'!A437</f>
        <v>60000</v>
      </c>
      <c r="I105" s="310">
        <f>'35'!A444</f>
        <v>60000</v>
      </c>
      <c r="J105" s="310">
        <f>'35'!A451</f>
        <v>60000</v>
      </c>
      <c r="K105" s="310">
        <f>'35'!A458</f>
        <v>60000</v>
      </c>
      <c r="L105" s="310">
        <f>'35'!A465</f>
        <v>60000</v>
      </c>
      <c r="M105" s="310">
        <f>'35'!A472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'35'!A424</f>
        <v xml:space="preserve">   **</v>
      </c>
      <c r="G107" s="323" t="str">
        <f>'35'!A431</f>
        <v xml:space="preserve">   **</v>
      </c>
      <c r="H107" s="323" t="str">
        <f>'35'!A438</f>
        <v xml:space="preserve">   **</v>
      </c>
      <c r="I107" s="323" t="str">
        <f>'35'!A445</f>
        <v xml:space="preserve">   **</v>
      </c>
      <c r="J107" s="323" t="str">
        <f>'35'!A452</f>
        <v xml:space="preserve">   **</v>
      </c>
      <c r="K107" s="323" t="str">
        <f>'35'!A459</f>
        <v xml:space="preserve">   **</v>
      </c>
      <c r="L107" s="323" t="str">
        <f>'35'!A466</f>
        <v xml:space="preserve">   **</v>
      </c>
      <c r="M107" s="323" t="str">
        <f>'35'!A473</f>
        <v xml:space="preserve">   **</v>
      </c>
      <c r="N107" s="179"/>
    </row>
    <row r="108" spans="2:14" x14ac:dyDescent="0.2">
      <c r="B108" s="244"/>
      <c r="C108" s="40" t="s">
        <v>351</v>
      </c>
      <c r="D108" s="40"/>
      <c r="E108" s="40"/>
      <c r="F108" s="323" t="str">
        <f>'35'!A425</f>
        <v xml:space="preserve">   **</v>
      </c>
      <c r="G108" s="323" t="str">
        <f>'35'!A432</f>
        <v xml:space="preserve">   **</v>
      </c>
      <c r="H108" s="323" t="str">
        <f>'35'!A439</f>
        <v xml:space="preserve">   **</v>
      </c>
      <c r="I108" s="323" t="str">
        <f>'35'!A446</f>
        <v xml:space="preserve">   **</v>
      </c>
      <c r="J108" s="323" t="str">
        <f>'35'!A453</f>
        <v xml:space="preserve">   **</v>
      </c>
      <c r="K108" s="323" t="str">
        <f>'35'!A460</f>
        <v xml:space="preserve">   **</v>
      </c>
      <c r="L108" s="323" t="str">
        <f>'35'!A467</f>
        <v xml:space="preserve">   **</v>
      </c>
      <c r="M108" s="323" t="str">
        <f>'35'!A474</f>
        <v xml:space="preserve">   **</v>
      </c>
      <c r="N108" s="179"/>
    </row>
    <row r="109" spans="2:14" x14ac:dyDescent="0.2">
      <c r="B109" s="244"/>
      <c r="C109" s="40" t="s">
        <v>352</v>
      </c>
      <c r="D109" s="40"/>
      <c r="E109" s="40"/>
      <c r="F109" s="323" t="str">
        <f>'35'!A426</f>
        <v xml:space="preserve">   **</v>
      </c>
      <c r="G109" s="323" t="str">
        <f>'35'!A433</f>
        <v xml:space="preserve">   **</v>
      </c>
      <c r="H109" s="323" t="str">
        <f>'35'!A440</f>
        <v xml:space="preserve">   **</v>
      </c>
      <c r="I109" s="323" t="str">
        <f>'35'!A447</f>
        <v xml:space="preserve">   **</v>
      </c>
      <c r="J109" s="323" t="str">
        <f>'35'!A454</f>
        <v xml:space="preserve">   **</v>
      </c>
      <c r="K109" s="323" t="str">
        <f>'35'!A461</f>
        <v xml:space="preserve">   **</v>
      </c>
      <c r="L109" s="323" t="str">
        <f>'35'!A468</f>
        <v xml:space="preserve">   **</v>
      </c>
      <c r="M109" s="323" t="str">
        <f>'35'!A475</f>
        <v xml:space="preserve">   **</v>
      </c>
      <c r="N109" s="179"/>
    </row>
    <row r="110" spans="2:14" x14ac:dyDescent="0.2">
      <c r="B110" s="244"/>
      <c r="C110" s="40" t="s">
        <v>353</v>
      </c>
      <c r="D110" s="40"/>
      <c r="E110" s="40"/>
      <c r="F110" s="323" t="str">
        <f>'35'!A427</f>
        <v xml:space="preserve"> </v>
      </c>
      <c r="G110" s="323" t="str">
        <f>'35'!A434</f>
        <v xml:space="preserve"> </v>
      </c>
      <c r="H110" s="323" t="str">
        <f>'35'!A441</f>
        <v xml:space="preserve"> </v>
      </c>
      <c r="I110" s="323" t="str">
        <f>'35'!A448</f>
        <v xml:space="preserve"> </v>
      </c>
      <c r="J110" s="323" t="str">
        <f>'35'!A455</f>
        <v xml:space="preserve"> </v>
      </c>
      <c r="K110" s="323" t="str">
        <f>'35'!A462</f>
        <v xml:space="preserve"> </v>
      </c>
      <c r="L110" s="323" t="str">
        <f>'35'!A469</f>
        <v xml:space="preserve"> </v>
      </c>
      <c r="M110" s="323" t="str">
        <f>'35'!A476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8">
    <tabColor theme="8" tint="0.39997558519241921"/>
    <pageSetUpPr fitToPage="1"/>
  </sheetPr>
  <dimension ref="A1:I861"/>
  <sheetViews>
    <sheetView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4</v>
      </c>
    </row>
    <row r="6" spans="1:1" x14ac:dyDescent="0.2">
      <c r="A6" s="175" t="s">
        <v>682</v>
      </c>
    </row>
    <row r="7" spans="1:1" x14ac:dyDescent="0.2">
      <c r="A7" s="175">
        <v>10</v>
      </c>
    </row>
    <row r="8" spans="1:1" x14ac:dyDescent="0.2">
      <c r="A8" s="175">
        <v>5</v>
      </c>
    </row>
    <row r="9" spans="1:1" x14ac:dyDescent="0.2">
      <c r="A9" s="175">
        <v>0</v>
      </c>
    </row>
    <row r="10" spans="1:1" x14ac:dyDescent="0.2">
      <c r="A10" s="175">
        <v>0</v>
      </c>
    </row>
    <row r="11" spans="1:1" x14ac:dyDescent="0.2">
      <c r="A11" s="175">
        <v>5</v>
      </c>
    </row>
    <row r="12" spans="1:1" x14ac:dyDescent="0.2">
      <c r="A12" s="175">
        <v>0</v>
      </c>
    </row>
    <row r="13" spans="1:1" x14ac:dyDescent="0.2">
      <c r="A13" s="175">
        <v>0</v>
      </c>
    </row>
    <row r="14" spans="1:1" x14ac:dyDescent="0.2">
      <c r="A14" s="175">
        <v>5</v>
      </c>
    </row>
    <row r="15" spans="1:1" x14ac:dyDescent="0.2">
      <c r="A15" s="175">
        <v>0</v>
      </c>
    </row>
    <row r="16" spans="1:1" x14ac:dyDescent="0.2">
      <c r="A16" s="175">
        <v>0</v>
      </c>
    </row>
    <row r="17" spans="1:1" x14ac:dyDescent="0.2">
      <c r="A17" s="175">
        <v>10</v>
      </c>
    </row>
    <row r="18" spans="1:1" x14ac:dyDescent="0.2">
      <c r="A18" s="175">
        <v>0</v>
      </c>
    </row>
    <row r="19" spans="1:1" x14ac:dyDescent="0.2">
      <c r="A19" s="175">
        <v>0</v>
      </c>
    </row>
    <row r="20" spans="1:1" x14ac:dyDescent="0.2">
      <c r="A20" s="175">
        <v>0</v>
      </c>
    </row>
    <row r="21" spans="1:1" x14ac:dyDescent="0.2">
      <c r="A21" s="175">
        <v>285</v>
      </c>
    </row>
    <row r="22" spans="1:1" x14ac:dyDescent="0.2">
      <c r="A22" s="175">
        <v>0</v>
      </c>
    </row>
    <row r="23" spans="1:1" x14ac:dyDescent="0.2">
      <c r="A23" s="175">
        <v>0</v>
      </c>
    </row>
    <row r="24" spans="1:1" x14ac:dyDescent="0.2">
      <c r="A24" s="175">
        <v>450</v>
      </c>
    </row>
    <row r="25" spans="1:1" x14ac:dyDescent="0.2">
      <c r="A25" s="175">
        <v>0</v>
      </c>
    </row>
    <row r="26" spans="1:1" x14ac:dyDescent="0.2">
      <c r="A26" s="175">
        <v>0</v>
      </c>
    </row>
    <row r="27" spans="1:1" x14ac:dyDescent="0.2">
      <c r="A27" s="175">
        <v>680</v>
      </c>
    </row>
    <row r="28" spans="1:1" x14ac:dyDescent="0.2">
      <c r="A28" s="175">
        <v>0</v>
      </c>
    </row>
    <row r="29" spans="1:1" x14ac:dyDescent="0.2">
      <c r="A29" s="175">
        <v>0</v>
      </c>
    </row>
    <row r="30" spans="1:1" x14ac:dyDescent="0.2">
      <c r="A30" s="175">
        <v>0</v>
      </c>
    </row>
    <row r="31" spans="1:1" x14ac:dyDescent="0.2">
      <c r="A31" s="175">
        <v>1250</v>
      </c>
    </row>
    <row r="32" spans="1:1" x14ac:dyDescent="0.2">
      <c r="A32" s="175">
        <v>0</v>
      </c>
    </row>
    <row r="33" spans="1:1" x14ac:dyDescent="0.2">
      <c r="A33" s="175">
        <v>0</v>
      </c>
    </row>
    <row r="34" spans="1:1" x14ac:dyDescent="0.2">
      <c r="A34" s="175">
        <v>700</v>
      </c>
    </row>
    <row r="35" spans="1:1" x14ac:dyDescent="0.2">
      <c r="A35" s="175">
        <v>0</v>
      </c>
    </row>
    <row r="36" spans="1:1" x14ac:dyDescent="0.2">
      <c r="A36" s="175">
        <v>0</v>
      </c>
    </row>
    <row r="37" spans="1:1" x14ac:dyDescent="0.2">
      <c r="A37" s="175">
        <v>400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4</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2" x14ac:dyDescent="0.2">
      <c r="A65" s="175">
        <v>7</v>
      </c>
    </row>
    <row r="66" spans="1:2" x14ac:dyDescent="0.2">
      <c r="A66" s="175">
        <v>6</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0</v>
      </c>
    </row>
    <row r="73" spans="1:2" x14ac:dyDescent="0.2">
      <c r="A73" s="175">
        <v>0</v>
      </c>
    </row>
    <row r="74" spans="1:2" x14ac:dyDescent="0.2">
      <c r="A74" s="175">
        <v>0</v>
      </c>
    </row>
    <row r="75" spans="1:2" x14ac:dyDescent="0.2">
      <c r="A75" s="175">
        <v>15</v>
      </c>
    </row>
    <row r="76" spans="1:2" x14ac:dyDescent="0.2">
      <c r="A76" s="175">
        <v>2</v>
      </c>
    </row>
    <row r="77" spans="1:2" x14ac:dyDescent="0.2">
      <c r="A77" s="175">
        <v>0</v>
      </c>
    </row>
    <row r="78" spans="1:2" x14ac:dyDescent="0.2">
      <c r="A78" s="175">
        <v>0</v>
      </c>
    </row>
    <row r="79" spans="1:2" x14ac:dyDescent="0.2">
      <c r="A79" s="175">
        <v>0</v>
      </c>
    </row>
    <row r="80" spans="1:2" x14ac:dyDescent="0.2">
      <c r="A80" s="175">
        <v>0</v>
      </c>
    </row>
    <row r="81" spans="1:1" x14ac:dyDescent="0.2">
      <c r="A81" s="175">
        <v>0</v>
      </c>
    </row>
    <row r="82" spans="1:1" x14ac:dyDescent="0.2">
      <c r="A82" s="175">
        <v>2</v>
      </c>
    </row>
    <row r="83" spans="1:1" x14ac:dyDescent="0.2">
      <c r="A83" s="175">
        <v>1100</v>
      </c>
    </row>
    <row r="84" spans="1:1" x14ac:dyDescent="0.2">
      <c r="A84" s="175">
        <v>0</v>
      </c>
    </row>
    <row r="85" spans="1:1" x14ac:dyDescent="0.2">
      <c r="A85" s="175">
        <v>60</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-500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91</v>
      </c>
    </row>
    <row r="103" spans="1:1" x14ac:dyDescent="0.2">
      <c r="A103" s="175">
        <v>91</v>
      </c>
    </row>
    <row r="104" spans="1:1" x14ac:dyDescent="0.2">
      <c r="A104" s="175">
        <v>91</v>
      </c>
    </row>
    <row r="105" spans="1:1" x14ac:dyDescent="0.2">
      <c r="A105" s="175" t="s">
        <v>674</v>
      </c>
    </row>
    <row r="106" spans="1:1" x14ac:dyDescent="0.2">
      <c r="A106" s="175" t="s">
        <v>606</v>
      </c>
    </row>
    <row r="107" spans="1:1" x14ac:dyDescent="0.2">
      <c r="A107" s="175" t="s">
        <v>606</v>
      </c>
    </row>
    <row r="108" spans="1:1" x14ac:dyDescent="0.2">
      <c r="A108" s="175">
        <v>1250</v>
      </c>
    </row>
    <row r="109" spans="1:1" x14ac:dyDescent="0.2">
      <c r="A109" s="175">
        <v>700</v>
      </c>
    </row>
    <row r="110" spans="1:1" x14ac:dyDescent="0.2">
      <c r="A110" s="175">
        <v>400</v>
      </c>
    </row>
    <row r="111" spans="1:1" x14ac:dyDescent="0.2">
      <c r="A111" s="175">
        <v>1282</v>
      </c>
    </row>
    <row r="112" spans="1:1" x14ac:dyDescent="0.2">
      <c r="A112" s="175">
        <v>719</v>
      </c>
    </row>
    <row r="113" spans="1:1" x14ac:dyDescent="0.2">
      <c r="A113" s="175">
        <v>411</v>
      </c>
    </row>
    <row r="114" spans="1:1" x14ac:dyDescent="0.2">
      <c r="A114" s="175">
        <v>32</v>
      </c>
    </row>
    <row r="115" spans="1:1" x14ac:dyDescent="0.2">
      <c r="A115" s="175">
        <v>19</v>
      </c>
    </row>
    <row r="116" spans="1:1" x14ac:dyDescent="0.2">
      <c r="A116" s="175">
        <v>11</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1250</v>
      </c>
    </row>
    <row r="122" spans="1:1" x14ac:dyDescent="0.2">
      <c r="A122" s="175">
        <v>0</v>
      </c>
    </row>
    <row r="123" spans="1:1" x14ac:dyDescent="0.2">
      <c r="A123" s="175">
        <v>0</v>
      </c>
    </row>
    <row r="124" spans="1:1" x14ac:dyDescent="0.2">
      <c r="A124" s="175">
        <v>700</v>
      </c>
    </row>
    <row r="125" spans="1:1" x14ac:dyDescent="0.2">
      <c r="A125" s="175">
        <v>0</v>
      </c>
    </row>
    <row r="126" spans="1:1" x14ac:dyDescent="0.2">
      <c r="A126" s="175">
        <v>0</v>
      </c>
    </row>
    <row r="127" spans="1:1" x14ac:dyDescent="0.2">
      <c r="A127" s="175">
        <v>400</v>
      </c>
    </row>
    <row r="128" spans="1:1" x14ac:dyDescent="0.2">
      <c r="A128" s="175">
        <v>0</v>
      </c>
    </row>
    <row r="129" spans="1:1" x14ac:dyDescent="0.2">
      <c r="A129" s="175">
        <v>0</v>
      </c>
    </row>
    <row r="130" spans="1:1" x14ac:dyDescent="0.2">
      <c r="A130" s="175">
        <v>999</v>
      </c>
    </row>
    <row r="131" spans="1:1" x14ac:dyDescent="0.2">
      <c r="A131" s="175">
        <v>1367</v>
      </c>
    </row>
    <row r="132" spans="1:1" x14ac:dyDescent="0.2">
      <c r="A132" s="175">
        <v>0</v>
      </c>
    </row>
    <row r="133" spans="1:1" x14ac:dyDescent="0.2">
      <c r="A133" s="175">
        <v>0</v>
      </c>
    </row>
    <row r="134" spans="1:1" x14ac:dyDescent="0.2">
      <c r="A134" s="175">
        <v>772</v>
      </c>
    </row>
    <row r="135" spans="1:1" x14ac:dyDescent="0.2">
      <c r="A135" s="175">
        <v>0</v>
      </c>
    </row>
    <row r="136" spans="1:1" x14ac:dyDescent="0.2">
      <c r="A136" s="175">
        <v>0</v>
      </c>
    </row>
    <row r="137" spans="1:1" x14ac:dyDescent="0.2">
      <c r="A137" s="175">
        <v>437</v>
      </c>
    </row>
    <row r="138" spans="1:1" x14ac:dyDescent="0.2">
      <c r="A138" s="175">
        <v>0</v>
      </c>
    </row>
    <row r="139" spans="1:1" x14ac:dyDescent="0.2">
      <c r="A139" s="175">
        <v>0</v>
      </c>
    </row>
    <row r="140" spans="1:1" x14ac:dyDescent="0.2">
      <c r="A140" s="175">
        <v>999</v>
      </c>
    </row>
    <row r="141" spans="1:1" x14ac:dyDescent="0.2">
      <c r="A141" s="175">
        <v>1358</v>
      </c>
    </row>
    <row r="142" spans="1:1" x14ac:dyDescent="0.2">
      <c r="A142" s="175">
        <v>0</v>
      </c>
    </row>
    <row r="143" spans="1:1" x14ac:dyDescent="0.2">
      <c r="A143" s="175">
        <v>0</v>
      </c>
    </row>
    <row r="144" spans="1:1" x14ac:dyDescent="0.2">
      <c r="A144" s="175">
        <v>772</v>
      </c>
    </row>
    <row r="145" spans="1:1" x14ac:dyDescent="0.2">
      <c r="A145" s="175">
        <v>0</v>
      </c>
    </row>
    <row r="146" spans="1:1" x14ac:dyDescent="0.2">
      <c r="A146" s="175">
        <v>0</v>
      </c>
    </row>
    <row r="147" spans="1:1" x14ac:dyDescent="0.2">
      <c r="A147" s="175">
        <v>437</v>
      </c>
    </row>
    <row r="148" spans="1:1" x14ac:dyDescent="0.2">
      <c r="A148" s="175">
        <v>0</v>
      </c>
    </row>
    <row r="149" spans="1:1" x14ac:dyDescent="0.2">
      <c r="A149" s="175">
        <v>0</v>
      </c>
    </row>
    <row r="150" spans="1:1" x14ac:dyDescent="0.2">
      <c r="A150" s="175">
        <v>999</v>
      </c>
    </row>
    <row r="151" spans="1:1" x14ac:dyDescent="0.2">
      <c r="A151" s="175">
        <v>4</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0</v>
      </c>
    </row>
    <row r="162" spans="1:1" x14ac:dyDescent="0.2">
      <c r="A162" s="175">
        <v>0</v>
      </c>
    </row>
    <row r="163" spans="1:1" x14ac:dyDescent="0.2">
      <c r="A163" s="175">
        <v>0</v>
      </c>
    </row>
    <row r="164" spans="1:1" x14ac:dyDescent="0.2">
      <c r="A164" s="175">
        <v>15</v>
      </c>
    </row>
    <row r="165" spans="1:1" x14ac:dyDescent="0.2">
      <c r="A165" s="175">
        <v>0</v>
      </c>
    </row>
    <row r="166" spans="1:1" x14ac:dyDescent="0.2">
      <c r="A166" s="175">
        <v>0</v>
      </c>
    </row>
    <row r="167" spans="1:1" x14ac:dyDescent="0.2">
      <c r="A167" s="175">
        <v>43</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10</v>
      </c>
    </row>
    <row r="178" spans="1:1" x14ac:dyDescent="0.2">
      <c r="A178" s="175" t="s">
        <v>11</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14</v>
      </c>
    </row>
    <row r="192" spans="1:1" x14ac:dyDescent="0.2">
      <c r="A192" s="175">
        <v>15</v>
      </c>
    </row>
    <row r="193" spans="1:1" x14ac:dyDescent="0.2">
      <c r="A193" s="175">
        <v>0</v>
      </c>
    </row>
    <row r="194" spans="1:1" x14ac:dyDescent="0.2">
      <c r="A194" s="175">
        <v>17</v>
      </c>
    </row>
    <row r="195" spans="1:1" x14ac:dyDescent="0.2">
      <c r="A195" s="175">
        <v>0</v>
      </c>
    </row>
    <row r="196" spans="1:1" x14ac:dyDescent="0.2">
      <c r="A196" s="175">
        <v>0</v>
      </c>
    </row>
    <row r="197" spans="1:1" x14ac:dyDescent="0.2">
      <c r="A197" s="175">
        <v>16</v>
      </c>
    </row>
    <row r="198" spans="1:1" x14ac:dyDescent="0.2">
      <c r="A198" s="175">
        <v>31</v>
      </c>
    </row>
    <row r="199" spans="1:1" x14ac:dyDescent="0.2">
      <c r="A199" s="175">
        <v>999</v>
      </c>
    </row>
    <row r="200" spans="1:1" x14ac:dyDescent="0.2">
      <c r="A200" s="175">
        <v>999</v>
      </c>
    </row>
    <row r="201" spans="1:1" x14ac:dyDescent="0.2">
      <c r="A201" s="175">
        <v>35000</v>
      </c>
    </row>
    <row r="202" spans="1:1" x14ac:dyDescent="0.2">
      <c r="A202" s="175">
        <v>0</v>
      </c>
    </row>
    <row r="203" spans="1:1" x14ac:dyDescent="0.2">
      <c r="A203" s="175">
        <v>0</v>
      </c>
    </row>
    <row r="204" spans="1:1" x14ac:dyDescent="0.2">
      <c r="A204" s="175">
        <v>109890</v>
      </c>
    </row>
    <row r="205" spans="1:1" x14ac:dyDescent="0.2">
      <c r="A205" s="175">
        <v>10357</v>
      </c>
    </row>
    <row r="206" spans="1:1" x14ac:dyDescent="0.2">
      <c r="A206" s="175">
        <v>0</v>
      </c>
    </row>
    <row r="207" spans="1:1" x14ac:dyDescent="0.2">
      <c r="A207" s="175">
        <v>60000</v>
      </c>
    </row>
    <row r="208" spans="1:1" x14ac:dyDescent="0.2">
      <c r="A208" s="175">
        <v>0</v>
      </c>
    </row>
    <row r="209" spans="1:1" x14ac:dyDescent="0.2">
      <c r="A209" s="175">
        <v>34000</v>
      </c>
    </row>
    <row r="210" spans="1:1" x14ac:dyDescent="0.2">
      <c r="A210" s="175">
        <v>5100</v>
      </c>
    </row>
    <row r="211" spans="1:1" x14ac:dyDescent="0.2">
      <c r="A211" s="175">
        <v>8080</v>
      </c>
    </row>
    <row r="212" spans="1:1" x14ac:dyDescent="0.2">
      <c r="A212" s="175">
        <v>7500</v>
      </c>
    </row>
    <row r="213" spans="1:1" x14ac:dyDescent="0.2">
      <c r="A213" s="175">
        <v>2567</v>
      </c>
    </row>
    <row r="214" spans="1:1" x14ac:dyDescent="0.2">
      <c r="A214" s="175">
        <v>9848</v>
      </c>
    </row>
    <row r="215" spans="1:1" x14ac:dyDescent="0.2">
      <c r="A215" s="175">
        <v>60000</v>
      </c>
    </row>
    <row r="216" spans="1:1" x14ac:dyDescent="0.2">
      <c r="A216" s="175">
        <v>10710</v>
      </c>
    </row>
    <row r="217" spans="1:1" x14ac:dyDescent="0.2">
      <c r="A217" s="175">
        <v>353052</v>
      </c>
    </row>
    <row r="218" spans="1:1" x14ac:dyDescent="0.2">
      <c r="A218" s="175">
        <v>659690</v>
      </c>
    </row>
    <row r="219" spans="1:1" x14ac:dyDescent="0.2">
      <c r="A219" s="175">
        <v>0</v>
      </c>
    </row>
    <row r="220" spans="1:1" x14ac:dyDescent="0.2">
      <c r="A220" s="175">
        <v>1641</v>
      </c>
    </row>
    <row r="221" spans="1:1" x14ac:dyDescent="0.2">
      <c r="A221" s="175">
        <v>659690</v>
      </c>
    </row>
    <row r="222" spans="1:1" x14ac:dyDescent="0.2">
      <c r="A222" s="175">
        <v>0</v>
      </c>
    </row>
    <row r="223" spans="1:1" x14ac:dyDescent="0.2">
      <c r="A223" s="175">
        <v>817292</v>
      </c>
    </row>
    <row r="224" spans="1:1" x14ac:dyDescent="0.2">
      <c r="A224" s="175">
        <v>0</v>
      </c>
    </row>
    <row r="225" spans="1:1" x14ac:dyDescent="0.2">
      <c r="A225" s="175">
        <v>1750</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-155852</v>
      </c>
    </row>
    <row r="234" spans="1:1" x14ac:dyDescent="0.2">
      <c r="A234" s="175">
        <v>1807397</v>
      </c>
    </row>
    <row r="235" spans="1:1" x14ac:dyDescent="0.2">
      <c r="A235" s="175">
        <v>999</v>
      </c>
    </row>
    <row r="236" spans="1:1" x14ac:dyDescent="0.2">
      <c r="A236" s="175">
        <v>999</v>
      </c>
    </row>
    <row r="237" spans="1:1" x14ac:dyDescent="0.2">
      <c r="A237" s="175">
        <v>999</v>
      </c>
    </row>
    <row r="238" spans="1:1" x14ac:dyDescent="0.2">
      <c r="A238" s="175">
        <v>633000</v>
      </c>
    </row>
    <row r="239" spans="1:1" x14ac:dyDescent="0.2">
      <c r="A239" s="175">
        <v>1399000</v>
      </c>
    </row>
    <row r="240" spans="1:1" x14ac:dyDescent="0.2">
      <c r="A240" s="175">
        <v>-368166</v>
      </c>
    </row>
    <row r="241" spans="1:1" x14ac:dyDescent="0.2">
      <c r="A241" s="175">
        <v>1035710</v>
      </c>
    </row>
    <row r="242" spans="1:1" x14ac:dyDescent="0.2">
      <c r="A242" s="175">
        <v>186034</v>
      </c>
    </row>
    <row r="243" spans="1:1" x14ac:dyDescent="0.2">
      <c r="A243" s="175">
        <v>0</v>
      </c>
    </row>
    <row r="244" spans="1:1" x14ac:dyDescent="0.2">
      <c r="A244" s="175">
        <v>260220</v>
      </c>
    </row>
    <row r="245" spans="1:1" x14ac:dyDescent="0.2">
      <c r="A245" s="175">
        <v>65806</v>
      </c>
    </row>
    <row r="246" spans="1:1" x14ac:dyDescent="0.2">
      <c r="A246" s="175">
        <v>118004</v>
      </c>
    </row>
    <row r="247" spans="1:1" x14ac:dyDescent="0.2">
      <c r="A247" s="175">
        <v>77550</v>
      </c>
    </row>
    <row r="248" spans="1:1" x14ac:dyDescent="0.2">
      <c r="A248" s="175">
        <v>2412</v>
      </c>
    </row>
    <row r="249" spans="1:1" x14ac:dyDescent="0.2">
      <c r="A249" s="175">
        <v>23400</v>
      </c>
    </row>
    <row r="250" spans="1:1" x14ac:dyDescent="0.2">
      <c r="A250" s="175">
        <v>150328</v>
      </c>
    </row>
    <row r="251" spans="1:1" x14ac:dyDescent="0.2">
      <c r="A251" s="175">
        <v>583098</v>
      </c>
    </row>
    <row r="252" spans="1:1" x14ac:dyDescent="0.2">
      <c r="A252" s="175">
        <v>452612</v>
      </c>
    </row>
    <row r="253" spans="1:1" x14ac:dyDescent="0.2">
      <c r="A253" s="175">
        <v>0</v>
      </c>
    </row>
    <row r="254" spans="1:1" x14ac:dyDescent="0.2">
      <c r="A254" s="175">
        <v>28884</v>
      </c>
    </row>
    <row r="255" spans="1:1" x14ac:dyDescent="0.2">
      <c r="A255" s="175">
        <v>0</v>
      </c>
    </row>
    <row r="256" spans="1:1" x14ac:dyDescent="0.2">
      <c r="A256" s="175">
        <v>72426</v>
      </c>
    </row>
    <row r="257" spans="1:1" x14ac:dyDescent="0.2">
      <c r="A257" s="175">
        <v>-295740</v>
      </c>
    </row>
    <row r="258" spans="1:1" x14ac:dyDescent="0.2">
      <c r="A258" s="175">
        <v>999</v>
      </c>
    </row>
    <row r="259" spans="1:1" x14ac:dyDescent="0.2">
      <c r="A259" s="175">
        <v>999</v>
      </c>
    </row>
    <row r="260" spans="1:1" x14ac:dyDescent="0.2">
      <c r="A260" s="175">
        <v>-368166</v>
      </c>
    </row>
    <row r="261" spans="1:1" x14ac:dyDescent="0.2">
      <c r="A261" s="175">
        <v>50000</v>
      </c>
    </row>
    <row r="262" spans="1:1" x14ac:dyDescent="0.2">
      <c r="A262" s="175">
        <v>250000</v>
      </c>
    </row>
    <row r="263" spans="1:1" x14ac:dyDescent="0.2">
      <c r="A263" s="175">
        <v>1126492</v>
      </c>
    </row>
    <row r="264" spans="1:1" x14ac:dyDescent="0.2">
      <c r="A264" s="175">
        <v>0</v>
      </c>
    </row>
    <row r="265" spans="1:1" x14ac:dyDescent="0.2">
      <c r="A265" s="175">
        <v>17931</v>
      </c>
    </row>
    <row r="266" spans="1:1" x14ac:dyDescent="0.2">
      <c r="A266" s="175">
        <v>0</v>
      </c>
    </row>
    <row r="267" spans="1:1" x14ac:dyDescent="0.2">
      <c r="A267" s="175">
        <v>132397</v>
      </c>
    </row>
    <row r="268" spans="1:1" x14ac:dyDescent="0.2">
      <c r="A268" s="175">
        <v>677585</v>
      </c>
    </row>
    <row r="269" spans="1:1" x14ac:dyDescent="0.2">
      <c r="A269" s="175">
        <v>1651545</v>
      </c>
    </row>
    <row r="270" spans="1:1" x14ac:dyDescent="0.2">
      <c r="A270" s="175">
        <v>1400000</v>
      </c>
    </row>
    <row r="271" spans="1:1" x14ac:dyDescent="0.2">
      <c r="A271" s="175">
        <v>0</v>
      </c>
    </row>
    <row r="272" spans="1:1" x14ac:dyDescent="0.2">
      <c r="A272" s="175">
        <v>201690</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3704260</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160</v>
      </c>
    </row>
    <row r="287" spans="1:1" x14ac:dyDescent="0.2">
      <c r="A287" s="175">
        <v>12</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9</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4272</v>
      </c>
    </row>
    <row r="302" spans="1:1" x14ac:dyDescent="0.2">
      <c r="A302" s="175">
        <v>37</v>
      </c>
    </row>
    <row r="303" spans="1:1" x14ac:dyDescent="0.2">
      <c r="A303" s="175">
        <v>3057</v>
      </c>
    </row>
    <row r="304" spans="1:1" x14ac:dyDescent="0.2">
      <c r="A304" s="175">
        <v>98</v>
      </c>
    </row>
    <row r="305" spans="1:1" x14ac:dyDescent="0.2">
      <c r="A305" s="175">
        <v>8064</v>
      </c>
    </row>
    <row r="306" spans="1:1" x14ac:dyDescent="0.2">
      <c r="A306" s="175">
        <v>2</v>
      </c>
    </row>
    <row r="307" spans="1:1" x14ac:dyDescent="0.2">
      <c r="A307" s="175">
        <v>6660</v>
      </c>
    </row>
    <row r="308" spans="1:1" x14ac:dyDescent="0.2">
      <c r="A308" s="175">
        <v>0</v>
      </c>
    </row>
    <row r="309" spans="1:1" x14ac:dyDescent="0.2">
      <c r="A309" s="175">
        <v>999</v>
      </c>
    </row>
    <row r="310" spans="1:1" x14ac:dyDescent="0.2">
      <c r="A310" s="175">
        <v>999</v>
      </c>
    </row>
    <row r="311" spans="1:1" x14ac:dyDescent="0.2">
      <c r="A311" s="175">
        <v>2435</v>
      </c>
    </row>
    <row r="312" spans="1:1" x14ac:dyDescent="0.2">
      <c r="A312" s="175">
        <v>0</v>
      </c>
    </row>
    <row r="313" spans="1:1" x14ac:dyDescent="0.2">
      <c r="A313" s="175">
        <v>0</v>
      </c>
    </row>
    <row r="314" spans="1:1" x14ac:dyDescent="0.2">
      <c r="A314" s="175">
        <v>0</v>
      </c>
    </row>
    <row r="315" spans="1:1" x14ac:dyDescent="0.2">
      <c r="A315" s="175">
        <v>3953</v>
      </c>
    </row>
    <row r="316" spans="1:1" x14ac:dyDescent="0.2">
      <c r="A316" s="175">
        <v>2482</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3</v>
      </c>
    </row>
    <row r="322" spans="1:1" x14ac:dyDescent="0.2">
      <c r="A322" s="175">
        <v>0</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35000</v>
      </c>
    </row>
    <row r="423" spans="1:1" x14ac:dyDescent="0.2">
      <c r="A423" s="175">
        <v>60000</v>
      </c>
    </row>
    <row r="424" spans="1:1" x14ac:dyDescent="0.2">
      <c r="A424" s="175" t="s">
        <v>602</v>
      </c>
    </row>
    <row r="425" spans="1:1" x14ac:dyDescent="0.2">
      <c r="A425" s="175" t="s">
        <v>602</v>
      </c>
    </row>
    <row r="426" spans="1:1" x14ac:dyDescent="0.2">
      <c r="A426" s="175" t="s">
        <v>602</v>
      </c>
    </row>
    <row r="427" spans="1:1" x14ac:dyDescent="0.2">
      <c r="A427" s="175" t="s">
        <v>0</v>
      </c>
    </row>
    <row r="428" spans="1:1" x14ac:dyDescent="0.2">
      <c r="A428" s="175">
        <v>2</v>
      </c>
    </row>
    <row r="429" spans="1:1" x14ac:dyDescent="0.2">
      <c r="A429" s="175">
        <v>35000</v>
      </c>
    </row>
    <row r="430" spans="1:1" x14ac:dyDescent="0.2">
      <c r="A430" s="175">
        <v>60000</v>
      </c>
    </row>
    <row r="431" spans="1:1" x14ac:dyDescent="0.2">
      <c r="A431" s="175" t="s">
        <v>602</v>
      </c>
    </row>
    <row r="432" spans="1:1" x14ac:dyDescent="0.2">
      <c r="A432" s="175" t="s">
        <v>602</v>
      </c>
    </row>
    <row r="433" spans="1:1" x14ac:dyDescent="0.2">
      <c r="A433" s="175" t="s">
        <v>602</v>
      </c>
    </row>
    <row r="434" spans="1:1" x14ac:dyDescent="0.2">
      <c r="A434" s="175" t="s">
        <v>0</v>
      </c>
    </row>
    <row r="435" spans="1:1" x14ac:dyDescent="0.2">
      <c r="A435" s="175">
        <v>3</v>
      </c>
    </row>
    <row r="436" spans="1:1" x14ac:dyDescent="0.2">
      <c r="A436" s="175">
        <v>35000</v>
      </c>
    </row>
    <row r="437" spans="1:1" x14ac:dyDescent="0.2">
      <c r="A437" s="175">
        <v>60000</v>
      </c>
    </row>
    <row r="438" spans="1:1" x14ac:dyDescent="0.2">
      <c r="A438" s="175" t="s">
        <v>602</v>
      </c>
    </row>
    <row r="439" spans="1:1" x14ac:dyDescent="0.2">
      <c r="A439" s="175" t="s">
        <v>602</v>
      </c>
    </row>
    <row r="440" spans="1:1" x14ac:dyDescent="0.2">
      <c r="A440" s="175" t="s">
        <v>602</v>
      </c>
    </row>
    <row r="441" spans="1:1" x14ac:dyDescent="0.2">
      <c r="A441" s="175" t="s">
        <v>0</v>
      </c>
    </row>
    <row r="442" spans="1:1" x14ac:dyDescent="0.2">
      <c r="A442" s="175">
        <v>4</v>
      </c>
    </row>
    <row r="443" spans="1:1" x14ac:dyDescent="0.2">
      <c r="A443" s="175">
        <v>35000</v>
      </c>
    </row>
    <row r="444" spans="1:1" x14ac:dyDescent="0.2">
      <c r="A444" s="175">
        <v>60000</v>
      </c>
    </row>
    <row r="445" spans="1:1" x14ac:dyDescent="0.2">
      <c r="A445" s="175" t="s">
        <v>602</v>
      </c>
    </row>
    <row r="446" spans="1:1" x14ac:dyDescent="0.2">
      <c r="A446" s="175" t="s">
        <v>602</v>
      </c>
    </row>
    <row r="447" spans="1:1" x14ac:dyDescent="0.2">
      <c r="A447" s="175" t="s">
        <v>602</v>
      </c>
    </row>
    <row r="448" spans="1:1" x14ac:dyDescent="0.2">
      <c r="A448" s="175" t="s">
        <v>0</v>
      </c>
    </row>
    <row r="449" spans="1:1" x14ac:dyDescent="0.2">
      <c r="A449" s="175">
        <v>5</v>
      </c>
    </row>
    <row r="450" spans="1:1" x14ac:dyDescent="0.2">
      <c r="A450" s="175">
        <v>35000</v>
      </c>
    </row>
    <row r="451" spans="1:1" x14ac:dyDescent="0.2">
      <c r="A451" s="175">
        <v>60000</v>
      </c>
    </row>
    <row r="452" spans="1:1" x14ac:dyDescent="0.2">
      <c r="A452" s="175" t="s">
        <v>602</v>
      </c>
    </row>
    <row r="453" spans="1:1" x14ac:dyDescent="0.2">
      <c r="A453" s="175" t="s">
        <v>602</v>
      </c>
    </row>
    <row r="454" spans="1:1" x14ac:dyDescent="0.2">
      <c r="A454" s="175" t="s">
        <v>602</v>
      </c>
    </row>
    <row r="455" spans="1:1" x14ac:dyDescent="0.2">
      <c r="A455" s="175" t="s">
        <v>0</v>
      </c>
    </row>
    <row r="456" spans="1:1" x14ac:dyDescent="0.2">
      <c r="A456" s="175">
        <v>6</v>
      </c>
    </row>
    <row r="457" spans="1:1" x14ac:dyDescent="0.2">
      <c r="A457" s="175">
        <v>35000</v>
      </c>
    </row>
    <row r="458" spans="1:1" x14ac:dyDescent="0.2">
      <c r="A458" s="175">
        <v>60000</v>
      </c>
    </row>
    <row r="459" spans="1:1" x14ac:dyDescent="0.2">
      <c r="A459" s="175" t="s">
        <v>602</v>
      </c>
    </row>
    <row r="460" spans="1:1" x14ac:dyDescent="0.2">
      <c r="A460" s="175" t="s">
        <v>602</v>
      </c>
    </row>
    <row r="461" spans="1:1" x14ac:dyDescent="0.2">
      <c r="A461" s="175" t="s">
        <v>602</v>
      </c>
    </row>
    <row r="462" spans="1:1" x14ac:dyDescent="0.2">
      <c r="A462" s="175" t="s">
        <v>0</v>
      </c>
    </row>
    <row r="463" spans="1:1" x14ac:dyDescent="0.2">
      <c r="A463" s="175">
        <v>7</v>
      </c>
    </row>
    <row r="464" spans="1:1" x14ac:dyDescent="0.2">
      <c r="A464" s="175">
        <v>35000</v>
      </c>
    </row>
    <row r="465" spans="1:1" x14ac:dyDescent="0.2">
      <c r="A465" s="175">
        <v>60000</v>
      </c>
    </row>
    <row r="466" spans="1:1" x14ac:dyDescent="0.2">
      <c r="A466" s="175" t="s">
        <v>602</v>
      </c>
    </row>
    <row r="467" spans="1:1" x14ac:dyDescent="0.2">
      <c r="A467" s="175" t="s">
        <v>602</v>
      </c>
    </row>
    <row r="468" spans="1:1" x14ac:dyDescent="0.2">
      <c r="A468" s="175" t="s">
        <v>602</v>
      </c>
    </row>
    <row r="469" spans="1:1" x14ac:dyDescent="0.2">
      <c r="A469" s="175" t="s">
        <v>0</v>
      </c>
    </row>
    <row r="470" spans="1:1" x14ac:dyDescent="0.2">
      <c r="A470" s="175">
        <v>8</v>
      </c>
    </row>
    <row r="471" spans="1:1" x14ac:dyDescent="0.2">
      <c r="A471" s="175">
        <v>35000</v>
      </c>
    </row>
    <row r="472" spans="1:1" x14ac:dyDescent="0.2">
      <c r="A472" s="175">
        <v>60000</v>
      </c>
    </row>
    <row r="473" spans="1:1" x14ac:dyDescent="0.2">
      <c r="A473" s="175" t="s">
        <v>602</v>
      </c>
    </row>
    <row r="474" spans="1:1" x14ac:dyDescent="0.2">
      <c r="A474" s="175" t="s">
        <v>602</v>
      </c>
    </row>
    <row r="475" spans="1:1" x14ac:dyDescent="0.2">
      <c r="A475" s="175" t="s">
        <v>602</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6</v>
      </c>
    </row>
    <row r="502" spans="1:1" x14ac:dyDescent="0.2">
      <c r="A502" s="175">
        <v>11</v>
      </c>
    </row>
    <row r="503" spans="1:1" x14ac:dyDescent="0.2">
      <c r="A503" s="175">
        <v>50</v>
      </c>
    </row>
    <row r="504" spans="1:1" x14ac:dyDescent="0.2">
      <c r="A504" s="175">
        <v>6143</v>
      </c>
    </row>
    <row r="505" spans="1:1" x14ac:dyDescent="0.2">
      <c r="A505" s="175">
        <v>4237</v>
      </c>
    </row>
    <row r="506" spans="1:1" x14ac:dyDescent="0.2">
      <c r="A506" s="175">
        <v>4352</v>
      </c>
    </row>
    <row r="507" spans="1:1" x14ac:dyDescent="0.2">
      <c r="A507" s="175">
        <v>83</v>
      </c>
    </row>
    <row r="508" spans="1:1" x14ac:dyDescent="0.2">
      <c r="A508" s="175">
        <v>44</v>
      </c>
    </row>
    <row r="509" spans="1:1" x14ac:dyDescent="0.2">
      <c r="A509" s="175">
        <v>1755</v>
      </c>
    </row>
    <row r="510" spans="1:1" x14ac:dyDescent="0.2">
      <c r="A510" s="175">
        <v>1774</v>
      </c>
    </row>
    <row r="511" spans="1:1" x14ac:dyDescent="0.2">
      <c r="A511" s="175">
        <v>83</v>
      </c>
    </row>
    <row r="512" spans="1:1" x14ac:dyDescent="0.2">
      <c r="A512" s="175">
        <v>999</v>
      </c>
    </row>
    <row r="513" spans="1:1" x14ac:dyDescent="0.2">
      <c r="A513" s="175">
        <v>999</v>
      </c>
    </row>
    <row r="514" spans="1:1" x14ac:dyDescent="0.2">
      <c r="A514" s="175">
        <v>65856</v>
      </c>
    </row>
    <row r="515" spans="1:1" x14ac:dyDescent="0.2">
      <c r="A515" s="175">
        <v>79345</v>
      </c>
    </row>
    <row r="516" spans="1:1" x14ac:dyDescent="0.2">
      <c r="A516" s="175">
        <v>75378</v>
      </c>
    </row>
    <row r="517" spans="1:1" x14ac:dyDescent="0.2">
      <c r="A517" s="175">
        <v>71410</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10160</v>
      </c>
    </row>
    <row r="523" spans="1:1" x14ac:dyDescent="0.2">
      <c r="A523" s="175">
        <v>4064000</v>
      </c>
    </row>
    <row r="524" spans="1:1" x14ac:dyDescent="0.2">
      <c r="A524" s="175">
        <v>0</v>
      </c>
    </row>
    <row r="525" spans="1:1" x14ac:dyDescent="0.2">
      <c r="A525" s="175">
        <v>4064000</v>
      </c>
    </row>
    <row r="526" spans="1:1" x14ac:dyDescent="0.2">
      <c r="A526" s="175">
        <v>285</v>
      </c>
    </row>
    <row r="527" spans="1:1" x14ac:dyDescent="0.2">
      <c r="A527" s="175">
        <v>0</v>
      </c>
    </row>
    <row r="528" spans="1:1" x14ac:dyDescent="0.2">
      <c r="A528" s="175">
        <v>0</v>
      </c>
    </row>
    <row r="529" spans="1:1" x14ac:dyDescent="0.2">
      <c r="A529" s="175">
        <v>450</v>
      </c>
    </row>
    <row r="530" spans="1:1" x14ac:dyDescent="0.2">
      <c r="A530" s="175">
        <v>0</v>
      </c>
    </row>
    <row r="531" spans="1:1" x14ac:dyDescent="0.2">
      <c r="A531" s="175">
        <v>0</v>
      </c>
    </row>
    <row r="532" spans="1:1" x14ac:dyDescent="0.2">
      <c r="A532" s="175">
        <v>680</v>
      </c>
    </row>
    <row r="533" spans="1:1" x14ac:dyDescent="0.2">
      <c r="A533" s="175">
        <v>0</v>
      </c>
    </row>
    <row r="534" spans="1:1" x14ac:dyDescent="0.2">
      <c r="A534" s="175">
        <v>0</v>
      </c>
    </row>
    <row r="535" spans="1:1" x14ac:dyDescent="0.2">
      <c r="A535" s="175">
        <v>46</v>
      </c>
    </row>
    <row r="536" spans="1:1" x14ac:dyDescent="0.2">
      <c r="A536" s="175">
        <v>1100</v>
      </c>
    </row>
    <row r="537" spans="1:1" x14ac:dyDescent="0.2">
      <c r="A537" s="175">
        <v>3</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10160</v>
      </c>
    </row>
    <row r="543" spans="1:1" x14ac:dyDescent="0.2">
      <c r="A543" s="175">
        <v>4064000</v>
      </c>
    </row>
    <row r="544" spans="1:1" x14ac:dyDescent="0.2">
      <c r="A544" s="175">
        <v>0</v>
      </c>
    </row>
    <row r="545" spans="1:1" x14ac:dyDescent="0.2">
      <c r="A545" s="175">
        <v>4064000</v>
      </c>
    </row>
    <row r="546" spans="1:1" x14ac:dyDescent="0.2">
      <c r="A546" s="175">
        <v>285</v>
      </c>
    </row>
    <row r="547" spans="1:1" x14ac:dyDescent="0.2">
      <c r="A547" s="175">
        <v>0</v>
      </c>
    </row>
    <row r="548" spans="1:1" x14ac:dyDescent="0.2">
      <c r="A548" s="175">
        <v>0</v>
      </c>
    </row>
    <row r="549" spans="1:1" x14ac:dyDescent="0.2">
      <c r="A549" s="175">
        <v>450</v>
      </c>
    </row>
    <row r="550" spans="1:1" x14ac:dyDescent="0.2">
      <c r="A550" s="175">
        <v>0</v>
      </c>
    </row>
    <row r="551" spans="1:1" x14ac:dyDescent="0.2">
      <c r="A551" s="175">
        <v>0</v>
      </c>
    </row>
    <row r="552" spans="1:1" x14ac:dyDescent="0.2">
      <c r="A552" s="175">
        <v>680</v>
      </c>
    </row>
    <row r="553" spans="1:1" x14ac:dyDescent="0.2">
      <c r="A553" s="175">
        <v>0</v>
      </c>
    </row>
    <row r="554" spans="1:1" x14ac:dyDescent="0.2">
      <c r="A554" s="175">
        <v>0</v>
      </c>
    </row>
    <row r="555" spans="1:1" x14ac:dyDescent="0.2">
      <c r="A555" s="175">
        <v>46</v>
      </c>
    </row>
    <row r="556" spans="1:1" x14ac:dyDescent="0.2">
      <c r="A556" s="175">
        <v>1100</v>
      </c>
    </row>
    <row r="557" spans="1:1" x14ac:dyDescent="0.2">
      <c r="A557" s="175">
        <v>3</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10160</v>
      </c>
    </row>
    <row r="563" spans="1:1" x14ac:dyDescent="0.2">
      <c r="A563" s="175">
        <v>4064000</v>
      </c>
    </row>
    <row r="564" spans="1:1" x14ac:dyDescent="0.2">
      <c r="A564" s="175">
        <v>0</v>
      </c>
    </row>
    <row r="565" spans="1:1" x14ac:dyDescent="0.2">
      <c r="A565" s="175">
        <v>4064000</v>
      </c>
    </row>
    <row r="566" spans="1:1" x14ac:dyDescent="0.2">
      <c r="A566" s="175">
        <v>285</v>
      </c>
    </row>
    <row r="567" spans="1:1" x14ac:dyDescent="0.2">
      <c r="A567" s="175">
        <v>0</v>
      </c>
    </row>
    <row r="568" spans="1:1" x14ac:dyDescent="0.2">
      <c r="A568" s="175">
        <v>0</v>
      </c>
    </row>
    <row r="569" spans="1:1" x14ac:dyDescent="0.2">
      <c r="A569" s="175">
        <v>450</v>
      </c>
    </row>
    <row r="570" spans="1:1" x14ac:dyDescent="0.2">
      <c r="A570" s="175">
        <v>0</v>
      </c>
    </row>
    <row r="571" spans="1:1" x14ac:dyDescent="0.2">
      <c r="A571" s="175">
        <v>0</v>
      </c>
    </row>
    <row r="572" spans="1:1" x14ac:dyDescent="0.2">
      <c r="A572" s="175">
        <v>680</v>
      </c>
    </row>
    <row r="573" spans="1:1" x14ac:dyDescent="0.2">
      <c r="A573" s="175">
        <v>0</v>
      </c>
    </row>
    <row r="574" spans="1:1" x14ac:dyDescent="0.2">
      <c r="A574" s="175">
        <v>0</v>
      </c>
    </row>
    <row r="575" spans="1:1" x14ac:dyDescent="0.2">
      <c r="A575" s="175">
        <v>46</v>
      </c>
    </row>
    <row r="576" spans="1:1" x14ac:dyDescent="0.2">
      <c r="A576" s="175">
        <v>1100</v>
      </c>
    </row>
    <row r="577" spans="1:1" x14ac:dyDescent="0.2">
      <c r="A577" s="175">
        <v>3</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10160</v>
      </c>
    </row>
    <row r="583" spans="1:1" x14ac:dyDescent="0.2">
      <c r="A583" s="175">
        <v>4064000</v>
      </c>
    </row>
    <row r="584" spans="1:1" x14ac:dyDescent="0.2">
      <c r="A584" s="175">
        <v>0</v>
      </c>
    </row>
    <row r="585" spans="1:1" x14ac:dyDescent="0.2">
      <c r="A585" s="175">
        <v>4064000</v>
      </c>
    </row>
    <row r="586" spans="1:1" x14ac:dyDescent="0.2">
      <c r="A586" s="175">
        <v>285</v>
      </c>
    </row>
    <row r="587" spans="1:1" x14ac:dyDescent="0.2">
      <c r="A587" s="175">
        <v>0</v>
      </c>
    </row>
    <row r="588" spans="1:1" x14ac:dyDescent="0.2">
      <c r="A588" s="175">
        <v>0</v>
      </c>
    </row>
    <row r="589" spans="1:1" x14ac:dyDescent="0.2">
      <c r="A589" s="175">
        <v>450</v>
      </c>
    </row>
    <row r="590" spans="1:1" x14ac:dyDescent="0.2">
      <c r="A590" s="175">
        <v>0</v>
      </c>
    </row>
    <row r="591" spans="1:1" x14ac:dyDescent="0.2">
      <c r="A591" s="175">
        <v>0</v>
      </c>
    </row>
    <row r="592" spans="1:1" x14ac:dyDescent="0.2">
      <c r="A592" s="175">
        <v>680</v>
      </c>
    </row>
    <row r="593" spans="1:1" x14ac:dyDescent="0.2">
      <c r="A593" s="175">
        <v>0</v>
      </c>
    </row>
    <row r="594" spans="1:1" x14ac:dyDescent="0.2">
      <c r="A594" s="175">
        <v>0</v>
      </c>
    </row>
    <row r="595" spans="1:1" x14ac:dyDescent="0.2">
      <c r="A595" s="175">
        <v>46</v>
      </c>
    </row>
    <row r="596" spans="1:1" x14ac:dyDescent="0.2">
      <c r="A596" s="175">
        <v>1100</v>
      </c>
    </row>
    <row r="597" spans="1:1" x14ac:dyDescent="0.2">
      <c r="A597" s="175">
        <v>3</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10160</v>
      </c>
    </row>
    <row r="603" spans="1:1" x14ac:dyDescent="0.2">
      <c r="A603" s="175">
        <v>4064000</v>
      </c>
    </row>
    <row r="604" spans="1:1" x14ac:dyDescent="0.2">
      <c r="A604" s="175">
        <v>0</v>
      </c>
    </row>
    <row r="605" spans="1:1" x14ac:dyDescent="0.2">
      <c r="A605" s="175">
        <v>4064000</v>
      </c>
    </row>
    <row r="606" spans="1:1" x14ac:dyDescent="0.2">
      <c r="A606" s="175">
        <v>285</v>
      </c>
    </row>
    <row r="607" spans="1:1" x14ac:dyDescent="0.2">
      <c r="A607" s="175">
        <v>0</v>
      </c>
    </row>
    <row r="608" spans="1:1" x14ac:dyDescent="0.2">
      <c r="A608" s="175">
        <v>0</v>
      </c>
    </row>
    <row r="609" spans="1:1" x14ac:dyDescent="0.2">
      <c r="A609" s="175">
        <v>450</v>
      </c>
    </row>
    <row r="610" spans="1:1" x14ac:dyDescent="0.2">
      <c r="A610" s="175">
        <v>0</v>
      </c>
    </row>
    <row r="611" spans="1:1" x14ac:dyDescent="0.2">
      <c r="A611" s="175">
        <v>0</v>
      </c>
    </row>
    <row r="612" spans="1:1" x14ac:dyDescent="0.2">
      <c r="A612" s="175">
        <v>680</v>
      </c>
    </row>
    <row r="613" spans="1:1" x14ac:dyDescent="0.2">
      <c r="A613" s="175">
        <v>0</v>
      </c>
    </row>
    <row r="614" spans="1:1" x14ac:dyDescent="0.2">
      <c r="A614" s="175">
        <v>0</v>
      </c>
    </row>
    <row r="615" spans="1:1" x14ac:dyDescent="0.2">
      <c r="A615" s="175">
        <v>46</v>
      </c>
    </row>
    <row r="616" spans="1:1" x14ac:dyDescent="0.2">
      <c r="A616" s="175">
        <v>1100</v>
      </c>
    </row>
    <row r="617" spans="1:1" x14ac:dyDescent="0.2">
      <c r="A617" s="175">
        <v>3</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10160</v>
      </c>
    </row>
    <row r="623" spans="1:1" x14ac:dyDescent="0.2">
      <c r="A623" s="175">
        <v>4064000</v>
      </c>
    </row>
    <row r="624" spans="1:1" x14ac:dyDescent="0.2">
      <c r="A624" s="175">
        <v>0</v>
      </c>
    </row>
    <row r="625" spans="1:1" x14ac:dyDescent="0.2">
      <c r="A625" s="175">
        <v>4064000</v>
      </c>
    </row>
    <row r="626" spans="1:1" x14ac:dyDescent="0.2">
      <c r="A626" s="175">
        <v>285</v>
      </c>
    </row>
    <row r="627" spans="1:1" x14ac:dyDescent="0.2">
      <c r="A627" s="175">
        <v>0</v>
      </c>
    </row>
    <row r="628" spans="1:1" x14ac:dyDescent="0.2">
      <c r="A628" s="175">
        <v>0</v>
      </c>
    </row>
    <row r="629" spans="1:1" x14ac:dyDescent="0.2">
      <c r="A629" s="175">
        <v>450</v>
      </c>
    </row>
    <row r="630" spans="1:1" x14ac:dyDescent="0.2">
      <c r="A630" s="175">
        <v>0</v>
      </c>
    </row>
    <row r="631" spans="1:1" x14ac:dyDescent="0.2">
      <c r="A631" s="175">
        <v>0</v>
      </c>
    </row>
    <row r="632" spans="1:1" x14ac:dyDescent="0.2">
      <c r="A632" s="175">
        <v>680</v>
      </c>
    </row>
    <row r="633" spans="1:1" x14ac:dyDescent="0.2">
      <c r="A633" s="175">
        <v>0</v>
      </c>
    </row>
    <row r="634" spans="1:1" x14ac:dyDescent="0.2">
      <c r="A634" s="175">
        <v>0</v>
      </c>
    </row>
    <row r="635" spans="1:1" x14ac:dyDescent="0.2">
      <c r="A635" s="175">
        <v>46</v>
      </c>
    </row>
    <row r="636" spans="1:1" x14ac:dyDescent="0.2">
      <c r="A636" s="175">
        <v>1100</v>
      </c>
    </row>
    <row r="637" spans="1:1" x14ac:dyDescent="0.2">
      <c r="A637" s="175">
        <v>3</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10160</v>
      </c>
    </row>
    <row r="643" spans="1:1" x14ac:dyDescent="0.2">
      <c r="A643" s="175">
        <v>4064000</v>
      </c>
    </row>
    <row r="644" spans="1:1" x14ac:dyDescent="0.2">
      <c r="A644" s="175">
        <v>0</v>
      </c>
    </row>
    <row r="645" spans="1:1" x14ac:dyDescent="0.2">
      <c r="A645" s="175">
        <v>4064000</v>
      </c>
    </row>
    <row r="646" spans="1:1" x14ac:dyDescent="0.2">
      <c r="A646" s="175">
        <v>285</v>
      </c>
    </row>
    <row r="647" spans="1:1" x14ac:dyDescent="0.2">
      <c r="A647" s="175">
        <v>0</v>
      </c>
    </row>
    <row r="648" spans="1:1" x14ac:dyDescent="0.2">
      <c r="A648" s="175">
        <v>0</v>
      </c>
    </row>
    <row r="649" spans="1:1" x14ac:dyDescent="0.2">
      <c r="A649" s="175">
        <v>450</v>
      </c>
    </row>
    <row r="650" spans="1:1" x14ac:dyDescent="0.2">
      <c r="A650" s="175">
        <v>0</v>
      </c>
    </row>
    <row r="651" spans="1:1" x14ac:dyDescent="0.2">
      <c r="A651" s="175">
        <v>0</v>
      </c>
    </row>
    <row r="652" spans="1:1" x14ac:dyDescent="0.2">
      <c r="A652" s="175">
        <v>680</v>
      </c>
    </row>
    <row r="653" spans="1:1" x14ac:dyDescent="0.2">
      <c r="A653" s="175">
        <v>0</v>
      </c>
    </row>
    <row r="654" spans="1:1" x14ac:dyDescent="0.2">
      <c r="A654" s="175">
        <v>0</v>
      </c>
    </row>
    <row r="655" spans="1:1" x14ac:dyDescent="0.2">
      <c r="A655" s="175">
        <v>46</v>
      </c>
    </row>
    <row r="656" spans="1:1" x14ac:dyDescent="0.2">
      <c r="A656" s="175">
        <v>1100</v>
      </c>
    </row>
    <row r="657" spans="1:1" x14ac:dyDescent="0.2">
      <c r="A657" s="175">
        <v>3</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10160</v>
      </c>
    </row>
    <row r="663" spans="1:1" x14ac:dyDescent="0.2">
      <c r="A663" s="175">
        <v>4064000</v>
      </c>
    </row>
    <row r="664" spans="1:1" x14ac:dyDescent="0.2">
      <c r="A664" s="175">
        <v>0</v>
      </c>
    </row>
    <row r="665" spans="1:1" x14ac:dyDescent="0.2">
      <c r="A665" s="175">
        <v>4064000</v>
      </c>
    </row>
    <row r="666" spans="1:1" x14ac:dyDescent="0.2">
      <c r="A666" s="175">
        <v>285</v>
      </c>
    </row>
    <row r="667" spans="1:1" x14ac:dyDescent="0.2">
      <c r="A667" s="175">
        <v>0</v>
      </c>
    </row>
    <row r="668" spans="1:1" x14ac:dyDescent="0.2">
      <c r="A668" s="175">
        <v>0</v>
      </c>
    </row>
    <row r="669" spans="1:1" x14ac:dyDescent="0.2">
      <c r="A669" s="175">
        <v>450</v>
      </c>
    </row>
    <row r="670" spans="1:1" x14ac:dyDescent="0.2">
      <c r="A670" s="175">
        <v>0</v>
      </c>
    </row>
    <row r="671" spans="1:1" x14ac:dyDescent="0.2">
      <c r="A671" s="175">
        <v>0</v>
      </c>
    </row>
    <row r="672" spans="1:1" x14ac:dyDescent="0.2">
      <c r="A672" s="175">
        <v>680</v>
      </c>
    </row>
    <row r="673" spans="1:1" x14ac:dyDescent="0.2">
      <c r="A673" s="175">
        <v>0</v>
      </c>
    </row>
    <row r="674" spans="1:1" x14ac:dyDescent="0.2">
      <c r="A674" s="175">
        <v>0</v>
      </c>
    </row>
    <row r="675" spans="1:1" x14ac:dyDescent="0.2">
      <c r="A675" s="175">
        <v>46</v>
      </c>
    </row>
    <row r="676" spans="1:1" x14ac:dyDescent="0.2">
      <c r="A676" s="175">
        <v>1100</v>
      </c>
    </row>
    <row r="677" spans="1:1" x14ac:dyDescent="0.2">
      <c r="A677" s="175">
        <v>3</v>
      </c>
    </row>
    <row r="678" spans="1:1" x14ac:dyDescent="0.2">
      <c r="A678" s="175">
        <v>999</v>
      </c>
    </row>
    <row r="679" spans="1:1" x14ac:dyDescent="0.2">
      <c r="A679" s="175">
        <v>999</v>
      </c>
    </row>
    <row r="680" spans="1:1" x14ac:dyDescent="0.2">
      <c r="A680" s="175">
        <v>999</v>
      </c>
    </row>
    <row r="681" spans="1:1" x14ac:dyDescent="0.2">
      <c r="A681" s="175" t="s">
        <v>689</v>
      </c>
    </row>
    <row r="682" spans="1:1" x14ac:dyDescent="0.2">
      <c r="A682" s="175" t="s">
        <v>690</v>
      </c>
    </row>
    <row r="683" spans="1:1" x14ac:dyDescent="0.2">
      <c r="A683" s="175" t="s">
        <v>691</v>
      </c>
    </row>
    <row r="684" spans="1:1" x14ac:dyDescent="0.2">
      <c r="A684" s="175" t="s">
        <v>692</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1426492</v>
      </c>
    </row>
    <row r="703" spans="1:1" x14ac:dyDescent="0.2">
      <c r="A703" s="175">
        <v>150328</v>
      </c>
    </row>
    <row r="704" spans="1:1" x14ac:dyDescent="0.2">
      <c r="A704" s="175">
        <v>677585</v>
      </c>
    </row>
    <row r="705" spans="1:1" x14ac:dyDescent="0.2">
      <c r="A705" s="175">
        <v>1651545</v>
      </c>
    </row>
    <row r="706" spans="1:1" x14ac:dyDescent="0.2">
      <c r="A706" s="175">
        <v>999</v>
      </c>
    </row>
    <row r="707" spans="1:1" x14ac:dyDescent="0.2">
      <c r="A707" s="175">
        <v>999</v>
      </c>
    </row>
    <row r="708" spans="1:1" x14ac:dyDescent="0.2">
      <c r="A708" s="175">
        <v>0</v>
      </c>
    </row>
    <row r="709" spans="1:1" x14ac:dyDescent="0.2">
      <c r="A709" s="175">
        <v>201690</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-295740</v>
      </c>
    </row>
    <row r="717" spans="1:1" x14ac:dyDescent="0.2">
      <c r="A717" s="175">
        <v>3704260</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1426492</v>
      </c>
    </row>
    <row r="723" spans="1:1" x14ac:dyDescent="0.2">
      <c r="A723" s="175">
        <v>150328</v>
      </c>
    </row>
    <row r="724" spans="1:1" x14ac:dyDescent="0.2">
      <c r="A724" s="175">
        <v>677585</v>
      </c>
    </row>
    <row r="725" spans="1:1" x14ac:dyDescent="0.2">
      <c r="A725" s="175">
        <v>1651545</v>
      </c>
    </row>
    <row r="726" spans="1:1" x14ac:dyDescent="0.2">
      <c r="A726" s="175">
        <v>999</v>
      </c>
    </row>
    <row r="727" spans="1:1" x14ac:dyDescent="0.2">
      <c r="A727" s="175">
        <v>999</v>
      </c>
    </row>
    <row r="728" spans="1:1" x14ac:dyDescent="0.2">
      <c r="A728" s="175">
        <v>0</v>
      </c>
    </row>
    <row r="729" spans="1:1" x14ac:dyDescent="0.2">
      <c r="A729" s="175">
        <v>201690</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-295740</v>
      </c>
    </row>
    <row r="737" spans="1:1" x14ac:dyDescent="0.2">
      <c r="A737" s="175">
        <v>3704260</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1426492</v>
      </c>
    </row>
    <row r="743" spans="1:1" x14ac:dyDescent="0.2">
      <c r="A743" s="175">
        <v>150328</v>
      </c>
    </row>
    <row r="744" spans="1:1" x14ac:dyDescent="0.2">
      <c r="A744" s="175">
        <v>677585</v>
      </c>
    </row>
    <row r="745" spans="1:1" x14ac:dyDescent="0.2">
      <c r="A745" s="175">
        <v>1651545</v>
      </c>
    </row>
    <row r="746" spans="1:1" x14ac:dyDescent="0.2">
      <c r="A746" s="175">
        <v>999</v>
      </c>
    </row>
    <row r="747" spans="1:1" x14ac:dyDescent="0.2">
      <c r="A747" s="175">
        <v>999</v>
      </c>
    </row>
    <row r="748" spans="1:1" x14ac:dyDescent="0.2">
      <c r="A748" s="175">
        <v>0</v>
      </c>
    </row>
    <row r="749" spans="1:1" x14ac:dyDescent="0.2">
      <c r="A749" s="175">
        <v>201690</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-295740</v>
      </c>
    </row>
    <row r="757" spans="1:1" x14ac:dyDescent="0.2">
      <c r="A757" s="175">
        <v>3704260</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1426492</v>
      </c>
    </row>
    <row r="763" spans="1:1" x14ac:dyDescent="0.2">
      <c r="A763" s="175">
        <v>150328</v>
      </c>
    </row>
    <row r="764" spans="1:1" x14ac:dyDescent="0.2">
      <c r="A764" s="175">
        <v>677585</v>
      </c>
    </row>
    <row r="765" spans="1:1" x14ac:dyDescent="0.2">
      <c r="A765" s="175">
        <v>1651545</v>
      </c>
    </row>
    <row r="766" spans="1:1" x14ac:dyDescent="0.2">
      <c r="A766" s="175">
        <v>999</v>
      </c>
    </row>
    <row r="767" spans="1:1" x14ac:dyDescent="0.2">
      <c r="A767" s="175">
        <v>999</v>
      </c>
    </row>
    <row r="768" spans="1:1" x14ac:dyDescent="0.2">
      <c r="A768" s="175">
        <v>0</v>
      </c>
    </row>
    <row r="769" spans="1:1" x14ac:dyDescent="0.2">
      <c r="A769" s="175">
        <v>201690</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-295740</v>
      </c>
    </row>
    <row r="777" spans="1:1" x14ac:dyDescent="0.2">
      <c r="A777" s="175">
        <v>3704260</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1426492</v>
      </c>
    </row>
    <row r="783" spans="1:1" x14ac:dyDescent="0.2">
      <c r="A783" s="175">
        <v>150328</v>
      </c>
    </row>
    <row r="784" spans="1:1" x14ac:dyDescent="0.2">
      <c r="A784" s="175">
        <v>677585</v>
      </c>
    </row>
    <row r="785" spans="1:1" x14ac:dyDescent="0.2">
      <c r="A785" s="175">
        <v>1651545</v>
      </c>
    </row>
    <row r="786" spans="1:1" x14ac:dyDescent="0.2">
      <c r="A786" s="175">
        <v>999</v>
      </c>
    </row>
    <row r="787" spans="1:1" x14ac:dyDescent="0.2">
      <c r="A787" s="175">
        <v>999</v>
      </c>
    </row>
    <row r="788" spans="1:1" x14ac:dyDescent="0.2">
      <c r="A788" s="175">
        <v>0</v>
      </c>
    </row>
    <row r="789" spans="1:1" x14ac:dyDescent="0.2">
      <c r="A789" s="175">
        <v>201690</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-295740</v>
      </c>
    </row>
    <row r="797" spans="1:1" x14ac:dyDescent="0.2">
      <c r="A797" s="175">
        <v>3704260</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1426492</v>
      </c>
    </row>
    <row r="803" spans="1:1" x14ac:dyDescent="0.2">
      <c r="A803" s="175">
        <v>150328</v>
      </c>
    </row>
    <row r="804" spans="1:1" x14ac:dyDescent="0.2">
      <c r="A804" s="175">
        <v>677585</v>
      </c>
    </row>
    <row r="805" spans="1:1" x14ac:dyDescent="0.2">
      <c r="A805" s="175">
        <v>1651545</v>
      </c>
    </row>
    <row r="806" spans="1:1" x14ac:dyDescent="0.2">
      <c r="A806" s="175">
        <v>999</v>
      </c>
    </row>
    <row r="807" spans="1:1" x14ac:dyDescent="0.2">
      <c r="A807" s="175">
        <v>999</v>
      </c>
    </row>
    <row r="808" spans="1:1" x14ac:dyDescent="0.2">
      <c r="A808" s="175">
        <v>0</v>
      </c>
    </row>
    <row r="809" spans="1:1" x14ac:dyDescent="0.2">
      <c r="A809" s="175">
        <v>201690</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-295740</v>
      </c>
    </row>
    <row r="817" spans="1:1" x14ac:dyDescent="0.2">
      <c r="A817" s="175">
        <v>3704260</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1426492</v>
      </c>
    </row>
    <row r="823" spans="1:1" x14ac:dyDescent="0.2">
      <c r="A823" s="175">
        <v>150328</v>
      </c>
    </row>
    <row r="824" spans="1:1" x14ac:dyDescent="0.2">
      <c r="A824" s="175">
        <v>677585</v>
      </c>
    </row>
    <row r="825" spans="1:1" x14ac:dyDescent="0.2">
      <c r="A825" s="175">
        <v>1651545</v>
      </c>
    </row>
    <row r="826" spans="1:1" x14ac:dyDescent="0.2">
      <c r="A826" s="175">
        <v>999</v>
      </c>
    </row>
    <row r="827" spans="1:1" x14ac:dyDescent="0.2">
      <c r="A827" s="175">
        <v>999</v>
      </c>
    </row>
    <row r="828" spans="1:1" x14ac:dyDescent="0.2">
      <c r="A828" s="175">
        <v>0</v>
      </c>
    </row>
    <row r="829" spans="1:1" x14ac:dyDescent="0.2">
      <c r="A829" s="175">
        <v>201690</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-295740</v>
      </c>
    </row>
    <row r="837" spans="1:1" x14ac:dyDescent="0.2">
      <c r="A837" s="175">
        <v>3704260</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1426492</v>
      </c>
    </row>
    <row r="843" spans="1:1" x14ac:dyDescent="0.2">
      <c r="A843" s="175">
        <v>150328</v>
      </c>
    </row>
    <row r="844" spans="1:1" x14ac:dyDescent="0.2">
      <c r="A844" s="175">
        <v>677585</v>
      </c>
    </row>
    <row r="845" spans="1:1" x14ac:dyDescent="0.2">
      <c r="A845" s="175">
        <v>1651545</v>
      </c>
    </row>
    <row r="846" spans="1:1" x14ac:dyDescent="0.2">
      <c r="A846" s="175">
        <v>999</v>
      </c>
    </row>
    <row r="847" spans="1:1" x14ac:dyDescent="0.2">
      <c r="A847" s="175">
        <v>999</v>
      </c>
    </row>
    <row r="848" spans="1:1" x14ac:dyDescent="0.2">
      <c r="A848" s="175">
        <v>0</v>
      </c>
    </row>
    <row r="849" spans="1:1" x14ac:dyDescent="0.2">
      <c r="A849" s="175">
        <v>201690</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-295740</v>
      </c>
    </row>
    <row r="857" spans="1:1" x14ac:dyDescent="0.2">
      <c r="A857" s="175">
        <v>3704260</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6">
    <tabColor theme="8" tint="-0.249977111117893"/>
  </sheetPr>
  <dimension ref="B1:Y55"/>
  <sheetViews>
    <sheetView showGridLines="0" workbookViewId="0">
      <selection activeCell="AD37" sqref="AD37"/>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LEFT(TRIM('45'!A699),4)</f>
        <v xml:space="preserve">032 </v>
      </c>
      <c r="W1" t="str">
        <f>RIGHT(TRIM('45'!A699),10)</f>
        <v>17/06/2016</v>
      </c>
    </row>
    <row r="2" spans="2:25" ht="33" x14ac:dyDescent="0.6">
      <c r="G2" s="157" t="s">
        <v>82</v>
      </c>
      <c r="H2" s="156"/>
    </row>
    <row r="3" spans="2:25" x14ac:dyDescent="0.25">
      <c r="B3" t="str">
        <f>'45'!A861</f>
        <v xml:space="preserve"> This is a history quarter</v>
      </c>
      <c r="C3" s="506"/>
      <c r="V3" s="158" t="s">
        <v>83</v>
      </c>
      <c r="W3" s="159" t="str">
        <f>'45'!A6</f>
        <v xml:space="preserve">  17C1</v>
      </c>
    </row>
    <row r="4" spans="2:25" x14ac:dyDescent="0.25">
      <c r="B4">
        <f>'45'!A862</f>
        <v>0</v>
      </c>
      <c r="C4" s="506"/>
    </row>
    <row r="5" spans="2:25" ht="17.399999999999999" x14ac:dyDescent="0.3">
      <c r="B5">
        <f>'45'!A863</f>
        <v>0</v>
      </c>
      <c r="H5" s="160" t="s">
        <v>85</v>
      </c>
      <c r="J5" s="161"/>
      <c r="K5" s="161"/>
      <c r="L5" s="161">
        <f>'45'!$A2</f>
        <v>1</v>
      </c>
      <c r="M5" s="160" t="s">
        <v>84</v>
      </c>
      <c r="N5" s="160"/>
      <c r="O5" s="162">
        <f>'45'!$A1</f>
        <v>1</v>
      </c>
      <c r="P5" s="161"/>
      <c r="Q5" s="161"/>
      <c r="S5" s="163"/>
      <c r="T5" s="164"/>
      <c r="U5" s="163"/>
      <c r="V5" s="163"/>
    </row>
    <row r="6" spans="2:25" x14ac:dyDescent="0.25">
      <c r="B6">
        <f>'45'!A864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'45'!$A4</f>
        <v>2017</v>
      </c>
      <c r="Q9" s="164"/>
      <c r="R9" s="171" t="s">
        <v>80</v>
      </c>
      <c r="S9" s="172">
        <f>'45'!$A5</f>
        <v>1</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'45'!A7</f>
        <v>10</v>
      </c>
      <c r="F14" s="196">
        <f>'45'!A11</f>
        <v>5</v>
      </c>
      <c r="G14" s="197"/>
      <c r="H14" s="196">
        <f>'45'!A14</f>
        <v>5</v>
      </c>
      <c r="I14" s="198"/>
      <c r="J14" s="196">
        <f>'45'!A17</f>
        <v>10</v>
      </c>
      <c r="K14" s="198"/>
      <c r="L14" s="40"/>
      <c r="M14" s="182"/>
      <c r="N14" s="182" t="s">
        <v>36</v>
      </c>
      <c r="O14" s="182"/>
      <c r="P14" s="201">
        <f>'45'!A61</f>
        <v>3</v>
      </c>
      <c r="Q14" s="200">
        <f>'45'!B61</f>
        <v>0</v>
      </c>
      <c r="R14" s="190"/>
      <c r="S14" s="175"/>
      <c r="T14" s="201">
        <f>'45'!A62</f>
        <v>10</v>
      </c>
      <c r="U14" s="200">
        <f>'45'!B62</f>
        <v>0</v>
      </c>
      <c r="V14" s="175"/>
      <c r="W14" s="201">
        <f>'45'!A63</f>
        <v>7</v>
      </c>
      <c r="X14" s="202"/>
      <c r="Y14" s="179"/>
    </row>
    <row r="15" spans="2:25" x14ac:dyDescent="0.25">
      <c r="B15" s="168"/>
      <c r="C15" s="40"/>
      <c r="D15" s="40" t="s">
        <v>5</v>
      </c>
      <c r="E15" s="203">
        <f>'45'!A8</f>
        <v>5</v>
      </c>
      <c r="F15" s="196">
        <f>'45'!A12</f>
        <v>5</v>
      </c>
      <c r="G15" s="204"/>
      <c r="H15" s="196">
        <f>'45'!A15</f>
        <v>5</v>
      </c>
      <c r="I15" s="205"/>
      <c r="J15" s="196">
        <f>'45'!A18</f>
        <v>5</v>
      </c>
      <c r="K15" s="205"/>
      <c r="L15" s="40"/>
      <c r="M15" s="182"/>
      <c r="N15" s="182" t="s">
        <v>38</v>
      </c>
      <c r="O15" s="182"/>
      <c r="P15" s="193">
        <f>'45'!A64</f>
        <v>1</v>
      </c>
      <c r="Q15" s="189">
        <f>'45'!B64</f>
        <v>0</v>
      </c>
      <c r="R15" s="190"/>
      <c r="S15" s="175"/>
      <c r="T15" s="199">
        <f>'45'!A65</f>
        <v>8</v>
      </c>
      <c r="U15" s="206">
        <f>'45'!B65</f>
        <v>0</v>
      </c>
      <c r="V15" s="175"/>
      <c r="W15" s="207">
        <f>'45'!A66</f>
        <v>6</v>
      </c>
      <c r="X15" s="206"/>
      <c r="Y15" s="179"/>
    </row>
    <row r="16" spans="2:25" x14ac:dyDescent="0.25">
      <c r="B16" s="168"/>
      <c r="C16" s="40"/>
      <c r="D16" s="40" t="s">
        <v>6</v>
      </c>
      <c r="E16" s="208">
        <f>'45'!A9</f>
        <v>10</v>
      </c>
      <c r="F16" s="209">
        <f>'45'!A13</f>
        <v>0</v>
      </c>
      <c r="G16" s="210"/>
      <c r="H16" s="209">
        <f>'45'!A16</f>
        <v>0</v>
      </c>
      <c r="I16" s="189"/>
      <c r="J16" s="209">
        <f>'45'!A19</f>
        <v>0</v>
      </c>
      <c r="K16" s="189"/>
      <c r="L16" s="40"/>
      <c r="M16" s="182"/>
      <c r="N16" s="182" t="s">
        <v>40</v>
      </c>
      <c r="O16" s="182"/>
      <c r="P16" s="187"/>
      <c r="Q16" s="182"/>
      <c r="R16" s="182"/>
      <c r="S16" s="175"/>
      <c r="T16" s="193">
        <f>'45'!A68</f>
        <v>9</v>
      </c>
      <c r="U16" s="211">
        <f>'45'!B68</f>
        <v>0</v>
      </c>
      <c r="V16" s="175"/>
      <c r="W16" s="212">
        <f>'45'!A69</f>
        <v>5</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'45'!A21</f>
        <v>300</v>
      </c>
      <c r="G19" s="206">
        <f>'45'!B21</f>
        <v>0</v>
      </c>
      <c r="H19" s="218">
        <f>'45'!A24</f>
        <v>450</v>
      </c>
      <c r="I19" s="200">
        <f>'45'!B24</f>
        <v>0</v>
      </c>
      <c r="J19" s="218">
        <f>'45'!A27</f>
        <v>690</v>
      </c>
      <c r="K19" s="200">
        <f>'45'!B27</f>
        <v>0</v>
      </c>
      <c r="L19" s="40"/>
      <c r="M19" s="182" t="s">
        <v>50</v>
      </c>
      <c r="N19" s="182"/>
      <c r="O19" s="187" t="s">
        <v>51</v>
      </c>
      <c r="P19" s="219">
        <f>'45'!A57</f>
        <v>4</v>
      </c>
      <c r="Q19" s="220"/>
      <c r="R19" s="182"/>
      <c r="S19" s="216" t="s">
        <v>74</v>
      </c>
      <c r="T19" s="221">
        <f>'45'!A58</f>
        <v>0</v>
      </c>
      <c r="U19" s="220"/>
      <c r="V19" s="217" t="s">
        <v>75</v>
      </c>
      <c r="W19" s="219">
        <f>'45'!A59</f>
        <v>0</v>
      </c>
      <c r="X19" s="222"/>
      <c r="Y19" s="179"/>
    </row>
    <row r="20" spans="2:25" x14ac:dyDescent="0.25">
      <c r="B20" s="168"/>
      <c r="C20" s="40"/>
      <c r="D20" s="40" t="s">
        <v>5</v>
      </c>
      <c r="E20" s="40"/>
      <c r="F20" s="199">
        <f>'45'!A22</f>
        <v>290</v>
      </c>
      <c r="G20" s="206">
        <f>'45'!B22</f>
        <v>0</v>
      </c>
      <c r="H20" s="196">
        <f>'45'!A25</f>
        <v>440</v>
      </c>
      <c r="I20" s="206">
        <f>'45'!B25</f>
        <v>0</v>
      </c>
      <c r="J20" s="196">
        <f>'45'!A28</f>
        <v>680</v>
      </c>
      <c r="K20" s="206">
        <f>'45'!B28</f>
        <v>0</v>
      </c>
      <c r="L20" s="40"/>
      <c r="M20" s="224" t="s">
        <v>52</v>
      </c>
      <c r="N20" s="223"/>
      <c r="O20" s="224"/>
      <c r="P20" s="199">
        <f>'45'!A75</f>
        <v>20</v>
      </c>
      <c r="Q20" s="225"/>
      <c r="R20" s="224"/>
      <c r="S20" s="182" t="s">
        <v>65</v>
      </c>
      <c r="T20" s="226"/>
      <c r="U20" s="227"/>
      <c r="V20" s="226"/>
      <c r="W20" s="199">
        <f>'45'!A76</f>
        <v>2</v>
      </c>
      <c r="X20" s="202"/>
      <c r="Y20" s="179"/>
    </row>
    <row r="21" spans="2:25" x14ac:dyDescent="0.25">
      <c r="B21" s="168"/>
      <c r="C21" s="40"/>
      <c r="D21" s="40" t="s">
        <v>6</v>
      </c>
      <c r="E21" s="40"/>
      <c r="F21" s="193">
        <f>'45'!A23</f>
        <v>0</v>
      </c>
      <c r="G21" s="211">
        <f>'45'!B23</f>
        <v>0</v>
      </c>
      <c r="H21" s="209">
        <f>'45'!A26</f>
        <v>0</v>
      </c>
      <c r="I21" s="211">
        <f>'45'!B26</f>
        <v>0</v>
      </c>
      <c r="J21" s="209">
        <f>'45'!A29</f>
        <v>0</v>
      </c>
      <c r="K21" s="211">
        <f>'45'!B29</f>
        <v>0</v>
      </c>
      <c r="L21" s="40"/>
      <c r="M21" s="182" t="s">
        <v>53</v>
      </c>
      <c r="N21" s="175"/>
      <c r="O21" s="182"/>
      <c r="P21" s="193">
        <f>'45'!A77</f>
        <v>5</v>
      </c>
      <c r="Q21" s="228"/>
      <c r="R21" s="196"/>
      <c r="S21" s="182" t="s">
        <v>66</v>
      </c>
      <c r="T21" s="182"/>
      <c r="U21" s="182"/>
      <c r="V21" s="182"/>
      <c r="W21" s="193">
        <f>'45'!A78</f>
        <v>15</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'45'!A31</f>
        <v>1250</v>
      </c>
      <c r="G24" s="200">
        <f>'45'!B31</f>
        <v>0</v>
      </c>
      <c r="H24" s="218">
        <f>'45'!A34</f>
        <v>700</v>
      </c>
      <c r="I24" s="200">
        <f>'45'!B34</f>
        <v>0</v>
      </c>
      <c r="J24" s="218">
        <f>'45'!A37</f>
        <v>450</v>
      </c>
      <c r="K24" s="200" t="str">
        <f>'45'!B37</f>
        <v>*</v>
      </c>
      <c r="L24" s="40"/>
      <c r="M24" s="182" t="s">
        <v>55</v>
      </c>
      <c r="N24" s="182"/>
      <c r="O24" s="182"/>
      <c r="P24" s="201">
        <f>'45'!A81</f>
        <v>0</v>
      </c>
      <c r="Q24" s="206">
        <f>'45'!B81</f>
        <v>0</v>
      </c>
      <c r="R24" s="196"/>
      <c r="S24" s="182" t="s">
        <v>67</v>
      </c>
      <c r="T24" s="182"/>
      <c r="U24" s="182"/>
      <c r="V24" s="182"/>
      <c r="W24" s="219">
        <f>'45'!A82</f>
        <v>1</v>
      </c>
      <c r="X24" s="222">
        <f>'45'!B82</f>
        <v>0</v>
      </c>
      <c r="Y24" s="179"/>
    </row>
    <row r="25" spans="2:25" x14ac:dyDescent="0.25">
      <c r="B25" s="168"/>
      <c r="C25" s="40" t="s">
        <v>37</v>
      </c>
      <c r="D25" s="40" t="s">
        <v>38</v>
      </c>
      <c r="E25" s="40"/>
      <c r="F25" s="199">
        <f>'45'!A32</f>
        <v>200</v>
      </c>
      <c r="G25" s="206">
        <f>'45'!B32</f>
        <v>0</v>
      </c>
      <c r="H25" s="196">
        <f>'45'!A35</f>
        <v>150</v>
      </c>
      <c r="I25" s="206">
        <f>'45'!B35</f>
        <v>0</v>
      </c>
      <c r="J25" s="196">
        <f>'45'!A38</f>
        <v>75</v>
      </c>
      <c r="K25" s="206" t="str">
        <f>'45'!B38</f>
        <v>*</v>
      </c>
      <c r="L25" s="40"/>
      <c r="M25" s="182" t="s">
        <v>56</v>
      </c>
      <c r="N25" s="182"/>
      <c r="O25" s="182"/>
      <c r="P25" s="230">
        <f>'45'!A83/100</f>
        <v>12</v>
      </c>
      <c r="Q25" s="206">
        <f>'45'!B83</f>
        <v>0</v>
      </c>
      <c r="R25" s="196"/>
      <c r="S25" s="175"/>
      <c r="T25" s="182"/>
      <c r="U25" s="182"/>
      <c r="V25" s="182"/>
      <c r="W25" s="196"/>
      <c r="X25" s="184"/>
      <c r="Y25" s="179"/>
    </row>
    <row r="26" spans="2:25" x14ac:dyDescent="0.25">
      <c r="B26" s="168"/>
      <c r="C26" s="40" t="s">
        <v>39</v>
      </c>
      <c r="D26" s="40" t="s">
        <v>40</v>
      </c>
      <c r="E26" s="40"/>
      <c r="F26" s="193">
        <f>'45'!A33</f>
        <v>0</v>
      </c>
      <c r="G26" s="211">
        <f>'45'!B33</f>
        <v>0</v>
      </c>
      <c r="H26" s="209">
        <f>'45'!A36</f>
        <v>0</v>
      </c>
      <c r="I26" s="211">
        <f>'45'!B36</f>
        <v>0</v>
      </c>
      <c r="J26" s="193">
        <f>'45'!A39</f>
        <v>0</v>
      </c>
      <c r="K26" s="211">
        <f>'45'!B39</f>
        <v>0</v>
      </c>
      <c r="L26" s="40"/>
      <c r="M26" s="182" t="s">
        <v>57</v>
      </c>
      <c r="N26" s="182"/>
      <c r="O26" s="182"/>
      <c r="P26" s="193">
        <f>'45'!A85</f>
        <v>65</v>
      </c>
      <c r="Q26" s="211">
        <f>'45'!B85</f>
        <v>0</v>
      </c>
      <c r="R26" s="231"/>
      <c r="S26" s="182" t="s">
        <v>68</v>
      </c>
      <c r="T26" s="175"/>
      <c r="U26" s="182"/>
      <c r="V26" s="182"/>
      <c r="W26" s="219">
        <f>'45'!A86</f>
        <v>0</v>
      </c>
      <c r="X26" s="232">
        <f>'45'!B86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'45'!A41</f>
        <v>0</v>
      </c>
      <c r="G29" s="198"/>
      <c r="H29" s="218">
        <f>'45'!A42</f>
        <v>0</v>
      </c>
      <c r="I29" s="198"/>
      <c r="J29" s="218">
        <f>'45'!A43</f>
        <v>0</v>
      </c>
      <c r="K29" s="237"/>
      <c r="L29" s="40"/>
      <c r="M29" s="182" t="s">
        <v>59</v>
      </c>
      <c r="N29" s="182"/>
      <c r="O29" s="182"/>
      <c r="P29" s="201">
        <f>'45'!A91</f>
        <v>0</v>
      </c>
      <c r="Q29" s="206">
        <f>'45'!B91</f>
        <v>0</v>
      </c>
      <c r="R29" s="196"/>
      <c r="S29" s="182" t="s">
        <v>69</v>
      </c>
      <c r="T29" s="182"/>
      <c r="U29" s="182"/>
      <c r="V29" s="182"/>
      <c r="W29" s="201">
        <f>'45'!A92</f>
        <v>0</v>
      </c>
      <c r="X29" s="200">
        <f>'45'!B92</f>
        <v>0</v>
      </c>
      <c r="Y29" s="179"/>
    </row>
    <row r="30" spans="2:25" x14ac:dyDescent="0.25">
      <c r="B30" s="168"/>
      <c r="C30" s="40" t="s">
        <v>43</v>
      </c>
      <c r="D30" s="40"/>
      <c r="E30" s="196"/>
      <c r="F30" s="199">
        <f>'45'!A44</f>
        <v>25</v>
      </c>
      <c r="G30" s="205"/>
      <c r="H30" s="196">
        <f>'45'!A45</f>
        <v>15</v>
      </c>
      <c r="I30" s="205"/>
      <c r="J30" s="196">
        <f>'45'!A46</f>
        <v>15</v>
      </c>
      <c r="K30" s="179"/>
      <c r="L30" s="40"/>
      <c r="M30" s="182" t="s">
        <v>60</v>
      </c>
      <c r="N30" s="182"/>
      <c r="O30" s="182"/>
      <c r="P30" s="199">
        <f>'45'!A93</f>
        <v>0</v>
      </c>
      <c r="Q30" s="206">
        <f>'45'!B93</f>
        <v>0</v>
      </c>
      <c r="R30" s="196"/>
      <c r="S30" s="175" t="s">
        <v>70</v>
      </c>
      <c r="T30" s="182"/>
      <c r="U30" s="182"/>
      <c r="V30" s="182"/>
      <c r="W30" s="199">
        <f>'45'!A94</f>
        <v>-250</v>
      </c>
      <c r="X30" s="206">
        <f>'45'!B94</f>
        <v>0</v>
      </c>
      <c r="Y30" s="179"/>
    </row>
    <row r="31" spans="2:25" x14ac:dyDescent="0.25">
      <c r="B31" s="168"/>
      <c r="C31" s="40" t="s">
        <v>44</v>
      </c>
      <c r="D31" s="175"/>
      <c r="E31" s="175"/>
      <c r="F31" s="199">
        <f>'45'!A47</f>
        <v>115</v>
      </c>
      <c r="G31" s="202"/>
      <c r="H31" s="199">
        <f>'45'!A48</f>
        <v>165</v>
      </c>
      <c r="I31" s="202"/>
      <c r="J31" s="199">
        <f>'45'!A49</f>
        <v>325</v>
      </c>
      <c r="K31" s="202"/>
      <c r="L31" s="40"/>
      <c r="M31" s="182" t="s">
        <v>61</v>
      </c>
      <c r="N31" s="182"/>
      <c r="O31" s="182"/>
      <c r="P31" s="199">
        <f>'45'!A73</f>
        <v>0</v>
      </c>
      <c r="Q31" s="206">
        <f>'45'!B73</f>
        <v>0</v>
      </c>
      <c r="R31" s="196"/>
      <c r="S31" s="182" t="s">
        <v>71</v>
      </c>
      <c r="T31" s="182"/>
      <c r="U31" s="182"/>
      <c r="V31" s="182"/>
      <c r="W31" s="199">
        <f>'45'!A74</f>
        <v>0</v>
      </c>
      <c r="X31" s="206">
        <f>'45'!B74</f>
        <v>0</v>
      </c>
      <c r="Y31" s="179"/>
    </row>
    <row r="32" spans="2:25" x14ac:dyDescent="0.25">
      <c r="B32" s="168"/>
      <c r="C32" s="269" t="s">
        <v>45</v>
      </c>
      <c r="D32" s="40"/>
      <c r="E32" s="196"/>
      <c r="F32" s="193">
        <f>'45'!A51</f>
        <v>0</v>
      </c>
      <c r="G32" s="211">
        <f>'45'!B51</f>
        <v>0</v>
      </c>
      <c r="H32" s="209">
        <f>'45'!A52</f>
        <v>0</v>
      </c>
      <c r="I32" s="211">
        <f>'45'!B52</f>
        <v>0</v>
      </c>
      <c r="J32" s="209">
        <f>'45'!A53</f>
        <v>0</v>
      </c>
      <c r="K32" s="211">
        <f>'45'!B53</f>
        <v>0</v>
      </c>
      <c r="L32" s="40"/>
      <c r="M32" s="44" t="s">
        <v>62</v>
      </c>
      <c r="N32" s="182"/>
      <c r="O32" s="182"/>
      <c r="P32" s="193">
        <f>'45'!A72</f>
        <v>0</v>
      </c>
      <c r="Q32" s="211">
        <f>'45'!B72</f>
        <v>0</v>
      </c>
      <c r="R32" s="196"/>
      <c r="S32" s="182" t="s">
        <v>72</v>
      </c>
      <c r="T32" s="182"/>
      <c r="U32" s="182"/>
      <c r="V32" s="182"/>
      <c r="W32" s="193">
        <f>'45'!A99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'45'!A54</f>
        <v>0</v>
      </c>
      <c r="G35" s="238">
        <f>'45'!B54</f>
        <v>0</v>
      </c>
      <c r="H35" s="188">
        <f>'45'!A55</f>
        <v>0</v>
      </c>
      <c r="I35" s="238">
        <f>'45'!B55</f>
        <v>0</v>
      </c>
      <c r="J35" s="188">
        <f>'45'!A56</f>
        <v>0</v>
      </c>
      <c r="K35" s="238">
        <f>'45'!B56</f>
        <v>0</v>
      </c>
      <c r="L35" s="40"/>
      <c r="M35" s="182" t="s">
        <v>64</v>
      </c>
      <c r="N35" s="182"/>
      <c r="O35" s="182"/>
      <c r="P35" s="219">
        <f>'45'!A97</f>
        <v>0</v>
      </c>
      <c r="Q35" s="239"/>
      <c r="R35" s="182"/>
      <c r="S35" s="182" t="s">
        <v>73</v>
      </c>
      <c r="T35" s="182"/>
      <c r="U35" s="182"/>
      <c r="V35" s="182"/>
      <c r="W35" s="219">
        <f>'45'!A98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7">
    <tabColor theme="8" tint="-0.249977111117893"/>
    <pageSetUpPr fitToPage="1"/>
  </sheetPr>
  <dimension ref="A1:AL65"/>
  <sheetViews>
    <sheetView showGridLines="0" workbookViewId="0">
      <selection activeCell="O26" sqref="O26"/>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'45'!A1</f>
        <v>1</v>
      </c>
      <c r="F1" s="512" t="s">
        <v>87</v>
      </c>
      <c r="H1" s="172">
        <f>'45'!A2</f>
        <v>1</v>
      </c>
      <c r="M1" s="513" t="s">
        <v>88</v>
      </c>
      <c r="T1" s="170" t="s">
        <v>81</v>
      </c>
      <c r="U1" s="172">
        <f>'45'!A4</f>
        <v>2017</v>
      </c>
      <c r="V1" s="164"/>
      <c r="W1" s="171" t="s">
        <v>80</v>
      </c>
      <c r="X1" s="172">
        <f>'45'!A5</f>
        <v>1</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'45'!A108</f>
        <v>1450</v>
      </c>
      <c r="V6" s="251"/>
      <c r="W6" s="196">
        <f>'45'!A109</f>
        <v>850</v>
      </c>
      <c r="X6" s="182"/>
      <c r="Y6" s="199">
        <f>'45'!A110</f>
        <v>464</v>
      </c>
      <c r="Z6" s="182"/>
      <c r="AA6" s="179"/>
      <c r="AC6" s="40"/>
      <c r="AD6" s="40"/>
      <c r="AE6" s="40"/>
      <c r="AF6" s="196"/>
      <c r="AG6" s="182"/>
      <c r="AH6" s="196"/>
      <c r="AI6" s="182"/>
      <c r="AJ6" s="196"/>
      <c r="AK6" s="182"/>
      <c r="AL6" s="40"/>
    </row>
    <row r="7" spans="2:38" x14ac:dyDescent="0.2">
      <c r="B7" s="244"/>
      <c r="C7" s="175" t="s">
        <v>91</v>
      </c>
      <c r="F7" s="40"/>
      <c r="G7" s="252">
        <f>'45'!A281</f>
        <v>1000</v>
      </c>
      <c r="H7" s="179"/>
      <c r="I7" s="40"/>
      <c r="J7" s="244"/>
      <c r="K7" s="40" t="s">
        <v>129</v>
      </c>
      <c r="L7" s="40"/>
      <c r="M7" s="40"/>
      <c r="N7" s="253">
        <f>'45'!A191</f>
        <v>16</v>
      </c>
      <c r="O7" s="253">
        <f>'45'!A192</f>
        <v>31</v>
      </c>
      <c r="P7" s="179"/>
      <c r="R7" s="244"/>
      <c r="S7" s="40" t="s">
        <v>161</v>
      </c>
      <c r="T7" s="40"/>
      <c r="U7" s="199">
        <f>'45'!A111</f>
        <v>1491</v>
      </c>
      <c r="V7" s="251"/>
      <c r="W7" s="196">
        <f>'45'!A112</f>
        <v>875</v>
      </c>
      <c r="X7" s="182"/>
      <c r="Y7" s="199">
        <f>'45'!A113</f>
        <v>541</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'45'!A193</f>
        <v>0</v>
      </c>
      <c r="O8" s="253">
        <f>'45'!A194</f>
        <v>1</v>
      </c>
      <c r="P8" s="179"/>
      <c r="R8" s="244"/>
      <c r="S8" s="40" t="s">
        <v>162</v>
      </c>
      <c r="T8" s="40"/>
      <c r="U8" s="199">
        <f>'45'!A114</f>
        <v>41</v>
      </c>
      <c r="V8" s="251"/>
      <c r="W8" s="196">
        <f>'45'!A115</f>
        <v>25</v>
      </c>
      <c r="X8" s="182"/>
      <c r="Y8" s="199">
        <f>'45'!A116</f>
        <v>16</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'45'!A82</f>
        <v>1</v>
      </c>
      <c r="O9" s="253"/>
      <c r="P9" s="179"/>
      <c r="R9" s="244"/>
      <c r="S9" s="40" t="s">
        <v>163</v>
      </c>
      <c r="T9" s="40"/>
      <c r="U9" s="199">
        <f>'45'!A117</f>
        <v>0</v>
      </c>
      <c r="V9" s="254">
        <f>'45'!B117</f>
        <v>0</v>
      </c>
      <c r="W9" s="196">
        <f>'45'!A118</f>
        <v>0</v>
      </c>
      <c r="X9" s="184">
        <f>'45'!B118</f>
        <v>0</v>
      </c>
      <c r="Y9" s="199">
        <f>'45'!A119</f>
        <v>61</v>
      </c>
      <c r="Z9" s="184" t="str">
        <f>'45'!B119</f>
        <v>!</v>
      </c>
      <c r="AA9" s="179"/>
      <c r="AC9" s="40"/>
      <c r="AD9" s="40"/>
      <c r="AE9" s="40"/>
      <c r="AF9" s="196"/>
      <c r="AG9" s="184"/>
      <c r="AH9" s="196"/>
      <c r="AI9" s="184"/>
      <c r="AJ9" s="196"/>
      <c r="AK9" s="184"/>
      <c r="AL9" s="40"/>
    </row>
    <row r="10" spans="2:38" x14ac:dyDescent="0.2">
      <c r="B10" s="244"/>
      <c r="C10" s="175" t="s">
        <v>94</v>
      </c>
      <c r="F10" s="40"/>
      <c r="G10" s="252">
        <f>'45'!A284</f>
        <v>500</v>
      </c>
      <c r="H10" s="179"/>
      <c r="I10" s="40"/>
      <c r="J10" s="244"/>
      <c r="K10" s="182" t="s">
        <v>132</v>
      </c>
      <c r="L10" s="40"/>
      <c r="M10" s="40"/>
      <c r="N10" s="253">
        <f>'45'!A195</f>
        <v>0</v>
      </c>
      <c r="O10" s="253">
        <f>'45'!A196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'45'!A285</f>
        <v>100</v>
      </c>
      <c r="H12" s="179"/>
      <c r="I12" s="40"/>
      <c r="J12" s="244"/>
      <c r="K12" s="40" t="s">
        <v>134</v>
      </c>
      <c r="L12" s="40"/>
      <c r="M12" s="40"/>
      <c r="N12" s="255">
        <f>'45'!A197</f>
        <v>17</v>
      </c>
      <c r="O12" s="255">
        <f>'45'!A198</f>
        <v>31</v>
      </c>
      <c r="P12" s="179"/>
      <c r="R12" s="244"/>
      <c r="S12" s="182" t="s">
        <v>165</v>
      </c>
      <c r="T12" s="40"/>
      <c r="U12" s="199">
        <f>'45'!A121</f>
        <v>1250</v>
      </c>
      <c r="V12" s="251"/>
      <c r="W12" s="199">
        <f>'45'!A124</f>
        <v>700</v>
      </c>
      <c r="X12" s="182"/>
      <c r="Y12" s="199">
        <f>'45'!A127</f>
        <v>397</v>
      </c>
      <c r="Z12" s="182"/>
      <c r="AA12" s="179"/>
      <c r="AC12" s="40"/>
      <c r="AD12" s="182"/>
      <c r="AE12" s="40"/>
      <c r="AF12" s="196"/>
      <c r="AG12" s="182"/>
      <c r="AH12" s="196"/>
      <c r="AI12" s="182"/>
      <c r="AJ12" s="196"/>
      <c r="AK12" s="182"/>
      <c r="AL12" s="40"/>
    </row>
    <row r="13" spans="2:38" ht="13.2" x14ac:dyDescent="0.3">
      <c r="B13" s="244"/>
      <c r="C13" s="175" t="s">
        <v>97</v>
      </c>
      <c r="F13" s="40"/>
      <c r="G13" s="252">
        <f>'45'!A286</f>
        <v>170</v>
      </c>
      <c r="H13" s="179"/>
      <c r="I13" s="40"/>
      <c r="J13" s="245"/>
      <c r="K13" s="214"/>
      <c r="L13" s="214"/>
      <c r="M13" s="214"/>
      <c r="N13" s="214"/>
      <c r="O13" s="214"/>
      <c r="P13" s="229"/>
      <c r="R13" s="244"/>
      <c r="S13" s="256" t="s">
        <v>166</v>
      </c>
      <c r="T13" s="40"/>
      <c r="U13" s="199">
        <f>'45'!A122</f>
        <v>200</v>
      </c>
      <c r="V13" s="251"/>
      <c r="W13" s="199">
        <f>'45'!A125</f>
        <v>150</v>
      </c>
      <c r="X13" s="182"/>
      <c r="Y13" s="199">
        <f>'45'!A128</f>
        <v>67</v>
      </c>
      <c r="Z13" s="182"/>
      <c r="AA13" s="179"/>
      <c r="AC13" s="40"/>
      <c r="AD13" s="256"/>
      <c r="AE13" s="40"/>
      <c r="AF13" s="196"/>
      <c r="AG13" s="182"/>
      <c r="AH13" s="196"/>
      <c r="AI13" s="182"/>
      <c r="AJ13" s="196"/>
      <c r="AK13" s="182"/>
      <c r="AL13" s="40"/>
    </row>
    <row r="14" spans="2:38" x14ac:dyDescent="0.2">
      <c r="B14" s="244"/>
      <c r="C14" s="175" t="s">
        <v>98</v>
      </c>
      <c r="F14" s="40"/>
      <c r="G14" s="257">
        <f>'45'!A287</f>
        <v>8</v>
      </c>
      <c r="H14" s="179"/>
      <c r="I14" s="40"/>
      <c r="J14" s="244"/>
      <c r="K14" s="40"/>
      <c r="L14" s="40"/>
      <c r="M14" s="40"/>
      <c r="N14" s="40"/>
      <c r="O14" s="213"/>
      <c r="P14" s="179"/>
      <c r="R14" s="244"/>
      <c r="S14" s="182" t="s">
        <v>167</v>
      </c>
      <c r="T14" s="40"/>
      <c r="U14" s="199">
        <f>'45'!A123</f>
        <v>0</v>
      </c>
      <c r="V14" s="251"/>
      <c r="W14" s="199">
        <f>'45'!A126</f>
        <v>0</v>
      </c>
      <c r="X14" s="182"/>
      <c r="Y14" s="199">
        <f>'45'!A129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97</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'45'!A305</f>
        <v>9216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'45'!A306</f>
        <v>2</v>
      </c>
      <c r="P17" s="254">
        <f>'45'!B307</f>
        <v>0</v>
      </c>
      <c r="R17" s="244"/>
      <c r="S17" s="40" t="s">
        <v>169</v>
      </c>
      <c r="T17" s="40"/>
      <c r="U17" s="199">
        <f>'45'!A131</f>
        <v>1112</v>
      </c>
      <c r="V17" s="251"/>
      <c r="W17" s="199">
        <f>'45'!A134</f>
        <v>686</v>
      </c>
      <c r="X17" s="182"/>
      <c r="Y17" s="199">
        <f>'45'!A137</f>
        <v>381</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'45'!A291</f>
        <v>0</v>
      </c>
      <c r="H18" s="179"/>
      <c r="I18" s="40"/>
      <c r="J18" s="244"/>
      <c r="K18" s="182" t="s">
        <v>107</v>
      </c>
      <c r="L18" s="40"/>
      <c r="M18" s="40"/>
      <c r="N18" s="40"/>
      <c r="O18" s="252">
        <f>'45'!A307</f>
        <v>8193</v>
      </c>
      <c r="P18" s="179"/>
      <c r="R18" s="244"/>
      <c r="S18" s="259" t="s">
        <v>170</v>
      </c>
      <c r="T18" s="40"/>
      <c r="U18" s="199">
        <f>'45'!A132</f>
        <v>172</v>
      </c>
      <c r="V18" s="251"/>
      <c r="W18" s="199">
        <f>'45'!A135</f>
        <v>123</v>
      </c>
      <c r="X18" s="182"/>
      <c r="Y18" s="199">
        <f>'45'!A138</f>
        <v>69</v>
      </c>
      <c r="Z18" s="182"/>
      <c r="AA18" s="179"/>
      <c r="AC18" s="40"/>
      <c r="AD18" s="259"/>
      <c r="AE18" s="40"/>
      <c r="AF18" s="196"/>
      <c r="AG18" s="182"/>
      <c r="AH18" s="196"/>
      <c r="AI18" s="182"/>
      <c r="AJ18" s="196"/>
      <c r="AK18" s="182"/>
      <c r="AL18" s="40"/>
    </row>
    <row r="19" spans="2:38" x14ac:dyDescent="0.2">
      <c r="B19" s="244"/>
      <c r="C19" s="40" t="s">
        <v>102</v>
      </c>
      <c r="D19" s="40"/>
      <c r="E19" s="40"/>
      <c r="F19" s="40"/>
      <c r="G19" s="196">
        <f>'45'!A292</f>
        <v>4</v>
      </c>
      <c r="H19" s="179"/>
      <c r="I19" s="40"/>
      <c r="J19" s="244"/>
      <c r="P19" s="179"/>
      <c r="R19" s="244"/>
      <c r="S19" s="40" t="s">
        <v>18</v>
      </c>
      <c r="T19" s="40"/>
      <c r="U19" s="199">
        <f>'45'!A133</f>
        <v>0</v>
      </c>
      <c r="V19" s="251"/>
      <c r="W19" s="199">
        <f>'45'!A136</f>
        <v>0</v>
      </c>
      <c r="X19" s="182"/>
      <c r="Y19" s="199">
        <f>'45'!A139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'45'!A293</f>
        <v>0</v>
      </c>
      <c r="H20" s="179"/>
      <c r="I20" s="40"/>
      <c r="J20" s="244"/>
      <c r="K20" s="40" t="s">
        <v>138</v>
      </c>
      <c r="L20" s="40"/>
      <c r="M20" s="40"/>
      <c r="N20" s="40"/>
      <c r="O20" s="196">
        <f>'45'!A308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'45'!A294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'45'!A141</f>
        <v>1115</v>
      </c>
      <c r="V22" s="251"/>
      <c r="W22" s="199">
        <f>'45'!A144</f>
        <v>686</v>
      </c>
      <c r="X22" s="182"/>
      <c r="Y22" s="199">
        <f>'45'!A147</f>
        <v>381</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'45'!A301</f>
        <v>4272</v>
      </c>
      <c r="H23" s="205"/>
      <c r="I23" s="40"/>
      <c r="R23" s="244"/>
      <c r="S23" s="259" t="s">
        <v>170</v>
      </c>
      <c r="T23" s="40"/>
      <c r="U23" s="199">
        <f>'45'!A142</f>
        <v>172</v>
      </c>
      <c r="V23" s="251"/>
      <c r="W23" s="199">
        <f>'45'!A145</f>
        <v>123</v>
      </c>
      <c r="X23" s="182"/>
      <c r="Y23" s="199">
        <f>'45'!A148</f>
        <v>67</v>
      </c>
      <c r="Z23" s="182"/>
      <c r="AA23" s="179"/>
      <c r="AC23" s="40"/>
      <c r="AD23" s="259"/>
      <c r="AE23" s="40"/>
      <c r="AF23" s="196"/>
      <c r="AG23" s="182"/>
      <c r="AH23" s="196"/>
      <c r="AI23" s="182"/>
      <c r="AJ23" s="196"/>
      <c r="AK23" s="182"/>
      <c r="AL23" s="40"/>
    </row>
    <row r="24" spans="2:38" x14ac:dyDescent="0.2">
      <c r="B24" s="244"/>
      <c r="C24" s="40" t="s">
        <v>106</v>
      </c>
      <c r="D24" s="40"/>
      <c r="E24" s="40"/>
      <c r="F24" s="40"/>
      <c r="G24" s="196">
        <f>'45'!A302</f>
        <v>51</v>
      </c>
      <c r="H24" s="260">
        <f>'45'!B302</f>
        <v>0</v>
      </c>
      <c r="I24" s="40"/>
      <c r="J24" s="243"/>
      <c r="K24" s="227"/>
      <c r="L24" s="227"/>
      <c r="M24" s="227"/>
      <c r="N24" s="188"/>
      <c r="O24" s="188"/>
      <c r="P24" s="237"/>
      <c r="R24" s="244"/>
      <c r="S24" s="40" t="s">
        <v>18</v>
      </c>
      <c r="T24" s="40"/>
      <c r="U24" s="199">
        <f>'45'!A143</f>
        <v>0</v>
      </c>
      <c r="V24" s="251"/>
      <c r="W24" s="199">
        <f>'45'!A146</f>
        <v>0</v>
      </c>
      <c r="X24" s="182"/>
      <c r="Y24" s="199">
        <f>'45'!A149</f>
        <v>0</v>
      </c>
      <c r="Z24" s="182"/>
      <c r="AA24" s="179"/>
      <c r="AC24" s="40"/>
      <c r="AD24" s="40"/>
      <c r="AE24" s="40"/>
      <c r="AF24" s="196"/>
      <c r="AG24" s="182"/>
      <c r="AH24" s="196"/>
      <c r="AI24" s="182"/>
      <c r="AJ24" s="196"/>
      <c r="AK24" s="182"/>
      <c r="AL24" s="40"/>
    </row>
    <row r="25" spans="2:38" ht="12" x14ac:dyDescent="0.25">
      <c r="B25" s="244"/>
      <c r="C25" s="182" t="s">
        <v>107</v>
      </c>
      <c r="G25" s="196">
        <f>'45'!A303</f>
        <v>3792</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G19*'45'!A75-G24</f>
        <v>29</v>
      </c>
      <c r="H26" s="179"/>
      <c r="I26" s="40"/>
      <c r="J26" s="244"/>
      <c r="K26" s="182" t="s">
        <v>142</v>
      </c>
      <c r="L26" s="40"/>
      <c r="M26" s="253">
        <f>'45'!A321</f>
        <v>3</v>
      </c>
      <c r="N26" s="253">
        <f>'45'!A322</f>
        <v>1</v>
      </c>
      <c r="O26" s="196">
        <f>IF('45'!A327&gt;0,1,0)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'45'!A304</f>
        <v>97</v>
      </c>
      <c r="H27" s="179"/>
      <c r="I27" s="40"/>
      <c r="J27" s="244"/>
      <c r="K27" s="182" t="s">
        <v>143</v>
      </c>
      <c r="L27" s="40"/>
      <c r="M27" s="253">
        <f>'45'!A323</f>
        <v>0</v>
      </c>
      <c r="N27" s="253">
        <f>'45'!A324</f>
        <v>0</v>
      </c>
      <c r="O27" s="196"/>
      <c r="P27" s="261"/>
      <c r="R27" s="244"/>
      <c r="S27" s="40" t="s">
        <v>169</v>
      </c>
      <c r="T27" s="40"/>
      <c r="U27" s="199">
        <f>'45'!A151</f>
        <v>0</v>
      </c>
      <c r="V27" s="251"/>
      <c r="W27" s="199">
        <f>'45'!A154</f>
        <v>0</v>
      </c>
      <c r="X27" s="182"/>
      <c r="Y27" s="199">
        <f>'45'!A157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-1</v>
      </c>
      <c r="P28" s="261"/>
      <c r="R28" s="244"/>
      <c r="S28" s="259" t="s">
        <v>170</v>
      </c>
      <c r="T28" s="40"/>
      <c r="U28" s="199">
        <f>'45'!A152</f>
        <v>0</v>
      </c>
      <c r="V28" s="251"/>
      <c r="W28" s="199">
        <f>'45'!A155</f>
        <v>0</v>
      </c>
      <c r="X28" s="182"/>
      <c r="Y28" s="199">
        <f>'45'!A158</f>
        <v>1</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1</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'45'!A311</f>
        <v>2482</v>
      </c>
      <c r="H30" s="179"/>
      <c r="I30" s="40"/>
      <c r="J30" s="244"/>
      <c r="K30" s="182" t="s">
        <v>146</v>
      </c>
      <c r="L30" s="40"/>
      <c r="M30" s="255">
        <f>'45'!A325</f>
        <v>3</v>
      </c>
      <c r="N30" s="255">
        <f>'45'!A326</f>
        <v>1</v>
      </c>
      <c r="O30" s="193">
        <f>IF('45'!A328&gt;0,1,0)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1000*'45'!A57+'45'!A312</f>
        <v>4000</v>
      </c>
      <c r="H31" s="179"/>
      <c r="I31" s="40"/>
      <c r="J31" s="245"/>
      <c r="K31" s="214"/>
      <c r="L31" s="214"/>
      <c r="M31" s="214"/>
      <c r="N31" s="214"/>
      <c r="O31" s="214"/>
      <c r="P31" s="229"/>
      <c r="R31" s="244"/>
      <c r="S31" s="40" t="s">
        <v>169</v>
      </c>
      <c r="T31" s="40"/>
      <c r="U31" s="199">
        <f>'45'!A161</f>
        <v>135</v>
      </c>
      <c r="V31" s="251"/>
      <c r="W31" s="199">
        <f>'45'!A164</f>
        <v>29</v>
      </c>
      <c r="X31" s="182"/>
      <c r="Y31" s="199">
        <f>'45'!A167</f>
        <v>59</v>
      </c>
      <c r="Z31" s="182"/>
      <c r="AA31" s="179"/>
      <c r="AC31" s="40"/>
      <c r="AD31" s="40"/>
      <c r="AE31" s="40"/>
      <c r="AF31" s="196"/>
      <c r="AG31" s="182"/>
      <c r="AH31" s="196"/>
      <c r="AI31" s="182"/>
      <c r="AJ31" s="196"/>
      <c r="AK31" s="182"/>
      <c r="AL31" s="40"/>
    </row>
    <row r="32" spans="2:38" ht="13.2" x14ac:dyDescent="0.3">
      <c r="B32" s="244"/>
      <c r="C32" s="40" t="s">
        <v>113</v>
      </c>
      <c r="D32" s="40"/>
      <c r="E32" s="40"/>
      <c r="F32" s="40"/>
      <c r="G32" s="196">
        <f>'45'!A313</f>
        <v>0</v>
      </c>
      <c r="H32" s="179"/>
      <c r="I32" s="40"/>
      <c r="M32" s="175" t="s">
        <v>0</v>
      </c>
      <c r="R32" s="244"/>
      <c r="S32" s="259" t="s">
        <v>170</v>
      </c>
      <c r="T32" s="40"/>
      <c r="U32" s="199">
        <f>'45'!A162</f>
        <v>28</v>
      </c>
      <c r="V32" s="251"/>
      <c r="W32" s="199">
        <f>'45'!A165</f>
        <v>27</v>
      </c>
      <c r="X32" s="182"/>
      <c r="Y32" s="199">
        <f>'45'!A168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'45'!A314</f>
        <v>0</v>
      </c>
      <c r="H33" s="263">
        <f>'45'!B313</f>
        <v>0</v>
      </c>
      <c r="I33" s="40"/>
      <c r="M33" s="40"/>
      <c r="R33" s="244"/>
      <c r="S33" s="40" t="s">
        <v>18</v>
      </c>
      <c r="T33" s="40"/>
      <c r="U33" s="199">
        <f>'45'!A163</f>
        <v>0</v>
      </c>
      <c r="V33" s="251"/>
      <c r="W33" s="199">
        <f>'45'!A166</f>
        <v>0</v>
      </c>
      <c r="X33" s="182"/>
      <c r="Y33" s="199">
        <f>'45'!A169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'45'!A315</f>
        <v>4864</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'45'!A316</f>
        <v>1618</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'45'!A295</f>
        <v>1381</v>
      </c>
      <c r="N36" s="199">
        <f>'45'!A297</f>
        <v>500</v>
      </c>
      <c r="O36" s="253">
        <f>'45'!A299</f>
        <v>0</v>
      </c>
      <c r="P36" s="179"/>
      <c r="R36" s="244"/>
      <c r="S36" s="247" t="s">
        <v>174</v>
      </c>
      <c r="T36" s="264"/>
      <c r="U36" s="196">
        <f>'45'!A171</f>
        <v>19</v>
      </c>
      <c r="V36" s="254">
        <f>'45'!B171</f>
        <v>0</v>
      </c>
      <c r="W36" s="196">
        <f>'45'!A172</f>
        <v>11</v>
      </c>
      <c r="X36" s="254">
        <f>'45'!B172</f>
        <v>0</v>
      </c>
      <c r="Y36" s="196">
        <f>'45'!A173</f>
        <v>6</v>
      </c>
      <c r="Z36" s="184">
        <f>'45'!B173</f>
        <v>0</v>
      </c>
      <c r="AA36" s="179"/>
      <c r="AC36" s="40"/>
      <c r="AD36" s="247"/>
      <c r="AE36" s="247"/>
      <c r="AF36" s="196"/>
      <c r="AG36" s="184"/>
      <c r="AH36" s="196"/>
      <c r="AI36" s="184"/>
      <c r="AJ36" s="196"/>
      <c r="AK36" s="184"/>
      <c r="AL36" s="40"/>
    </row>
    <row r="37" spans="2:38" x14ac:dyDescent="0.2">
      <c r="B37" s="244"/>
      <c r="C37" s="40" t="s">
        <v>118</v>
      </c>
      <c r="D37" s="40"/>
      <c r="E37" s="40"/>
      <c r="F37" s="40"/>
      <c r="G37" s="196">
        <f>1000*'45'!A58</f>
        <v>0</v>
      </c>
      <c r="H37" s="179"/>
      <c r="I37" s="40"/>
      <c r="J37" s="244"/>
      <c r="K37" s="40" t="s">
        <v>149</v>
      </c>
      <c r="L37" s="40"/>
      <c r="M37" s="255">
        <f>'45'!A296</f>
        <v>9</v>
      </c>
      <c r="N37" s="255">
        <f>'45'!A298</f>
        <v>2</v>
      </c>
      <c r="O37" s="255">
        <f>'45'!A300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'45'!A317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1000*'45'!A59</f>
        <v>0</v>
      </c>
      <c r="H39" s="179"/>
      <c r="I39" s="40"/>
      <c r="R39" s="244"/>
      <c r="S39" s="247" t="s">
        <v>175</v>
      </c>
      <c r="T39" s="247"/>
      <c r="U39" s="266" t="str">
        <f>'45'!A177</f>
        <v>Minor</v>
      </c>
      <c r="V39" s="251"/>
      <c r="W39" s="266" t="str">
        <f>'45'!A178</f>
        <v>Minor</v>
      </c>
      <c r="X39" s="182"/>
      <c r="Y39" s="266" t="str">
        <f>'45'!A179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'45'!A318</f>
        <v>5</v>
      </c>
      <c r="H42" s="179"/>
      <c r="I42" s="40"/>
      <c r="J42" s="244"/>
      <c r="K42" s="215" t="s">
        <v>150</v>
      </c>
      <c r="N42" s="177" t="s">
        <v>154</v>
      </c>
      <c r="P42" s="179"/>
      <c r="R42" s="244"/>
      <c r="S42" s="269" t="s">
        <v>177</v>
      </c>
      <c r="T42" s="40"/>
      <c r="U42" s="199">
        <f>'45'!A181</f>
        <v>0</v>
      </c>
      <c r="V42" s="251"/>
      <c r="W42" s="196">
        <f>'45'!A182</f>
        <v>0</v>
      </c>
      <c r="X42" s="182"/>
      <c r="Y42" s="199">
        <f>'45'!A183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'45'!A319</f>
        <v>4999</v>
      </c>
      <c r="H43" s="179"/>
      <c r="I43" s="40"/>
      <c r="J43" s="244"/>
      <c r="K43" s="175" t="s">
        <v>151</v>
      </c>
      <c r="N43" s="271">
        <f>0.00019*50*G10</f>
        <v>4.75</v>
      </c>
      <c r="P43" s="179"/>
      <c r="R43" s="244"/>
      <c r="S43" s="269" t="s">
        <v>178</v>
      </c>
      <c r="T43" s="40"/>
      <c r="U43" s="199">
        <f>'45'!A54</f>
        <v>0</v>
      </c>
      <c r="V43" s="251"/>
      <c r="W43" s="199">
        <f>'45'!A55</f>
        <v>0</v>
      </c>
      <c r="X43" s="182"/>
      <c r="Y43" s="199">
        <f>'45'!A56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100-'45'!A320/10</f>
        <v>9.9999999999994316E-2</v>
      </c>
      <c r="H44" s="179"/>
      <c r="I44" s="40"/>
      <c r="J44" s="244"/>
      <c r="K44" s="175" t="s">
        <v>152</v>
      </c>
      <c r="N44" s="272">
        <f>0.00052*(6*G25+O18)</f>
        <v>16.0914</v>
      </c>
      <c r="P44" s="179"/>
      <c r="R44" s="244"/>
      <c r="S44" s="269" t="s">
        <v>179</v>
      </c>
      <c r="T44" s="40"/>
      <c r="U44" s="199">
        <f>'45'!A184</f>
        <v>0</v>
      </c>
      <c r="V44" s="251"/>
      <c r="W44" s="196">
        <f>'45'!A185</f>
        <v>0</v>
      </c>
      <c r="X44" s="182"/>
      <c r="Y44" s="199">
        <f>'45'!A186</f>
        <v>0</v>
      </c>
      <c r="Z44" s="182"/>
      <c r="AA44" s="179"/>
      <c r="AC44" s="40"/>
      <c r="AD44" s="269"/>
      <c r="AE44" s="40"/>
      <c r="AF44" s="196"/>
      <c r="AG44" s="182"/>
      <c r="AH44" s="196"/>
      <c r="AI44" s="182"/>
      <c r="AJ44" s="196"/>
      <c r="AK44" s="182"/>
      <c r="AL44" s="40"/>
    </row>
    <row r="45" spans="2:38" x14ac:dyDescent="0.2">
      <c r="B45" s="244"/>
      <c r="C45" s="44" t="s">
        <v>125</v>
      </c>
      <c r="G45" s="175">
        <f>'45'!A329</f>
        <v>0</v>
      </c>
      <c r="H45" s="179"/>
      <c r="I45" s="40"/>
      <c r="J45" s="244"/>
      <c r="K45" s="175" t="s">
        <v>153</v>
      </c>
      <c r="N45" s="271">
        <f>N43+N44</f>
        <v>20.8414</v>
      </c>
      <c r="P45" s="179"/>
      <c r="R45" s="244"/>
      <c r="S45" s="269" t="s">
        <v>180</v>
      </c>
      <c r="T45" s="40"/>
      <c r="U45" s="199">
        <f>'45'!A187</f>
        <v>0</v>
      </c>
      <c r="V45" s="251"/>
      <c r="W45" s="196">
        <f>'45'!A188</f>
        <v>0</v>
      </c>
      <c r="X45" s="182"/>
      <c r="Y45" s="199">
        <f>'45'!A189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8">
    <tabColor theme="8" tint="-0.249977111117893"/>
  </sheetPr>
  <dimension ref="A1:Z59"/>
  <sheetViews>
    <sheetView showGridLines="0" workbookViewId="0">
      <selection activeCell="O28" sqref="O28"/>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'45'!A1</f>
        <v>1</v>
      </c>
      <c r="F1" s="512" t="s">
        <v>285</v>
      </c>
      <c r="G1" s="175"/>
      <c r="I1" s="172">
        <f>'45'!A2</f>
        <v>1</v>
      </c>
      <c r="J1" s="175"/>
      <c r="K1" s="175"/>
      <c r="L1" s="175"/>
      <c r="M1" s="513" t="s">
        <v>284</v>
      </c>
      <c r="N1" s="175"/>
      <c r="O1" s="175"/>
      <c r="P1" s="175"/>
      <c r="Q1" s="175"/>
      <c r="S1" s="175"/>
      <c r="U1" s="170" t="s">
        <v>81</v>
      </c>
      <c r="V1" s="172">
        <f>'45'!A4</f>
        <v>2017</v>
      </c>
      <c r="W1" s="171" t="s">
        <v>80</v>
      </c>
      <c r="X1" s="172">
        <f>'45'!A5</f>
        <v>1</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'45'!A201</f>
        <v>60000</v>
      </c>
      <c r="G8" s="283"/>
      <c r="H8" s="45"/>
      <c r="I8" s="45" t="s">
        <v>207</v>
      </c>
      <c r="J8" s="45"/>
      <c r="K8" s="45"/>
      <c r="L8" s="286">
        <f>'45'!A241</f>
        <v>1061210</v>
      </c>
      <c r="M8" s="283"/>
      <c r="N8" s="45"/>
      <c r="O8" s="268" t="s">
        <v>234</v>
      </c>
      <c r="P8" s="268"/>
      <c r="Q8" s="45"/>
      <c r="R8" s="45"/>
      <c r="S8" s="283"/>
      <c r="T8" s="45"/>
      <c r="U8" s="290" t="s">
        <v>260</v>
      </c>
      <c r="Y8" s="283"/>
    </row>
    <row r="9" spans="2:26" ht="12" x14ac:dyDescent="0.3">
      <c r="B9" s="281"/>
      <c r="C9" s="325" t="s">
        <v>184</v>
      </c>
      <c r="D9" s="45"/>
      <c r="E9" s="45"/>
      <c r="F9" s="286">
        <f>'45'!A202</f>
        <v>16500</v>
      </c>
      <c r="G9" s="283"/>
      <c r="H9" s="45"/>
      <c r="I9" s="45"/>
      <c r="J9" s="45"/>
      <c r="K9" s="45"/>
      <c r="L9" s="286"/>
      <c r="M9" s="283"/>
      <c r="N9" s="45"/>
      <c r="O9" s="242" t="s">
        <v>235</v>
      </c>
      <c r="Q9" s="289"/>
      <c r="R9" s="289">
        <f>'45'!A261</f>
        <v>50000</v>
      </c>
      <c r="S9" s="283"/>
      <c r="T9" s="45"/>
      <c r="U9" s="45" t="s">
        <v>261</v>
      </c>
      <c r="V9" s="45"/>
      <c r="W9" s="45"/>
      <c r="X9" s="286">
        <f>'45'!A221</f>
        <v>954617</v>
      </c>
      <c r="Y9" s="283"/>
    </row>
    <row r="10" spans="2:26" x14ac:dyDescent="0.2">
      <c r="B10" s="281"/>
      <c r="C10" s="45" t="s">
        <v>185</v>
      </c>
      <c r="D10" s="45"/>
      <c r="E10" s="45"/>
      <c r="F10" s="286">
        <f>'45'!A203</f>
        <v>7500</v>
      </c>
      <c r="G10" s="283"/>
      <c r="H10" s="45"/>
      <c r="I10" s="45" t="s">
        <v>208</v>
      </c>
      <c r="J10" s="45"/>
      <c r="K10" s="45"/>
      <c r="L10" s="286">
        <f>'45'!A242</f>
        <v>150328</v>
      </c>
      <c r="M10" s="283"/>
      <c r="N10" s="45"/>
      <c r="O10" s="45" t="s">
        <v>236</v>
      </c>
      <c r="P10" s="45"/>
      <c r="Q10" s="289"/>
      <c r="R10" s="289">
        <f>'45'!A262</f>
        <v>250000</v>
      </c>
      <c r="S10" s="283"/>
      <c r="T10" s="45"/>
      <c r="U10" s="45" t="s">
        <v>220</v>
      </c>
      <c r="V10" s="45"/>
      <c r="W10" s="45"/>
      <c r="X10" s="286">
        <f>'45'!A222</f>
        <v>20764</v>
      </c>
      <c r="Y10" s="283"/>
    </row>
    <row r="11" spans="2:26" x14ac:dyDescent="0.2">
      <c r="B11" s="281"/>
      <c r="C11" s="45" t="s">
        <v>186</v>
      </c>
      <c r="D11" s="45"/>
      <c r="E11" s="45"/>
      <c r="F11" s="286">
        <f>'45'!A204</f>
        <v>110335</v>
      </c>
      <c r="G11" s="283"/>
      <c r="H11" s="45"/>
      <c r="I11" s="287" t="s">
        <v>209</v>
      </c>
      <c r="L11" s="286">
        <f>'45'!A243</f>
        <v>0</v>
      </c>
      <c r="M11" s="283"/>
      <c r="N11" s="45"/>
      <c r="O11" s="45" t="s">
        <v>237</v>
      </c>
      <c r="P11" s="45"/>
      <c r="Q11" s="45"/>
      <c r="R11" s="292">
        <f>'45'!A263</f>
        <v>1098328</v>
      </c>
      <c r="S11" s="283"/>
      <c r="T11" s="45"/>
      <c r="U11" s="45" t="s">
        <v>262</v>
      </c>
      <c r="V11" s="45"/>
      <c r="W11" s="45"/>
      <c r="X11" s="286">
        <f>'45'!A223</f>
        <v>994186</v>
      </c>
      <c r="Y11" s="283"/>
    </row>
    <row r="12" spans="2:26" x14ac:dyDescent="0.2">
      <c r="B12" s="281"/>
      <c r="C12" s="45" t="s">
        <v>187</v>
      </c>
      <c r="D12" s="45"/>
      <c r="E12" s="45"/>
      <c r="F12" s="286">
        <f>'45'!A205</f>
        <v>10612</v>
      </c>
      <c r="G12" s="283"/>
      <c r="H12" s="45"/>
      <c r="I12" s="45" t="s">
        <v>210</v>
      </c>
      <c r="J12" s="45"/>
      <c r="K12" s="45"/>
      <c r="L12" s="286">
        <f>'45'!A244</f>
        <v>263424</v>
      </c>
      <c r="M12" s="283"/>
      <c r="N12" s="45"/>
      <c r="O12" s="45" t="s">
        <v>238</v>
      </c>
      <c r="P12" s="45"/>
      <c r="Q12" s="45"/>
      <c r="R12" s="286">
        <f>SUM(R9:R11)</f>
        <v>1398328</v>
      </c>
      <c r="S12" s="283"/>
      <c r="T12" s="45"/>
      <c r="U12" s="45" t="s">
        <v>263</v>
      </c>
      <c r="V12" s="45"/>
      <c r="W12" s="45"/>
      <c r="X12" s="288">
        <f>'45'!A224</f>
        <v>0</v>
      </c>
      <c r="Y12" s="283"/>
    </row>
    <row r="13" spans="2:26" x14ac:dyDescent="0.2">
      <c r="B13" s="281"/>
      <c r="C13" s="45" t="s">
        <v>188</v>
      </c>
      <c r="D13" s="45"/>
      <c r="E13" s="45"/>
      <c r="F13" s="286">
        <f>'45'!A206</f>
        <v>4290</v>
      </c>
      <c r="G13" s="283"/>
      <c r="H13" s="45"/>
      <c r="I13" s="45" t="s">
        <v>211</v>
      </c>
      <c r="J13" s="45"/>
      <c r="K13" s="45"/>
      <c r="L13" s="286">
        <f>'45'!A245</f>
        <v>72161</v>
      </c>
      <c r="M13" s="283"/>
      <c r="N13" s="45"/>
      <c r="S13" s="283"/>
      <c r="T13" s="45"/>
      <c r="U13" s="287" t="s">
        <v>264</v>
      </c>
      <c r="X13" s="289">
        <f>X9+X10-X11-X12</f>
        <v>-18805</v>
      </c>
      <c r="Y13" s="283"/>
    </row>
    <row r="14" spans="2:26" x14ac:dyDescent="0.2">
      <c r="B14" s="281"/>
      <c r="C14" s="45" t="s">
        <v>189</v>
      </c>
      <c r="D14" s="45"/>
      <c r="E14" s="45"/>
      <c r="F14" s="286">
        <f>'45'!A207</f>
        <v>55000</v>
      </c>
      <c r="G14" s="283"/>
      <c r="H14" s="45"/>
      <c r="I14" s="45" t="s">
        <v>212</v>
      </c>
      <c r="J14" s="45"/>
      <c r="K14" s="45"/>
      <c r="L14" s="286">
        <f>'45'!A246</f>
        <v>173004</v>
      </c>
      <c r="M14" s="283"/>
      <c r="N14" s="45"/>
      <c r="O14" s="290" t="s">
        <v>239</v>
      </c>
      <c r="S14" s="283"/>
      <c r="T14" s="45"/>
      <c r="Y14" s="283"/>
    </row>
    <row r="15" spans="2:26" ht="12" x14ac:dyDescent="0.3">
      <c r="B15" s="281"/>
      <c r="C15" s="325" t="s">
        <v>190</v>
      </c>
      <c r="D15" s="45"/>
      <c r="E15" s="45"/>
      <c r="F15" s="286">
        <f>'45'!A208</f>
        <v>15000</v>
      </c>
      <c r="G15" s="283"/>
      <c r="H15" s="45"/>
      <c r="I15" s="45" t="s">
        <v>213</v>
      </c>
      <c r="J15" s="45"/>
      <c r="K15" s="45"/>
      <c r="L15" s="286">
        <f>'45'!A247</f>
        <v>107928</v>
      </c>
      <c r="M15" s="283"/>
      <c r="N15" s="45"/>
      <c r="O15" s="45" t="s">
        <v>240</v>
      </c>
      <c r="P15" s="45"/>
      <c r="Q15" s="45"/>
      <c r="R15" s="286">
        <f>'45'!A265</f>
        <v>56056</v>
      </c>
      <c r="S15" s="283"/>
      <c r="T15" s="45"/>
      <c r="U15" s="290" t="s">
        <v>265</v>
      </c>
      <c r="Y15" s="283"/>
    </row>
    <row r="16" spans="2:26" x14ac:dyDescent="0.2">
      <c r="B16" s="281"/>
      <c r="C16" s="45" t="s">
        <v>191</v>
      </c>
      <c r="D16" s="45"/>
      <c r="E16" s="45"/>
      <c r="F16" s="286">
        <f>'45'!A209</f>
        <v>9500</v>
      </c>
      <c r="G16" s="283"/>
      <c r="H16" s="45"/>
      <c r="I16" s="45" t="s">
        <v>214</v>
      </c>
      <c r="J16" s="45"/>
      <c r="K16" s="45"/>
      <c r="L16" s="286">
        <f>'45'!A248</f>
        <v>2907</v>
      </c>
      <c r="M16" s="283"/>
      <c r="N16" s="45"/>
      <c r="O16" s="287" t="s">
        <v>241</v>
      </c>
      <c r="R16" s="286">
        <f>'45'!A266</f>
        <v>0</v>
      </c>
      <c r="S16" s="283"/>
      <c r="T16" s="45"/>
      <c r="U16" s="45" t="s">
        <v>266</v>
      </c>
      <c r="V16" s="45"/>
      <c r="W16" s="45"/>
      <c r="X16" s="286">
        <f>'45'!A225</f>
        <v>1725</v>
      </c>
      <c r="Y16" s="283"/>
    </row>
    <row r="17" spans="2:25" x14ac:dyDescent="0.2">
      <c r="B17" s="281"/>
      <c r="C17" s="45" t="s">
        <v>192</v>
      </c>
      <c r="D17" s="45"/>
      <c r="E17" s="45"/>
      <c r="F17" s="286">
        <f>'45'!A210</f>
        <v>6800</v>
      </c>
      <c r="G17" s="283"/>
      <c r="H17" s="45"/>
      <c r="I17" s="45" t="s">
        <v>215</v>
      </c>
      <c r="L17" s="286">
        <f>'45'!A249</f>
        <v>42000</v>
      </c>
      <c r="M17" s="283"/>
      <c r="N17" s="45"/>
      <c r="O17" s="45" t="s">
        <v>242</v>
      </c>
      <c r="P17" s="45"/>
      <c r="Q17" s="45"/>
      <c r="R17" s="286">
        <f>'45'!A267</f>
        <v>87349</v>
      </c>
      <c r="S17" s="283"/>
      <c r="T17" s="45"/>
      <c r="U17" s="45" t="s">
        <v>267</v>
      </c>
      <c r="X17" s="286">
        <f>'45'!A226</f>
        <v>0</v>
      </c>
      <c r="Y17" s="283"/>
    </row>
    <row r="18" spans="2:25" x14ac:dyDescent="0.2">
      <c r="B18" s="281"/>
      <c r="C18" s="45" t="s">
        <v>193</v>
      </c>
      <c r="D18" s="45"/>
      <c r="E18" s="45"/>
      <c r="F18" s="286">
        <f>'45'!A211</f>
        <v>8078</v>
      </c>
      <c r="G18" s="283"/>
      <c r="H18" s="45"/>
      <c r="I18" s="43" t="s">
        <v>216</v>
      </c>
      <c r="J18" s="45"/>
      <c r="K18" s="45"/>
      <c r="L18" s="288">
        <f>'45'!A250</f>
        <v>143405</v>
      </c>
      <c r="M18" s="283"/>
      <c r="N18" s="45"/>
      <c r="O18" s="45" t="s">
        <v>243</v>
      </c>
      <c r="P18" s="45"/>
      <c r="Q18" s="45"/>
      <c r="R18" s="286">
        <f>'45'!A268</f>
        <v>784178</v>
      </c>
      <c r="S18" s="283"/>
      <c r="T18" s="45"/>
      <c r="U18" s="45" t="s">
        <v>268</v>
      </c>
      <c r="V18" s="45"/>
      <c r="W18" s="45"/>
      <c r="X18" s="288">
        <f>'45'!A227</f>
        <v>0</v>
      </c>
      <c r="Y18" s="283"/>
    </row>
    <row r="19" spans="2:25" x14ac:dyDescent="0.2">
      <c r="B19" s="281"/>
      <c r="C19" s="45" t="s">
        <v>194</v>
      </c>
      <c r="D19" s="45"/>
      <c r="E19" s="45"/>
      <c r="F19" s="286">
        <f>'45'!A212</f>
        <v>7500</v>
      </c>
      <c r="G19" s="283"/>
      <c r="H19" s="45"/>
      <c r="I19" s="45" t="s">
        <v>217</v>
      </c>
      <c r="J19" s="45"/>
      <c r="K19" s="45"/>
      <c r="L19" s="291">
        <f>'45'!A251</f>
        <v>668347</v>
      </c>
      <c r="M19" s="283"/>
      <c r="N19" s="45"/>
      <c r="O19" s="45" t="s">
        <v>244</v>
      </c>
      <c r="P19" s="45"/>
      <c r="Q19" s="45"/>
      <c r="R19" s="288">
        <f>'45'!A269</f>
        <v>1634465</v>
      </c>
      <c r="S19" s="283"/>
      <c r="T19" s="45"/>
      <c r="U19" s="287" t="s">
        <v>269</v>
      </c>
      <c r="X19" s="289">
        <f>X16+X17-X18</f>
        <v>1725</v>
      </c>
      <c r="Y19" s="283"/>
    </row>
    <row r="20" spans="2:25" x14ac:dyDescent="0.2">
      <c r="B20" s="281"/>
      <c r="C20" s="45" t="s">
        <v>195</v>
      </c>
      <c r="D20" s="45"/>
      <c r="E20" s="45"/>
      <c r="F20" s="286">
        <f>'45'!A213</f>
        <v>2544</v>
      </c>
      <c r="G20" s="283"/>
      <c r="H20" s="45"/>
      <c r="I20" s="45" t="s">
        <v>218</v>
      </c>
      <c r="J20" s="45"/>
      <c r="K20" s="45"/>
      <c r="L20" s="286">
        <f>'45'!A252</f>
        <v>392863</v>
      </c>
      <c r="M20" s="283"/>
      <c r="N20" s="45"/>
      <c r="O20" s="287" t="s">
        <v>245</v>
      </c>
      <c r="R20" s="515">
        <f>SUM(R15:R19)</f>
        <v>2562048</v>
      </c>
      <c r="S20" s="283"/>
      <c r="T20" s="45"/>
      <c r="Y20" s="283"/>
    </row>
    <row r="21" spans="2:25" x14ac:dyDescent="0.2">
      <c r="B21" s="281"/>
      <c r="C21" s="45" t="s">
        <v>196</v>
      </c>
      <c r="D21" s="45"/>
      <c r="E21" s="45"/>
      <c r="F21" s="286">
        <f>'45'!A214</f>
        <v>9460</v>
      </c>
      <c r="G21" s="283"/>
      <c r="H21" s="45"/>
      <c r="I21" s="45" t="s">
        <v>219</v>
      </c>
      <c r="J21" s="45"/>
      <c r="K21" s="45"/>
      <c r="L21" s="286">
        <f>'45'!A217</f>
        <v>398952</v>
      </c>
      <c r="M21" s="283"/>
      <c r="N21" s="45"/>
      <c r="O21" s="45" t="s">
        <v>246</v>
      </c>
      <c r="P21" s="45"/>
      <c r="Q21" s="45"/>
      <c r="R21" s="286">
        <f>R12+R20</f>
        <v>3960376</v>
      </c>
      <c r="S21" s="283"/>
      <c r="T21" s="45"/>
      <c r="U21" s="290" t="s">
        <v>270</v>
      </c>
      <c r="Y21" s="283"/>
    </row>
    <row r="22" spans="2:25" x14ac:dyDescent="0.2">
      <c r="B22" s="281"/>
      <c r="C22" s="45" t="s">
        <v>197</v>
      </c>
      <c r="D22" s="45"/>
      <c r="E22" s="45"/>
      <c r="F22" s="286">
        <f>'45'!A215</f>
        <v>65000</v>
      </c>
      <c r="G22" s="283"/>
      <c r="H22" s="45"/>
      <c r="I22" s="45" t="s">
        <v>220</v>
      </c>
      <c r="J22" s="45"/>
      <c r="K22" s="45"/>
      <c r="L22" s="286">
        <f>'45'!A222</f>
        <v>20764</v>
      </c>
      <c r="M22" s="283"/>
      <c r="N22" s="45"/>
      <c r="S22" s="283"/>
      <c r="T22" s="45"/>
      <c r="U22" s="242" t="s">
        <v>271</v>
      </c>
      <c r="X22" s="286">
        <f>'45'!A228</f>
        <v>0</v>
      </c>
      <c r="Y22" s="283"/>
    </row>
    <row r="23" spans="2:25" x14ac:dyDescent="0.2">
      <c r="B23" s="281"/>
      <c r="C23" s="45" t="s">
        <v>198</v>
      </c>
      <c r="D23" s="45"/>
      <c r="E23" s="45"/>
      <c r="F23" s="288">
        <f>'45'!A216</f>
        <v>10833</v>
      </c>
      <c r="G23" s="283"/>
      <c r="H23" s="45"/>
      <c r="I23" s="45" t="s">
        <v>221</v>
      </c>
      <c r="J23" s="45"/>
      <c r="K23" s="45"/>
      <c r="L23" s="292">
        <f>'45'!A254</f>
        <v>28164</v>
      </c>
      <c r="M23" s="283"/>
      <c r="N23" s="45"/>
      <c r="O23" s="268" t="s">
        <v>247</v>
      </c>
      <c r="P23" s="45"/>
      <c r="Q23" s="45"/>
      <c r="R23" s="286"/>
      <c r="S23" s="283"/>
      <c r="T23" s="45"/>
      <c r="U23" s="242" t="s">
        <v>272</v>
      </c>
      <c r="V23" s="45"/>
      <c r="W23" s="45"/>
      <c r="X23" s="286">
        <f>'45'!A229</f>
        <v>0</v>
      </c>
      <c r="Y23" s="283"/>
    </row>
    <row r="24" spans="2:25" x14ac:dyDescent="0.2">
      <c r="B24" s="281"/>
      <c r="C24" s="45" t="s">
        <v>199</v>
      </c>
      <c r="D24" s="268"/>
      <c r="E24" s="45"/>
      <c r="F24" s="288">
        <f>'45'!A217</f>
        <v>398952</v>
      </c>
      <c r="G24" s="283"/>
      <c r="H24" s="45"/>
      <c r="I24" s="287" t="s">
        <v>222</v>
      </c>
      <c r="L24" s="286">
        <f>L20-L21+L22-L23</f>
        <v>-13489</v>
      </c>
      <c r="M24" s="283"/>
      <c r="N24" s="45"/>
      <c r="O24" s="45" t="s">
        <v>248</v>
      </c>
      <c r="P24" s="45"/>
      <c r="Q24" s="45"/>
      <c r="R24" s="286">
        <f>'45'!A271</f>
        <v>0</v>
      </c>
      <c r="S24" s="283"/>
      <c r="T24" s="45"/>
      <c r="U24" s="45" t="s">
        <v>273</v>
      </c>
      <c r="V24" s="45"/>
      <c r="W24" s="45"/>
      <c r="X24" s="286">
        <f>'45'!A230</f>
        <v>0</v>
      </c>
      <c r="Y24" s="283"/>
    </row>
    <row r="25" spans="2:25" ht="12" x14ac:dyDescent="0.3">
      <c r="B25" s="281"/>
      <c r="C25" s="45"/>
      <c r="F25" s="293"/>
      <c r="G25" s="283"/>
      <c r="H25" s="45"/>
      <c r="I25" s="45" t="s">
        <v>223</v>
      </c>
      <c r="J25" s="45"/>
      <c r="K25" s="45"/>
      <c r="L25" s="286">
        <f>'45'!A225</f>
        <v>1725</v>
      </c>
      <c r="M25" s="283"/>
      <c r="N25" s="45"/>
      <c r="O25" s="325" t="s">
        <v>249</v>
      </c>
      <c r="P25" s="45"/>
      <c r="Q25" s="45"/>
      <c r="R25" s="286">
        <f>'45'!A272</f>
        <v>267880</v>
      </c>
      <c r="S25" s="283"/>
      <c r="T25" s="45"/>
      <c r="U25" s="45" t="s">
        <v>274</v>
      </c>
      <c r="V25" s="45"/>
      <c r="W25" s="45"/>
      <c r="X25" s="286">
        <f>'45'!A231</f>
        <v>0</v>
      </c>
      <c r="Y25" s="283"/>
    </row>
    <row r="26" spans="2:25" x14ac:dyDescent="0.2">
      <c r="B26" s="281"/>
      <c r="C26" s="326" t="s">
        <v>200</v>
      </c>
      <c r="D26" s="45"/>
      <c r="E26" s="45"/>
      <c r="F26" s="286"/>
      <c r="G26" s="283"/>
      <c r="H26" s="45"/>
      <c r="I26" s="45" t="s">
        <v>224</v>
      </c>
      <c r="J26" s="45"/>
      <c r="K26" s="45"/>
      <c r="L26" s="288">
        <f>'45'!A232</f>
        <v>0</v>
      </c>
      <c r="M26" s="283"/>
      <c r="N26" s="45"/>
      <c r="O26" s="45" t="s">
        <v>250</v>
      </c>
      <c r="P26" s="45"/>
      <c r="Q26" s="45"/>
      <c r="R26" s="288">
        <f>'45'!A273</f>
        <v>0</v>
      </c>
      <c r="S26" s="283"/>
      <c r="T26" s="45"/>
      <c r="U26" s="45" t="s">
        <v>275</v>
      </c>
      <c r="V26" s="45"/>
      <c r="W26" s="45"/>
      <c r="X26" s="288">
        <f>'45'!A232</f>
        <v>0</v>
      </c>
      <c r="Y26" s="283"/>
    </row>
    <row r="27" spans="2:25" x14ac:dyDescent="0.2">
      <c r="B27" s="281"/>
      <c r="C27" s="287" t="s">
        <v>201</v>
      </c>
      <c r="D27" s="45"/>
      <c r="E27" s="45"/>
      <c r="F27" s="289">
        <f>L27</f>
        <v>-11764</v>
      </c>
      <c r="G27" s="283"/>
      <c r="H27" s="45"/>
      <c r="I27" s="287" t="s">
        <v>225</v>
      </c>
      <c r="J27" s="45"/>
      <c r="K27" s="45"/>
      <c r="L27" s="289">
        <f>L24+L25-L26</f>
        <v>-11764</v>
      </c>
      <c r="M27" s="283"/>
      <c r="N27" s="45"/>
      <c r="O27" s="43" t="s">
        <v>251</v>
      </c>
      <c r="P27" s="45"/>
      <c r="Q27" s="45"/>
      <c r="R27" s="286">
        <f>SUM(R24:R26)</f>
        <v>267880</v>
      </c>
      <c r="S27" s="283"/>
      <c r="T27" s="45"/>
      <c r="U27" s="287" t="s">
        <v>276</v>
      </c>
      <c r="X27" s="289">
        <f>X22-X23-X24+X25-X26</f>
        <v>0</v>
      </c>
      <c r="Y27" s="283"/>
    </row>
    <row r="28" spans="2:25" x14ac:dyDescent="0.2">
      <c r="B28" s="281"/>
      <c r="C28" s="287" t="s">
        <v>202</v>
      </c>
      <c r="D28" s="45"/>
      <c r="E28" s="45"/>
      <c r="F28" s="288">
        <f>'45'!A240</f>
        <v>-295740</v>
      </c>
      <c r="G28" s="283"/>
      <c r="H28" s="45"/>
      <c r="I28" s="45" t="s">
        <v>226</v>
      </c>
      <c r="J28" s="45"/>
      <c r="K28" s="45"/>
      <c r="L28" s="288">
        <f>'45'!A255</f>
        <v>0</v>
      </c>
      <c r="M28" s="283"/>
      <c r="N28" s="45"/>
      <c r="O28" s="45" t="s">
        <v>252</v>
      </c>
      <c r="P28" s="45"/>
      <c r="Q28" s="45"/>
      <c r="R28" s="286">
        <f>'45'!A274</f>
        <v>0</v>
      </c>
      <c r="S28" s="283"/>
      <c r="X28" s="294"/>
      <c r="Y28" s="283"/>
    </row>
    <row r="29" spans="2:25" x14ac:dyDescent="0.2">
      <c r="B29" s="281"/>
      <c r="C29" s="287" t="s">
        <v>203</v>
      </c>
      <c r="F29" s="289">
        <f>'45'!A257</f>
        <v>-307504</v>
      </c>
      <c r="G29" s="283"/>
      <c r="H29" s="45"/>
      <c r="I29" s="45" t="s">
        <v>227</v>
      </c>
      <c r="J29" s="45"/>
      <c r="K29" s="45"/>
      <c r="L29" s="286">
        <f>'45'!A256</f>
        <v>-11764</v>
      </c>
      <c r="M29" s="283"/>
      <c r="N29" s="45"/>
      <c r="S29" s="283"/>
      <c r="U29" s="45" t="s">
        <v>277</v>
      </c>
      <c r="V29" s="45"/>
      <c r="W29" s="45"/>
      <c r="X29" s="289">
        <f>'45'!A233</f>
        <v>-17080</v>
      </c>
      <c r="Y29" s="283"/>
    </row>
    <row r="30" spans="2:25" x14ac:dyDescent="0.2">
      <c r="B30" s="281"/>
      <c r="C30" s="45"/>
      <c r="G30" s="283"/>
      <c r="H30" s="45"/>
      <c r="I30" s="287" t="s">
        <v>228</v>
      </c>
      <c r="L30" s="295">
        <f>IF(R33&gt;0,100*L29/R33,0)</f>
        <v>-0.29409999999999997</v>
      </c>
      <c r="M30" s="283"/>
      <c r="N30" s="45"/>
      <c r="O30" s="45" t="s">
        <v>253</v>
      </c>
      <c r="P30" s="45"/>
      <c r="Q30" s="45"/>
      <c r="R30" s="286">
        <f>R21-R27-R28</f>
        <v>3692496</v>
      </c>
      <c r="S30" s="283"/>
      <c r="U30" s="287" t="s">
        <v>278</v>
      </c>
      <c r="V30" s="45"/>
      <c r="W30" s="45"/>
      <c r="X30" s="292">
        <f>'45'!A234</f>
        <v>1651545</v>
      </c>
      <c r="Y30" s="283"/>
    </row>
    <row r="31" spans="2:25" x14ac:dyDescent="0.2">
      <c r="B31" s="281"/>
      <c r="C31" s="45"/>
      <c r="G31" s="283"/>
      <c r="H31" s="45"/>
      <c r="M31" s="283"/>
      <c r="N31" s="45"/>
      <c r="S31" s="283"/>
      <c r="U31" s="287" t="s">
        <v>279</v>
      </c>
      <c r="X31" s="45">
        <f>R19-R26</f>
        <v>1634465</v>
      </c>
      <c r="Y31" s="283"/>
    </row>
    <row r="32" spans="2:25" x14ac:dyDescent="0.2">
      <c r="B32" s="281"/>
      <c r="G32" s="283"/>
      <c r="H32" s="45"/>
      <c r="I32" s="43" t="s">
        <v>229</v>
      </c>
      <c r="J32" s="45"/>
      <c r="K32" s="45"/>
      <c r="L32" s="288">
        <f>'45'!A230</f>
        <v>0</v>
      </c>
      <c r="M32" s="283"/>
      <c r="N32" s="45"/>
      <c r="O32" s="290" t="s">
        <v>254</v>
      </c>
      <c r="S32" s="283"/>
      <c r="U32" s="242" t="s">
        <v>280</v>
      </c>
      <c r="X32" s="289">
        <f>'45'!A270</f>
        <v>1150000</v>
      </c>
      <c r="Y32" s="296" t="s">
        <v>9</v>
      </c>
    </row>
    <row r="33" spans="1:25" x14ac:dyDescent="0.2">
      <c r="B33" s="281"/>
      <c r="C33" s="45" t="s">
        <v>204</v>
      </c>
      <c r="D33" s="45"/>
      <c r="E33" s="45"/>
      <c r="F33" s="286">
        <f>'45'!A219</f>
        <v>22340</v>
      </c>
      <c r="G33" s="283"/>
      <c r="H33" s="45"/>
      <c r="I33" s="45" t="s">
        <v>230</v>
      </c>
      <c r="J33" s="45"/>
      <c r="K33" s="45"/>
      <c r="L33" s="286">
        <f>L29-L32</f>
        <v>-11764</v>
      </c>
      <c r="M33" s="283"/>
      <c r="O33" s="43" t="s">
        <v>255</v>
      </c>
      <c r="P33" s="45"/>
      <c r="Q33" s="45"/>
      <c r="R33" s="286">
        <f>'45'!A275</f>
        <v>4000000</v>
      </c>
      <c r="S33" s="283"/>
      <c r="Y33" s="283"/>
    </row>
    <row r="34" spans="1:25" x14ac:dyDescent="0.2">
      <c r="B34" s="281"/>
      <c r="C34" s="45" t="s">
        <v>205</v>
      </c>
      <c r="D34" s="45"/>
      <c r="E34" s="45"/>
      <c r="F34" s="286">
        <f>'45'!A220</f>
        <v>1576</v>
      </c>
      <c r="G34" s="283"/>
      <c r="H34" s="45"/>
      <c r="I34" s="242" t="s">
        <v>231</v>
      </c>
      <c r="J34" s="45"/>
      <c r="K34" s="45"/>
      <c r="L34" s="288">
        <f>'45'!A260</f>
        <v>-295740</v>
      </c>
      <c r="M34" s="283"/>
      <c r="O34" s="242" t="s">
        <v>256</v>
      </c>
      <c r="R34" s="286">
        <f>'45'!A276</f>
        <v>0</v>
      </c>
      <c r="S34" s="283"/>
      <c r="U34" s="45" t="s">
        <v>281</v>
      </c>
      <c r="V34" s="45"/>
      <c r="W34" s="45"/>
      <c r="X34" s="289">
        <f>'45'!A238</f>
        <v>660000</v>
      </c>
      <c r="Y34" s="283"/>
    </row>
    <row r="35" spans="1:25" x14ac:dyDescent="0.2">
      <c r="B35" s="281"/>
      <c r="C35" s="45"/>
      <c r="G35" s="283"/>
      <c r="I35" s="242" t="s">
        <v>232</v>
      </c>
      <c r="L35" s="289">
        <f>L33+L34</f>
        <v>-307504</v>
      </c>
      <c r="M35" s="283"/>
      <c r="O35" s="45" t="s">
        <v>257</v>
      </c>
      <c r="P35" s="45"/>
      <c r="Q35" s="45"/>
      <c r="R35" s="288">
        <f>R36-R33-R34</f>
        <v>-307504</v>
      </c>
      <c r="S35" s="283"/>
      <c r="U35" s="45" t="s">
        <v>282</v>
      </c>
      <c r="V35" s="45"/>
      <c r="W35" s="45"/>
      <c r="X35" s="289">
        <f>'45'!A239</f>
        <v>1329000</v>
      </c>
      <c r="Y35" s="283"/>
    </row>
    <row r="36" spans="1:25" x14ac:dyDescent="0.2">
      <c r="B36" s="281"/>
      <c r="G36" s="283"/>
      <c r="M36" s="283"/>
      <c r="O36" s="45" t="s">
        <v>258</v>
      </c>
      <c r="P36" s="45"/>
      <c r="Q36" s="45"/>
      <c r="R36" s="286">
        <f>'45'!A277</f>
        <v>3692496</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9">
    <tabColor theme="8" tint="-0.249977111117893"/>
    <pageSetUpPr fitToPage="1"/>
  </sheetPr>
  <dimension ref="B1:Q122"/>
  <sheetViews>
    <sheetView showGridLines="0" zoomScaleNormal="100" workbookViewId="0">
      <selection activeCell="K26" sqref="K26"/>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'45'!$A1</f>
        <v>1</v>
      </c>
      <c r="K1" s="170" t="s">
        <v>81</v>
      </c>
      <c r="L1" s="172">
        <f>'45'!$A4</f>
        <v>2017</v>
      </c>
      <c r="M1" s="170" t="s">
        <v>289</v>
      </c>
      <c r="N1" s="517">
        <f>'45'!$A5</f>
        <v>1</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'45'!A505</f>
        <v>4274</v>
      </c>
      <c r="H5" s="187">
        <f>'45'!A506</f>
        <v>4391</v>
      </c>
      <c r="I5" s="187">
        <f>'45'!A504</f>
        <v>6277</v>
      </c>
      <c r="K5" s="182"/>
      <c r="M5" s="40"/>
      <c r="N5" s="179"/>
    </row>
    <row r="6" spans="2:14" ht="13.2" x14ac:dyDescent="0.3">
      <c r="B6" s="244"/>
      <c r="C6" s="259" t="s">
        <v>292</v>
      </c>
      <c r="D6" s="40"/>
      <c r="E6" s="40"/>
      <c r="F6" s="40"/>
      <c r="G6" s="301">
        <f>'45'!A507/10</f>
        <v>8.4</v>
      </c>
      <c r="H6" s="301">
        <f>'45'!A508/10</f>
        <v>4.5</v>
      </c>
      <c r="I6" s="217"/>
      <c r="K6" s="182"/>
      <c r="L6" s="196"/>
      <c r="M6" s="40"/>
      <c r="N6" s="179"/>
    </row>
    <row r="7" spans="2:14" x14ac:dyDescent="0.2">
      <c r="B7" s="244"/>
      <c r="C7" s="182" t="s">
        <v>293</v>
      </c>
      <c r="D7" s="40"/>
      <c r="E7" s="40"/>
      <c r="F7" s="40"/>
      <c r="G7" s="187">
        <f>'45'!A509</f>
        <v>1863</v>
      </c>
      <c r="H7" s="187">
        <f>'45'!A510</f>
        <v>1883</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'45'!A501/10</f>
        <v>0.5</v>
      </c>
      <c r="H10" s="301">
        <f>'45'!A502/10</f>
        <v>1.1000000000000001</v>
      </c>
      <c r="I10" s="182" t="s">
        <v>302</v>
      </c>
      <c r="J10" s="182"/>
      <c r="K10" s="196"/>
      <c r="L10" s="302">
        <f>'45'!A511/100</f>
        <v>0.84</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'45'!A518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206</v>
      </c>
      <c r="I16" s="667">
        <f>INT(L10*3*G20/1000) + 120</f>
        <v>317</v>
      </c>
      <c r="K16" s="196"/>
      <c r="L16" s="196"/>
      <c r="M16" s="196"/>
      <c r="N16" s="179"/>
    </row>
    <row r="17" spans="2:14" x14ac:dyDescent="0.2">
      <c r="B17" s="244"/>
      <c r="C17" s="269" t="s">
        <v>299</v>
      </c>
      <c r="E17" s="40"/>
      <c r="F17" s="40"/>
      <c r="G17" s="667">
        <f>INT(L10*1.5*G20/1000) + 60</f>
        <v>158</v>
      </c>
      <c r="H17" s="667">
        <f>INT(L10*1.5*2*G20/1000) + 75</f>
        <v>272</v>
      </c>
      <c r="I17" s="667">
        <f>INT(L10*1.5*3*G20/1000) + 120</f>
        <v>416</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'45'!A515</f>
        <v>78498</v>
      </c>
      <c r="H20" s="304">
        <f>'45'!A516</f>
        <v>75378</v>
      </c>
      <c r="I20" s="304">
        <f>'45'!A517</f>
        <v>71410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'45'!A681</f>
        <v>The use of fossil fuels is under threat from social acceptability</v>
      </c>
      <c r="G23" s="40"/>
      <c r="H23" s="40"/>
      <c r="I23" s="182"/>
      <c r="J23" s="40"/>
      <c r="K23" s="40"/>
      <c r="L23" s="40"/>
      <c r="M23" s="40"/>
      <c r="N23" s="179"/>
    </row>
    <row r="24" spans="2:14" ht="12" x14ac:dyDescent="0.25">
      <c r="B24" s="244"/>
      <c r="C24" s="247"/>
      <c r="F24" s="233" t="str">
        <f>'45'!A682</f>
        <v>trends. Companies in this sector are facing a growing resistance</v>
      </c>
      <c r="G24" s="40"/>
      <c r="H24" s="40"/>
      <c r="I24" s="182"/>
      <c r="J24" s="40"/>
      <c r="K24" s="40"/>
      <c r="L24" s="40"/>
      <c r="M24" s="40"/>
      <c r="N24" s="179"/>
    </row>
    <row r="25" spans="2:14" ht="12" x14ac:dyDescent="0.25">
      <c r="B25" s="244"/>
      <c r="C25" s="247"/>
      <c r="F25" s="233" t="str">
        <f>'45'!A683</f>
        <v>from users. Regulators and investors are showing concern that</v>
      </c>
      <c r="G25" s="40"/>
      <c r="H25" s="40"/>
      <c r="I25" s="182"/>
      <c r="J25" s="40"/>
      <c r="K25" s="40"/>
      <c r="L25" s="40"/>
      <c r="M25" s="40"/>
      <c r="N25" s="179"/>
    </row>
    <row r="26" spans="2:14" x14ac:dyDescent="0.2">
      <c r="B26" s="244"/>
      <c r="C26" s="233"/>
      <c r="F26" s="233" t="str">
        <f>'45'!A684</f>
        <v>the companies may end up with unusable assets in future.</v>
      </c>
      <c r="G26" s="233"/>
      <c r="H26" s="233"/>
      <c r="I26" s="184"/>
      <c r="J26" s="233"/>
      <c r="K26" s="40"/>
      <c r="L26" s="40"/>
      <c r="M26" s="40"/>
      <c r="N26" s="179"/>
    </row>
    <row r="27" spans="2:14" x14ac:dyDescent="0.2">
      <c r="B27" s="244"/>
      <c r="C27" s="233"/>
      <c r="F27" s="233" t="str">
        <f>'45'!A685</f>
        <v xml:space="preserve"> </v>
      </c>
      <c r="G27" s="233"/>
      <c r="H27" s="233"/>
      <c r="I27" s="184"/>
      <c r="J27" s="233"/>
      <c r="K27" s="40"/>
      <c r="L27" s="40"/>
      <c r="M27" s="40"/>
      <c r="N27" s="179"/>
    </row>
    <row r="28" spans="2:14" x14ac:dyDescent="0.2">
      <c r="B28" s="244"/>
      <c r="C28" s="233"/>
      <c r="F28" s="233" t="str">
        <f>'45'!A686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'45'!A521</f>
        <v>1</v>
      </c>
      <c r="G33" s="309">
        <f>'45'!A541</f>
        <v>2</v>
      </c>
      <c r="H33" s="309">
        <f>'45'!A561</f>
        <v>3</v>
      </c>
      <c r="I33" s="309">
        <f>'45'!A581</f>
        <v>4</v>
      </c>
      <c r="J33" s="309">
        <f>'45'!A601</f>
        <v>5</v>
      </c>
      <c r="K33" s="309">
        <f>'45'!A621</f>
        <v>6</v>
      </c>
      <c r="L33" s="309">
        <f>'45'!A641</f>
        <v>7</v>
      </c>
      <c r="M33" s="309">
        <f>'45'!A661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'45'!A522/100</f>
        <v>99.46</v>
      </c>
      <c r="G35" s="310">
        <f>'45'!A542/100</f>
        <v>99.46</v>
      </c>
      <c r="H35" s="310">
        <f>'45'!A562/100</f>
        <v>99.46</v>
      </c>
      <c r="I35" s="310">
        <f>'45'!A582/100</f>
        <v>99.46</v>
      </c>
      <c r="J35" s="310">
        <f>'45'!A602/100</f>
        <v>99.46</v>
      </c>
      <c r="K35" s="310">
        <f>'45'!A622/100</f>
        <v>99.46</v>
      </c>
      <c r="L35" s="310">
        <f>'45'!A642/100</f>
        <v>99.46</v>
      </c>
      <c r="M35" s="310">
        <f>'45'!A662/100</f>
        <v>99.46</v>
      </c>
      <c r="N35" s="204"/>
    </row>
    <row r="36" spans="2:17" x14ac:dyDescent="0.2">
      <c r="B36" s="244"/>
      <c r="C36" s="40" t="s">
        <v>310</v>
      </c>
      <c r="D36" s="40"/>
      <c r="E36" s="40"/>
      <c r="F36" s="310">
        <f>'45'!A523</f>
        <v>3978400</v>
      </c>
      <c r="G36" s="310">
        <f>'45'!A543</f>
        <v>3978400</v>
      </c>
      <c r="H36" s="310">
        <f>'45'!A563</f>
        <v>3978400</v>
      </c>
      <c r="I36" s="310">
        <f>'45'!A583</f>
        <v>3978400</v>
      </c>
      <c r="J36" s="310">
        <f>'45'!A603</f>
        <v>3978400</v>
      </c>
      <c r="K36" s="310">
        <f>'45'!A623</f>
        <v>3978400</v>
      </c>
      <c r="L36" s="310">
        <f>'45'!A643</f>
        <v>3978400</v>
      </c>
      <c r="M36" s="310">
        <f>'45'!A663</f>
        <v>3978400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'45'!A524</f>
        <v>0</v>
      </c>
      <c r="G38" s="310">
        <f>'45'!A544</f>
        <v>0</v>
      </c>
      <c r="H38" s="310">
        <f>'45'!A564</f>
        <v>0</v>
      </c>
      <c r="I38" s="310">
        <f>'45'!A584</f>
        <v>0</v>
      </c>
      <c r="J38" s="310">
        <f>'45'!A604</f>
        <v>0</v>
      </c>
      <c r="K38" s="310">
        <f>'45'!A624</f>
        <v>0</v>
      </c>
      <c r="L38" s="310">
        <f>'45'!A644</f>
        <v>0</v>
      </c>
      <c r="M38" s="310">
        <f>'45'!A664</f>
        <v>0</v>
      </c>
      <c r="N38" s="204"/>
    </row>
    <row r="39" spans="2:17" x14ac:dyDescent="0.2">
      <c r="B39" s="244"/>
      <c r="C39" s="40" t="s">
        <v>312</v>
      </c>
      <c r="D39" s="40"/>
      <c r="E39" s="40"/>
      <c r="F39" s="310">
        <f>'45'!A525</f>
        <v>3978400</v>
      </c>
      <c r="G39" s="310">
        <f>'45'!A545</f>
        <v>3978400</v>
      </c>
      <c r="H39" s="310">
        <f>'45'!A565</f>
        <v>3978400</v>
      </c>
      <c r="I39" s="310">
        <f>'45'!A585</f>
        <v>3978400</v>
      </c>
      <c r="J39" s="310">
        <f>'45'!A605</f>
        <v>3978400</v>
      </c>
      <c r="K39" s="310">
        <f>'45'!A625</f>
        <v>3978400</v>
      </c>
      <c r="L39" s="310">
        <f>'45'!A645</f>
        <v>3978400</v>
      </c>
      <c r="M39" s="310">
        <f>'45'!A665</f>
        <v>3978400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'45'!A526</f>
        <v>300</v>
      </c>
      <c r="G43" s="310">
        <f>'45'!A546</f>
        <v>300</v>
      </c>
      <c r="H43" s="310">
        <f>'45'!A566</f>
        <v>300</v>
      </c>
      <c r="I43" s="310">
        <f>'45'!A586</f>
        <v>300</v>
      </c>
      <c r="J43" s="310">
        <f>'45'!A606</f>
        <v>300</v>
      </c>
      <c r="K43" s="310">
        <f>'45'!A626</f>
        <v>300</v>
      </c>
      <c r="L43" s="310">
        <f>'45'!A646</f>
        <v>300</v>
      </c>
      <c r="M43" s="310">
        <f>'45'!A666</f>
        <v>300</v>
      </c>
      <c r="N43" s="204"/>
    </row>
    <row r="44" spans="2:17" x14ac:dyDescent="0.2">
      <c r="B44" s="244"/>
      <c r="C44" s="40" t="s">
        <v>1</v>
      </c>
      <c r="D44" s="182" t="s">
        <v>19</v>
      </c>
      <c r="E44" s="40"/>
      <c r="F44" s="310">
        <f>'45'!A527</f>
        <v>290</v>
      </c>
      <c r="G44" s="310">
        <f>'45'!A547</f>
        <v>290</v>
      </c>
      <c r="H44" s="310">
        <f>'45'!A567</f>
        <v>290</v>
      </c>
      <c r="I44" s="310">
        <f>'45'!A587</f>
        <v>290</v>
      </c>
      <c r="J44" s="310">
        <f>'45'!A607</f>
        <v>290</v>
      </c>
      <c r="K44" s="310">
        <f>'45'!A627</f>
        <v>290</v>
      </c>
      <c r="L44" s="310">
        <f>'45'!A647</f>
        <v>290</v>
      </c>
      <c r="M44" s="310">
        <f>'45'!A667</f>
        <v>290</v>
      </c>
      <c r="N44" s="204"/>
    </row>
    <row r="45" spans="2:17" x14ac:dyDescent="0.2">
      <c r="B45" s="244"/>
      <c r="C45" s="40"/>
      <c r="D45" s="40" t="s">
        <v>18</v>
      </c>
      <c r="E45" s="40"/>
      <c r="F45" s="310">
        <f>'45'!A528</f>
        <v>0</v>
      </c>
      <c r="G45" s="310">
        <f>'45'!A548</f>
        <v>0</v>
      </c>
      <c r="H45" s="310">
        <f>'45'!A568</f>
        <v>0</v>
      </c>
      <c r="I45" s="310">
        <f>'45'!A588</f>
        <v>0</v>
      </c>
      <c r="J45" s="310">
        <f>'45'!A608</f>
        <v>0</v>
      </c>
      <c r="K45" s="310">
        <f>'45'!A628</f>
        <v>0</v>
      </c>
      <c r="L45" s="310">
        <f>'45'!A648</f>
        <v>0</v>
      </c>
      <c r="M45" s="310">
        <f>'45'!A668</f>
        <v>0</v>
      </c>
      <c r="N45" s="204"/>
    </row>
    <row r="46" spans="2:17" x14ac:dyDescent="0.2">
      <c r="B46" s="244"/>
      <c r="C46" s="40" t="s">
        <v>316</v>
      </c>
      <c r="D46" s="40"/>
      <c r="E46" s="40"/>
      <c r="F46" s="310">
        <f>'45'!A529</f>
        <v>450</v>
      </c>
      <c r="G46" s="310">
        <f>'45'!A549</f>
        <v>450</v>
      </c>
      <c r="H46" s="310">
        <f>'45'!A569</f>
        <v>450</v>
      </c>
      <c r="I46" s="310">
        <f>'45'!A589</f>
        <v>450</v>
      </c>
      <c r="J46" s="310">
        <f>'45'!A609</f>
        <v>450</v>
      </c>
      <c r="K46" s="310">
        <f>'45'!A629</f>
        <v>450</v>
      </c>
      <c r="L46" s="310">
        <f>'45'!A649</f>
        <v>450</v>
      </c>
      <c r="M46" s="310">
        <f>'45'!A669</f>
        <v>450</v>
      </c>
      <c r="N46" s="204"/>
    </row>
    <row r="47" spans="2:17" x14ac:dyDescent="0.2">
      <c r="B47" s="244"/>
      <c r="C47" s="40" t="s">
        <v>1</v>
      </c>
      <c r="D47" s="182" t="s">
        <v>19</v>
      </c>
      <c r="E47" s="40"/>
      <c r="F47" s="310">
        <f>'45'!A530</f>
        <v>440</v>
      </c>
      <c r="G47" s="310">
        <f>'45'!A550</f>
        <v>440</v>
      </c>
      <c r="H47" s="310">
        <f>'45'!A570</f>
        <v>440</v>
      </c>
      <c r="I47" s="310">
        <f>'45'!A590</f>
        <v>440</v>
      </c>
      <c r="J47" s="310">
        <f>'45'!A610</f>
        <v>440</v>
      </c>
      <c r="K47" s="310">
        <f>'45'!A630</f>
        <v>440</v>
      </c>
      <c r="L47" s="310">
        <f>'45'!A650</f>
        <v>440</v>
      </c>
      <c r="M47" s="310">
        <f>'45'!A670</f>
        <v>440</v>
      </c>
      <c r="N47" s="204"/>
    </row>
    <row r="48" spans="2:17" x14ac:dyDescent="0.2">
      <c r="B48" s="244"/>
      <c r="C48" s="40"/>
      <c r="D48" s="40" t="s">
        <v>20</v>
      </c>
      <c r="E48" s="40"/>
      <c r="F48" s="310">
        <f>'45'!A531</f>
        <v>0</v>
      </c>
      <c r="G48" s="310">
        <f>'45'!A551</f>
        <v>0</v>
      </c>
      <c r="H48" s="310">
        <f>'45'!A571</f>
        <v>0</v>
      </c>
      <c r="I48" s="310">
        <f>'45'!A591</f>
        <v>0</v>
      </c>
      <c r="J48" s="310">
        <f>'45'!A611</f>
        <v>0</v>
      </c>
      <c r="K48" s="310">
        <f>'45'!A631</f>
        <v>0</v>
      </c>
      <c r="L48" s="310">
        <f>'45'!A651</f>
        <v>0</v>
      </c>
      <c r="M48" s="310">
        <f>'45'!A671</f>
        <v>0</v>
      </c>
      <c r="N48" s="204"/>
    </row>
    <row r="49" spans="2:14" x14ac:dyDescent="0.2">
      <c r="B49" s="244"/>
      <c r="C49" s="40" t="s">
        <v>317</v>
      </c>
      <c r="D49" s="40"/>
      <c r="E49" s="40"/>
      <c r="F49" s="310">
        <f>'45'!A532</f>
        <v>690</v>
      </c>
      <c r="G49" s="310">
        <f>'45'!A552</f>
        <v>690</v>
      </c>
      <c r="H49" s="310">
        <f>'45'!A572</f>
        <v>690</v>
      </c>
      <c r="I49" s="310">
        <f>'45'!A592</f>
        <v>690</v>
      </c>
      <c r="J49" s="310">
        <f>'45'!A612</f>
        <v>690</v>
      </c>
      <c r="K49" s="310">
        <f>'45'!A632</f>
        <v>690</v>
      </c>
      <c r="L49" s="310">
        <f>'45'!A652</f>
        <v>690</v>
      </c>
      <c r="M49" s="310">
        <f>'45'!A672</f>
        <v>690</v>
      </c>
      <c r="N49" s="204"/>
    </row>
    <row r="50" spans="2:14" x14ac:dyDescent="0.2">
      <c r="B50" s="244"/>
      <c r="C50" s="40" t="s">
        <v>1</v>
      </c>
      <c r="D50" s="182" t="s">
        <v>19</v>
      </c>
      <c r="E50" s="40"/>
      <c r="F50" s="310">
        <f>'45'!A533</f>
        <v>680</v>
      </c>
      <c r="G50" s="310">
        <f>'45'!A553</f>
        <v>680</v>
      </c>
      <c r="H50" s="310">
        <f>'45'!A573</f>
        <v>680</v>
      </c>
      <c r="I50" s="310">
        <f>'45'!A593</f>
        <v>680</v>
      </c>
      <c r="J50" s="310">
        <f>'45'!A613</f>
        <v>680</v>
      </c>
      <c r="K50" s="310">
        <f>'45'!A633</f>
        <v>680</v>
      </c>
      <c r="L50" s="310">
        <f>'45'!A653</f>
        <v>680</v>
      </c>
      <c r="M50" s="310">
        <f>'45'!A673</f>
        <v>680</v>
      </c>
      <c r="N50" s="204"/>
    </row>
    <row r="51" spans="2:14" x14ac:dyDescent="0.2">
      <c r="B51" s="244"/>
      <c r="C51" s="40"/>
      <c r="D51" s="40" t="s">
        <v>18</v>
      </c>
      <c r="E51" s="40"/>
      <c r="F51" s="310">
        <f>'45'!A534</f>
        <v>0</v>
      </c>
      <c r="G51" s="310">
        <f>'45'!A554</f>
        <v>0</v>
      </c>
      <c r="H51" s="310">
        <f>'45'!A574</f>
        <v>0</v>
      </c>
      <c r="I51" s="310">
        <f>'45'!A594</f>
        <v>0</v>
      </c>
      <c r="J51" s="310">
        <f>'45'!A614</f>
        <v>0</v>
      </c>
      <c r="K51" s="310">
        <f>'45'!A634</f>
        <v>0</v>
      </c>
      <c r="L51" s="310">
        <f>'45'!A654</f>
        <v>0</v>
      </c>
      <c r="M51" s="310">
        <f>'45'!A674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'45'!A535</f>
        <v>48</v>
      </c>
      <c r="G53" s="310">
        <f>'45'!A555</f>
        <v>48</v>
      </c>
      <c r="H53" s="310">
        <f>'45'!A575</f>
        <v>48</v>
      </c>
      <c r="I53" s="310">
        <f>'45'!A595</f>
        <v>48</v>
      </c>
      <c r="J53" s="310">
        <f>'45'!A615</f>
        <v>48</v>
      </c>
      <c r="K53" s="310">
        <f>'45'!A635</f>
        <v>48</v>
      </c>
      <c r="L53" s="310">
        <f>'45'!A655</f>
        <v>48</v>
      </c>
      <c r="M53" s="310">
        <f>'45'!A675</f>
        <v>48</v>
      </c>
      <c r="N53" s="204"/>
    </row>
    <row r="54" spans="2:14" ht="13.2" x14ac:dyDescent="0.3">
      <c r="B54" s="244"/>
      <c r="C54" s="256" t="s">
        <v>319</v>
      </c>
      <c r="D54" s="40"/>
      <c r="E54" s="40"/>
      <c r="F54" s="310">
        <f>'45'!A536</f>
        <v>1200</v>
      </c>
      <c r="G54" s="310">
        <f>'45'!A556</f>
        <v>1200</v>
      </c>
      <c r="H54" s="310">
        <f>'45'!A576</f>
        <v>1200</v>
      </c>
      <c r="I54" s="310">
        <f>'45'!A596</f>
        <v>1200</v>
      </c>
      <c r="J54" s="310">
        <f>'45'!A616</f>
        <v>1200</v>
      </c>
      <c r="K54" s="310">
        <f>'45'!A636</f>
        <v>1200</v>
      </c>
      <c r="L54" s="310">
        <f>'45'!A656</f>
        <v>1200</v>
      </c>
      <c r="M54" s="310">
        <f>'45'!A676</f>
        <v>1200</v>
      </c>
      <c r="N54" s="204"/>
    </row>
    <row r="55" spans="2:14" x14ac:dyDescent="0.2">
      <c r="B55" s="244"/>
      <c r="C55" s="40" t="s">
        <v>320</v>
      </c>
      <c r="D55" s="40"/>
      <c r="E55" s="40"/>
      <c r="F55" s="310">
        <f>'45'!A537</f>
        <v>4</v>
      </c>
      <c r="G55" s="310">
        <f>'45'!A557</f>
        <v>4</v>
      </c>
      <c r="H55" s="310">
        <f>'45'!A577</f>
        <v>4</v>
      </c>
      <c r="I55" s="310">
        <f>'45'!A597</f>
        <v>4</v>
      </c>
      <c r="J55" s="310">
        <f>'45'!A617</f>
        <v>4</v>
      </c>
      <c r="K55" s="310">
        <f>'45'!A637</f>
        <v>4</v>
      </c>
      <c r="L55" s="310">
        <f>'45'!A657</f>
        <v>4</v>
      </c>
      <c r="M55" s="310">
        <f>'45'!A677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'45'!$A59</f>
        <v>0</v>
      </c>
      <c r="K61" s="170" t="s">
        <v>81</v>
      </c>
      <c r="L61" s="172">
        <f>'45'!$A62</f>
        <v>10</v>
      </c>
      <c r="M61" s="170" t="s">
        <v>289</v>
      </c>
      <c r="N61" s="517">
        <f>'45'!$A63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'45'!A701</f>
        <v>1</v>
      </c>
      <c r="G65" s="319">
        <f>'45'!A721</f>
        <v>2</v>
      </c>
      <c r="H65" s="319">
        <f>'45'!A741</f>
        <v>3</v>
      </c>
      <c r="I65" s="319">
        <f>'45'!A761</f>
        <v>4</v>
      </c>
      <c r="J65" s="319">
        <f>'45'!A781</f>
        <v>5</v>
      </c>
      <c r="K65" s="319">
        <f>'45'!A801</f>
        <v>6</v>
      </c>
      <c r="L65" s="319">
        <f>'45'!A821</f>
        <v>7</v>
      </c>
      <c r="M65" s="319">
        <f>'45'!A841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'45'!A702</f>
        <v>1398328</v>
      </c>
      <c r="G67" s="310">
        <f>'45'!A722</f>
        <v>1398328</v>
      </c>
      <c r="H67" s="310">
        <f>'45'!A742</f>
        <v>1398328</v>
      </c>
      <c r="I67" s="310">
        <f>'45'!A762</f>
        <v>1398328</v>
      </c>
      <c r="J67" s="310">
        <f>'45'!A782</f>
        <v>1398328</v>
      </c>
      <c r="K67" s="310">
        <f>'45'!A802</f>
        <v>1398328</v>
      </c>
      <c r="L67" s="310">
        <f>'45'!A822</f>
        <v>1398328</v>
      </c>
      <c r="M67" s="310">
        <f>'45'!A842</f>
        <v>1398328</v>
      </c>
      <c r="N67" s="179"/>
    </row>
    <row r="68" spans="2:14" x14ac:dyDescent="0.2">
      <c r="B68" s="244"/>
      <c r="C68" s="40" t="s">
        <v>326</v>
      </c>
      <c r="D68" s="40"/>
      <c r="E68" s="40"/>
      <c r="F68" s="310">
        <f>'45'!A703</f>
        <v>143405</v>
      </c>
      <c r="G68" s="310">
        <f>'45'!A723</f>
        <v>143405</v>
      </c>
      <c r="H68" s="310">
        <f>'45'!A743</f>
        <v>143405</v>
      </c>
      <c r="I68" s="310">
        <f>'45'!A763</f>
        <v>143405</v>
      </c>
      <c r="J68" s="310">
        <f>'45'!A783</f>
        <v>143405</v>
      </c>
      <c r="K68" s="310">
        <f>'45'!A803</f>
        <v>143405</v>
      </c>
      <c r="L68" s="310">
        <f>'45'!A823</f>
        <v>143405</v>
      </c>
      <c r="M68" s="310">
        <f>'45'!A843</f>
        <v>143405</v>
      </c>
      <c r="N68" s="179"/>
    </row>
    <row r="69" spans="2:14" x14ac:dyDescent="0.2">
      <c r="B69" s="244"/>
      <c r="C69" s="40" t="s">
        <v>327</v>
      </c>
      <c r="D69" s="40"/>
      <c r="E69" s="40"/>
      <c r="F69" s="310">
        <f>'45'!A704</f>
        <v>784178</v>
      </c>
      <c r="G69" s="310">
        <f>'45'!A724</f>
        <v>784178</v>
      </c>
      <c r="H69" s="310">
        <f>'45'!A744</f>
        <v>784178</v>
      </c>
      <c r="I69" s="310">
        <f>'45'!A764</f>
        <v>784178</v>
      </c>
      <c r="J69" s="310">
        <f>'45'!A784</f>
        <v>784178</v>
      </c>
      <c r="K69" s="310">
        <f>'45'!A804</f>
        <v>784178</v>
      </c>
      <c r="L69" s="310">
        <f>'45'!A824</f>
        <v>784178</v>
      </c>
      <c r="M69" s="310">
        <f>'45'!A844</f>
        <v>784178</v>
      </c>
      <c r="N69" s="179"/>
    </row>
    <row r="70" spans="2:14" x14ac:dyDescent="0.2">
      <c r="B70" s="244"/>
      <c r="C70" s="40" t="s">
        <v>328</v>
      </c>
      <c r="D70" s="40"/>
      <c r="E70" s="40"/>
      <c r="F70" s="310">
        <f>'45'!A705</f>
        <v>1634465</v>
      </c>
      <c r="G70" s="310">
        <f>'45'!A725</f>
        <v>1634465</v>
      </c>
      <c r="H70" s="310">
        <f>'45'!A745</f>
        <v>1634465</v>
      </c>
      <c r="I70" s="310">
        <f>'45'!A765</f>
        <v>1634465</v>
      </c>
      <c r="J70" s="310">
        <f>'45'!A785</f>
        <v>1634465</v>
      </c>
      <c r="K70" s="310">
        <f>'45'!A805</f>
        <v>1634465</v>
      </c>
      <c r="L70" s="310">
        <f>'45'!A825</f>
        <v>1634465</v>
      </c>
      <c r="M70" s="310">
        <f>'45'!A845</f>
        <v>1634465</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'45'!A708</f>
        <v>0</v>
      </c>
      <c r="G73" s="310">
        <f>'45'!A728</f>
        <v>0</v>
      </c>
      <c r="H73" s="310">
        <f>'45'!A748</f>
        <v>0</v>
      </c>
      <c r="I73" s="310">
        <f>'45'!A768</f>
        <v>0</v>
      </c>
      <c r="J73" s="310">
        <f>'45'!A788</f>
        <v>0</v>
      </c>
      <c r="K73" s="310">
        <f>'45'!A808</f>
        <v>0</v>
      </c>
      <c r="L73" s="310">
        <f>'45'!A828</f>
        <v>0</v>
      </c>
      <c r="M73" s="310">
        <f>'45'!A848</f>
        <v>0</v>
      </c>
      <c r="N73" s="179"/>
    </row>
    <row r="74" spans="2:14" x14ac:dyDescent="0.2">
      <c r="B74" s="244"/>
      <c r="C74" s="321" t="s">
        <v>331</v>
      </c>
      <c r="D74" s="40"/>
      <c r="E74" s="40"/>
      <c r="F74" s="310">
        <f>'45'!A709</f>
        <v>267880</v>
      </c>
      <c r="G74" s="310">
        <f>'45'!A729</f>
        <v>267880</v>
      </c>
      <c r="H74" s="310">
        <f>'45'!A749</f>
        <v>267880</v>
      </c>
      <c r="I74" s="310">
        <f>'45'!A769</f>
        <v>267880</v>
      </c>
      <c r="J74" s="310">
        <f>'45'!A789</f>
        <v>267880</v>
      </c>
      <c r="K74" s="310">
        <f>'45'!A809</f>
        <v>267880</v>
      </c>
      <c r="L74" s="310">
        <f>'45'!A829</f>
        <v>267880</v>
      </c>
      <c r="M74" s="310">
        <f>'45'!A849</f>
        <v>267880</v>
      </c>
      <c r="N74" s="179"/>
    </row>
    <row r="75" spans="2:14" x14ac:dyDescent="0.2">
      <c r="B75" s="244"/>
      <c r="C75" s="40" t="s">
        <v>332</v>
      </c>
      <c r="D75" s="40"/>
      <c r="E75" s="40"/>
      <c r="F75" s="310">
        <f>'45'!A710</f>
        <v>0</v>
      </c>
      <c r="G75" s="310">
        <f>'45'!A730</f>
        <v>0</v>
      </c>
      <c r="H75" s="310">
        <f>'45'!A750</f>
        <v>0</v>
      </c>
      <c r="I75" s="310">
        <f>'45'!A770</f>
        <v>0</v>
      </c>
      <c r="J75" s="310">
        <f>'45'!A790</f>
        <v>0</v>
      </c>
      <c r="K75" s="310">
        <f>'45'!A810</f>
        <v>0</v>
      </c>
      <c r="L75" s="310">
        <f>'45'!A830</f>
        <v>0</v>
      </c>
      <c r="M75" s="310">
        <f>'45'!A850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'45'!A712</f>
        <v>0</v>
      </c>
      <c r="G77" s="310">
        <f>'45'!A732</f>
        <v>0</v>
      </c>
      <c r="H77" s="310">
        <f>'45'!A752</f>
        <v>0</v>
      </c>
      <c r="I77" s="310">
        <f>'45'!A772</f>
        <v>0</v>
      </c>
      <c r="J77" s="310">
        <f>'45'!A792</f>
        <v>0</v>
      </c>
      <c r="K77" s="310">
        <f>'45'!A812</f>
        <v>0</v>
      </c>
      <c r="L77" s="310">
        <f>'45'!A832</f>
        <v>0</v>
      </c>
      <c r="M77" s="310">
        <f>'45'!A852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'45'!A714</f>
        <v>4000000</v>
      </c>
      <c r="G80" s="310">
        <f>'45'!A734</f>
        <v>4000000</v>
      </c>
      <c r="H80" s="310">
        <f>'45'!A754</f>
        <v>4000000</v>
      </c>
      <c r="I80" s="310">
        <f>'45'!A774</f>
        <v>4000000</v>
      </c>
      <c r="J80" s="310">
        <f>'45'!A794</f>
        <v>4000000</v>
      </c>
      <c r="K80" s="310">
        <f>'45'!A814</f>
        <v>4000000</v>
      </c>
      <c r="L80" s="310">
        <f>'45'!A834</f>
        <v>4000000</v>
      </c>
      <c r="M80" s="310">
        <f>'45'!A854</f>
        <v>4000000</v>
      </c>
      <c r="N80" s="179"/>
    </row>
    <row r="81" spans="2:14" x14ac:dyDescent="0.2">
      <c r="B81" s="244"/>
      <c r="C81" s="40" t="s">
        <v>336</v>
      </c>
      <c r="D81" s="40"/>
      <c r="E81" s="40"/>
      <c r="F81" s="310">
        <f>'45'!A715</f>
        <v>0</v>
      </c>
      <c r="G81" s="310">
        <f>'45'!A735</f>
        <v>0</v>
      </c>
      <c r="H81" s="310">
        <f>'45'!A755</f>
        <v>0</v>
      </c>
      <c r="I81" s="310">
        <f>'45'!A775</f>
        <v>0</v>
      </c>
      <c r="J81" s="310">
        <f>'45'!A795</f>
        <v>0</v>
      </c>
      <c r="K81" s="310">
        <f>'45'!A815</f>
        <v>0</v>
      </c>
      <c r="L81" s="310">
        <f>'45'!A835</f>
        <v>0</v>
      </c>
      <c r="M81" s="310">
        <f>'45'!A855</f>
        <v>0</v>
      </c>
      <c r="N81" s="179"/>
    </row>
    <row r="82" spans="2:14" x14ac:dyDescent="0.2">
      <c r="B82" s="244"/>
      <c r="C82" s="40" t="s">
        <v>337</v>
      </c>
      <c r="D82" s="40"/>
      <c r="E82" s="40"/>
      <c r="F82" s="310">
        <f>'45'!A716</f>
        <v>-307504</v>
      </c>
      <c r="G82" s="310">
        <f>'45'!A736</f>
        <v>-307504</v>
      </c>
      <c r="H82" s="310">
        <f>'45'!A756</f>
        <v>-307504</v>
      </c>
      <c r="I82" s="310">
        <f>'45'!A776</f>
        <v>-307504</v>
      </c>
      <c r="J82" s="310">
        <f>'45'!A796</f>
        <v>-307504</v>
      </c>
      <c r="K82" s="310">
        <f>'45'!A816</f>
        <v>-307504</v>
      </c>
      <c r="L82" s="310">
        <f>'45'!A836</f>
        <v>-307504</v>
      </c>
      <c r="M82" s="310">
        <f>'45'!A856</f>
        <v>-307504</v>
      </c>
      <c r="N82" s="179"/>
    </row>
    <row r="83" spans="2:14" ht="12" x14ac:dyDescent="0.25">
      <c r="B83" s="244"/>
      <c r="C83" s="247" t="s">
        <v>338</v>
      </c>
      <c r="D83" s="40"/>
      <c r="E83" s="40"/>
      <c r="F83" s="310">
        <f t="shared" ref="F83:M83" si="0">SUM(F80:F82)</f>
        <v>3692496</v>
      </c>
      <c r="G83" s="310">
        <f t="shared" si="0"/>
        <v>3692496</v>
      </c>
      <c r="H83" s="310">
        <f t="shared" si="0"/>
        <v>3692496</v>
      </c>
      <c r="I83" s="310">
        <f t="shared" si="0"/>
        <v>3692496</v>
      </c>
      <c r="J83" s="310">
        <f t="shared" si="0"/>
        <v>3692496</v>
      </c>
      <c r="K83" s="310">
        <f t="shared" si="0"/>
        <v>3692496</v>
      </c>
      <c r="L83" s="310">
        <f t="shared" si="0"/>
        <v>3692496</v>
      </c>
      <c r="M83" s="310">
        <f t="shared" si="0"/>
        <v>3692496</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'45'!A330</f>
        <v>Not requested</v>
      </c>
      <c r="N88" s="179"/>
    </row>
    <row r="89" spans="2:14" ht="12" x14ac:dyDescent="0.25">
      <c r="B89" s="244"/>
      <c r="C89" s="40"/>
      <c r="D89" s="175" t="s">
        <v>340</v>
      </c>
      <c r="F89" s="309" t="str">
        <f>'45'!A331</f>
        <v xml:space="preserve"> </v>
      </c>
      <c r="G89" s="309" t="str">
        <f>'45'!A341</f>
        <v xml:space="preserve"> </v>
      </c>
      <c r="H89" s="309" t="str">
        <f>'45'!A351</f>
        <v xml:space="preserve"> </v>
      </c>
      <c r="I89" s="309" t="str">
        <f>'45'!A361</f>
        <v xml:space="preserve"> </v>
      </c>
      <c r="J89" s="309" t="str">
        <f>'45'!A371</f>
        <v xml:space="preserve"> </v>
      </c>
      <c r="K89" s="309" t="str">
        <f>'45'!A381</f>
        <v xml:space="preserve"> </v>
      </c>
      <c r="L89" s="309" t="str">
        <f>'45'!A391</f>
        <v xml:space="preserve"> </v>
      </c>
      <c r="M89" s="309" t="str">
        <f>'45'!A401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'45'!A332</f>
        <v xml:space="preserve"> </v>
      </c>
      <c r="G91" s="213" t="str">
        <f>'45'!A342</f>
        <v xml:space="preserve"> </v>
      </c>
      <c r="H91" s="213" t="str">
        <f>'45'!A352</f>
        <v xml:space="preserve"> </v>
      </c>
      <c r="I91" s="213" t="str">
        <f>'45'!A362</f>
        <v xml:space="preserve"> </v>
      </c>
      <c r="J91" s="213" t="str">
        <f>'45'!A372</f>
        <v xml:space="preserve"> </v>
      </c>
      <c r="K91" s="213" t="str">
        <f>'45'!A382</f>
        <v xml:space="preserve"> </v>
      </c>
      <c r="L91" s="213" t="str">
        <f>'45'!A392</f>
        <v xml:space="preserve"> </v>
      </c>
      <c r="M91" s="213" t="str">
        <f>'45'!A402</f>
        <v xml:space="preserve"> </v>
      </c>
      <c r="N91" s="179"/>
    </row>
    <row r="92" spans="2:14" x14ac:dyDescent="0.2">
      <c r="B92" s="244"/>
      <c r="C92" s="40"/>
      <c r="D92" s="182" t="s">
        <v>23</v>
      </c>
      <c r="E92" s="40"/>
      <c r="F92" s="213" t="str">
        <f>'45'!A333</f>
        <v xml:space="preserve"> </v>
      </c>
      <c r="G92" s="213" t="str">
        <f>'45'!A343</f>
        <v xml:space="preserve"> </v>
      </c>
      <c r="H92" s="213" t="str">
        <f>'45'!A353</f>
        <v xml:space="preserve"> </v>
      </c>
      <c r="I92" s="213" t="str">
        <f>'45'!A363</f>
        <v xml:space="preserve"> </v>
      </c>
      <c r="J92" s="213" t="str">
        <f>'45'!A373</f>
        <v xml:space="preserve"> </v>
      </c>
      <c r="K92" s="213" t="str">
        <f>'45'!A383</f>
        <v xml:space="preserve"> </v>
      </c>
      <c r="L92" s="213" t="str">
        <f>'45'!A393</f>
        <v xml:space="preserve"> </v>
      </c>
      <c r="M92" s="213" t="str">
        <f>'45'!A403</f>
        <v xml:space="preserve"> </v>
      </c>
      <c r="N92" s="179"/>
    </row>
    <row r="93" spans="2:14" x14ac:dyDescent="0.2">
      <c r="B93" s="244"/>
      <c r="C93" s="40"/>
      <c r="D93" s="182" t="s">
        <v>24</v>
      </c>
      <c r="E93" s="40"/>
      <c r="F93" s="213" t="str">
        <f>'45'!A334</f>
        <v xml:space="preserve"> </v>
      </c>
      <c r="G93" s="213" t="str">
        <f>'45'!A344</f>
        <v xml:space="preserve"> </v>
      </c>
      <c r="H93" s="213" t="str">
        <f>'45'!A354</f>
        <v xml:space="preserve"> </v>
      </c>
      <c r="I93" s="213" t="str">
        <f>'45'!A364</f>
        <v xml:space="preserve"> </v>
      </c>
      <c r="J93" s="213" t="str">
        <f>'45'!A374</f>
        <v xml:space="preserve"> </v>
      </c>
      <c r="K93" s="213" t="str">
        <f>'45'!A384</f>
        <v xml:space="preserve"> </v>
      </c>
      <c r="L93" s="213" t="str">
        <f>'45'!A394</f>
        <v xml:space="preserve"> </v>
      </c>
      <c r="M93" s="213" t="str">
        <f>'45'!A404</f>
        <v xml:space="preserve"> </v>
      </c>
      <c r="N93" s="179"/>
    </row>
    <row r="94" spans="2:14" x14ac:dyDescent="0.2">
      <c r="B94" s="244"/>
      <c r="C94" s="40" t="s">
        <v>343</v>
      </c>
      <c r="D94" s="40"/>
      <c r="E94" s="40"/>
      <c r="F94" s="213" t="str">
        <f>'45'!A335</f>
        <v xml:space="preserve"> </v>
      </c>
      <c r="G94" s="213" t="str">
        <f>'45'!A345</f>
        <v xml:space="preserve"> </v>
      </c>
      <c r="H94" s="213" t="str">
        <f>'45'!A355</f>
        <v xml:space="preserve"> </v>
      </c>
      <c r="I94" s="213" t="str">
        <f>'45'!A365</f>
        <v xml:space="preserve"> </v>
      </c>
      <c r="J94" s="213" t="str">
        <f>'45'!A375</f>
        <v xml:space="preserve"> </v>
      </c>
      <c r="K94" s="213" t="str">
        <f>'45'!A385</f>
        <v xml:space="preserve"> </v>
      </c>
      <c r="L94" s="213" t="str">
        <f>'45'!A395</f>
        <v xml:space="preserve"> </v>
      </c>
      <c r="M94" s="213" t="str">
        <f>'45'!A405</f>
        <v xml:space="preserve"> </v>
      </c>
      <c r="N94" s="179"/>
    </row>
    <row r="95" spans="2:14" x14ac:dyDescent="0.2">
      <c r="B95" s="244"/>
      <c r="C95" s="40"/>
      <c r="D95" s="182" t="s">
        <v>23</v>
      </c>
      <c r="E95" s="40"/>
      <c r="F95" s="213" t="str">
        <f>'45'!A336</f>
        <v xml:space="preserve"> </v>
      </c>
      <c r="G95" s="213" t="str">
        <f>'45'!A346</f>
        <v xml:space="preserve"> </v>
      </c>
      <c r="H95" s="213" t="str">
        <f>'45'!A356</f>
        <v xml:space="preserve"> </v>
      </c>
      <c r="I95" s="213" t="str">
        <f>'45'!A366</f>
        <v xml:space="preserve"> </v>
      </c>
      <c r="J95" s="213" t="str">
        <f>'45'!A376</f>
        <v xml:space="preserve"> </v>
      </c>
      <c r="K95" s="213" t="str">
        <f>'45'!A386</f>
        <v xml:space="preserve"> </v>
      </c>
      <c r="L95" s="213" t="str">
        <f>'45'!A396</f>
        <v xml:space="preserve"> </v>
      </c>
      <c r="M95" s="213" t="str">
        <f>'45'!A406</f>
        <v xml:space="preserve"> </v>
      </c>
      <c r="N95" s="179"/>
    </row>
    <row r="96" spans="2:14" x14ac:dyDescent="0.2">
      <c r="B96" s="244"/>
      <c r="C96" s="40"/>
      <c r="D96" s="224" t="s">
        <v>25</v>
      </c>
      <c r="E96" s="40"/>
      <c r="F96" s="213" t="str">
        <f>'45'!A337</f>
        <v xml:space="preserve"> </v>
      </c>
      <c r="G96" s="213" t="str">
        <f>'45'!A347</f>
        <v xml:space="preserve"> </v>
      </c>
      <c r="H96" s="213" t="str">
        <f>'45'!A357</f>
        <v xml:space="preserve"> </v>
      </c>
      <c r="I96" s="213" t="str">
        <f>'45'!A367</f>
        <v xml:space="preserve"> </v>
      </c>
      <c r="J96" s="213" t="str">
        <f>'45'!A377</f>
        <v xml:space="preserve"> </v>
      </c>
      <c r="K96" s="213" t="str">
        <f>'45'!A387</f>
        <v xml:space="preserve"> </v>
      </c>
      <c r="L96" s="213" t="str">
        <f>'45'!A397</f>
        <v xml:space="preserve"> </v>
      </c>
      <c r="M96" s="213" t="str">
        <f>'45'!A407</f>
        <v xml:space="preserve"> </v>
      </c>
      <c r="N96" s="179"/>
    </row>
    <row r="97" spans="2:14" x14ac:dyDescent="0.2">
      <c r="B97" s="244"/>
      <c r="C97" s="40" t="s">
        <v>344</v>
      </c>
      <c r="D97" s="40"/>
      <c r="E97" s="40"/>
      <c r="F97" s="213" t="str">
        <f>'45'!A338</f>
        <v xml:space="preserve"> </v>
      </c>
      <c r="G97" s="213" t="str">
        <f>'45'!A348</f>
        <v xml:space="preserve"> </v>
      </c>
      <c r="H97" s="213" t="str">
        <f>'45'!A358</f>
        <v xml:space="preserve"> </v>
      </c>
      <c r="I97" s="213" t="str">
        <f>'45'!A368</f>
        <v xml:space="preserve"> </v>
      </c>
      <c r="J97" s="213" t="str">
        <f>'45'!A378</f>
        <v xml:space="preserve"> </v>
      </c>
      <c r="K97" s="213" t="str">
        <f>'45'!A388</f>
        <v xml:space="preserve"> </v>
      </c>
      <c r="L97" s="213" t="str">
        <f>'45'!A398</f>
        <v xml:space="preserve"> </v>
      </c>
      <c r="M97" s="213" t="str">
        <f>'45'!A408</f>
        <v xml:space="preserve"> </v>
      </c>
      <c r="N97" s="179"/>
    </row>
    <row r="98" spans="2:14" x14ac:dyDescent="0.2">
      <c r="B98" s="244"/>
      <c r="C98" s="40"/>
      <c r="D98" s="182" t="s">
        <v>23</v>
      </c>
      <c r="E98" s="40"/>
      <c r="F98" s="213" t="str">
        <f>'45'!A339</f>
        <v xml:space="preserve"> </v>
      </c>
      <c r="G98" s="213" t="str">
        <f>'45'!A349</f>
        <v xml:space="preserve"> </v>
      </c>
      <c r="H98" s="213" t="str">
        <f>'45'!A359</f>
        <v xml:space="preserve"> </v>
      </c>
      <c r="I98" s="213" t="str">
        <f>'45'!A369</f>
        <v xml:space="preserve"> </v>
      </c>
      <c r="J98" s="213" t="str">
        <f>'45'!A379</f>
        <v xml:space="preserve"> </v>
      </c>
      <c r="K98" s="213" t="str">
        <f>'45'!A389</f>
        <v xml:space="preserve"> </v>
      </c>
      <c r="L98" s="213" t="str">
        <f>'45'!A399</f>
        <v xml:space="preserve"> </v>
      </c>
      <c r="M98" s="213" t="str">
        <f>'45'!A409</f>
        <v xml:space="preserve"> </v>
      </c>
      <c r="N98" s="179"/>
    </row>
    <row r="99" spans="2:14" x14ac:dyDescent="0.2">
      <c r="B99" s="244"/>
      <c r="C99" s="40"/>
      <c r="D99" s="182" t="s">
        <v>24</v>
      </c>
      <c r="E99" s="40"/>
      <c r="F99" s="213" t="str">
        <f>'45'!A340</f>
        <v xml:space="preserve"> </v>
      </c>
      <c r="G99" s="213" t="str">
        <f>'45'!A350</f>
        <v xml:space="preserve"> </v>
      </c>
      <c r="H99" s="213" t="str">
        <f>'45'!A360</f>
        <v xml:space="preserve"> </v>
      </c>
      <c r="I99" s="213" t="str">
        <f>'45'!A370</f>
        <v xml:space="preserve"> </v>
      </c>
      <c r="J99" s="213" t="str">
        <f>'45'!A380</f>
        <v xml:space="preserve"> </v>
      </c>
      <c r="K99" s="213" t="str">
        <f>'45'!A390</f>
        <v xml:space="preserve"> </v>
      </c>
      <c r="L99" s="213" t="str">
        <f>'45'!A400</f>
        <v xml:space="preserve"> </v>
      </c>
      <c r="M99" s="213" t="str">
        <f>'45'!A410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'45'!A420</f>
        <v xml:space="preserve"> </v>
      </c>
      <c r="L102" s="40"/>
      <c r="M102" s="40"/>
      <c r="N102" s="179"/>
    </row>
    <row r="103" spans="2:14" ht="12" x14ac:dyDescent="0.25">
      <c r="B103" s="244"/>
      <c r="C103" s="40"/>
      <c r="D103" s="40" t="s">
        <v>346</v>
      </c>
      <c r="E103" s="40"/>
      <c r="F103" s="309">
        <f>'45'!A421</f>
        <v>1</v>
      </c>
      <c r="G103" s="309">
        <f>'45'!A428</f>
        <v>2</v>
      </c>
      <c r="H103" s="309">
        <f>'45'!A435</f>
        <v>3</v>
      </c>
      <c r="I103" s="309">
        <f>'45'!A442</f>
        <v>4</v>
      </c>
      <c r="J103" s="309">
        <f>'45'!A449</f>
        <v>5</v>
      </c>
      <c r="K103" s="309">
        <f>'45'!A456</f>
        <v>6</v>
      </c>
      <c r="L103" s="309">
        <f>'45'!A463</f>
        <v>7</v>
      </c>
      <c r="M103" s="309">
        <f>'45'!A470</f>
        <v>8</v>
      </c>
      <c r="N103" s="179"/>
    </row>
    <row r="104" spans="2:14" x14ac:dyDescent="0.2">
      <c r="B104" s="244"/>
      <c r="C104" s="40" t="s">
        <v>347</v>
      </c>
      <c r="D104" s="40"/>
      <c r="E104" s="40"/>
      <c r="F104" s="310">
        <f>'45'!A422</f>
        <v>60000</v>
      </c>
      <c r="G104" s="310">
        <f>'45'!A429</f>
        <v>60000</v>
      </c>
      <c r="H104" s="310">
        <f>'45'!A436</f>
        <v>60000</v>
      </c>
      <c r="I104" s="310">
        <f>'45'!A443</f>
        <v>60000</v>
      </c>
      <c r="J104" s="310">
        <f>'45'!A450</f>
        <v>60000</v>
      </c>
      <c r="K104" s="310">
        <f>'45'!A457</f>
        <v>60000</v>
      </c>
      <c r="L104" s="310">
        <f>'45'!A464</f>
        <v>60000</v>
      </c>
      <c r="M104" s="310">
        <f>'45'!A471</f>
        <v>60000</v>
      </c>
      <c r="N104" s="179"/>
    </row>
    <row r="105" spans="2:14" x14ac:dyDescent="0.2">
      <c r="B105" s="244"/>
      <c r="C105" s="40" t="s">
        <v>348</v>
      </c>
      <c r="D105" s="40"/>
      <c r="E105" s="40"/>
      <c r="F105" s="310">
        <f>'45'!A423</f>
        <v>55000</v>
      </c>
      <c r="G105" s="310">
        <f>'45'!A430</f>
        <v>55000</v>
      </c>
      <c r="H105" s="310">
        <f>'45'!A437</f>
        <v>55000</v>
      </c>
      <c r="I105" s="310">
        <f>'45'!A444</f>
        <v>55000</v>
      </c>
      <c r="J105" s="310">
        <f>'45'!A451</f>
        <v>55000</v>
      </c>
      <c r="K105" s="310">
        <f>'45'!A458</f>
        <v>55000</v>
      </c>
      <c r="L105" s="310">
        <f>'45'!A465</f>
        <v>55000</v>
      </c>
      <c r="M105" s="310">
        <f>'45'!A472</f>
        <v>55000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'45'!A424</f>
        <v xml:space="preserve">   **</v>
      </c>
      <c r="G107" s="323" t="str">
        <f>'45'!A431</f>
        <v xml:space="preserve">   **</v>
      </c>
      <c r="H107" s="323" t="str">
        <f>'45'!A438</f>
        <v xml:space="preserve">   **</v>
      </c>
      <c r="I107" s="323" t="str">
        <f>'45'!A445</f>
        <v xml:space="preserve">   **</v>
      </c>
      <c r="J107" s="323" t="str">
        <f>'45'!A452</f>
        <v xml:space="preserve">   **</v>
      </c>
      <c r="K107" s="323" t="str">
        <f>'45'!A459</f>
        <v xml:space="preserve">   **</v>
      </c>
      <c r="L107" s="323" t="str">
        <f>'45'!A466</f>
        <v xml:space="preserve">   **</v>
      </c>
      <c r="M107" s="323" t="str">
        <f>'45'!A473</f>
        <v xml:space="preserve">   **</v>
      </c>
      <c r="N107" s="179"/>
    </row>
    <row r="108" spans="2:14" x14ac:dyDescent="0.2">
      <c r="B108" s="244"/>
      <c r="C108" s="40" t="s">
        <v>351</v>
      </c>
      <c r="D108" s="40"/>
      <c r="E108" s="40"/>
      <c r="F108" s="323" t="str">
        <f>'45'!A425</f>
        <v xml:space="preserve">   **</v>
      </c>
      <c r="G108" s="323" t="str">
        <f>'45'!A432</f>
        <v xml:space="preserve">   **</v>
      </c>
      <c r="H108" s="323" t="str">
        <f>'45'!A439</f>
        <v xml:space="preserve">   **</v>
      </c>
      <c r="I108" s="323" t="str">
        <f>'45'!A446</f>
        <v xml:space="preserve">   **</v>
      </c>
      <c r="J108" s="323" t="str">
        <f>'45'!A453</f>
        <v xml:space="preserve">   **</v>
      </c>
      <c r="K108" s="323" t="str">
        <f>'45'!A460</f>
        <v xml:space="preserve">   **</v>
      </c>
      <c r="L108" s="323" t="str">
        <f>'45'!A467</f>
        <v xml:space="preserve">   **</v>
      </c>
      <c r="M108" s="323" t="str">
        <f>'45'!A474</f>
        <v xml:space="preserve">   **</v>
      </c>
      <c r="N108" s="179"/>
    </row>
    <row r="109" spans="2:14" x14ac:dyDescent="0.2">
      <c r="B109" s="244"/>
      <c r="C109" s="40" t="s">
        <v>352</v>
      </c>
      <c r="D109" s="40"/>
      <c r="E109" s="40"/>
      <c r="F109" s="323" t="str">
        <f>'45'!A426</f>
        <v xml:space="preserve">   **</v>
      </c>
      <c r="G109" s="323" t="str">
        <f>'45'!A433</f>
        <v xml:space="preserve">   **</v>
      </c>
      <c r="H109" s="323" t="str">
        <f>'45'!A440</f>
        <v xml:space="preserve">   **</v>
      </c>
      <c r="I109" s="323" t="str">
        <f>'45'!A447</f>
        <v xml:space="preserve">   **</v>
      </c>
      <c r="J109" s="323" t="str">
        <f>'45'!A454</f>
        <v xml:space="preserve">   **</v>
      </c>
      <c r="K109" s="323" t="str">
        <f>'45'!A461</f>
        <v xml:space="preserve">   **</v>
      </c>
      <c r="L109" s="323" t="str">
        <f>'45'!A468</f>
        <v xml:space="preserve">   **</v>
      </c>
      <c r="M109" s="323" t="str">
        <f>'45'!A475</f>
        <v xml:space="preserve">   **</v>
      </c>
      <c r="N109" s="179"/>
    </row>
    <row r="110" spans="2:14" x14ac:dyDescent="0.2">
      <c r="B110" s="244"/>
      <c r="C110" s="40" t="s">
        <v>353</v>
      </c>
      <c r="D110" s="40"/>
      <c r="E110" s="40"/>
      <c r="F110" s="323" t="str">
        <f>'45'!A427</f>
        <v xml:space="preserve">    *</v>
      </c>
      <c r="G110" s="323" t="str">
        <f>'45'!A434</f>
        <v xml:space="preserve">    *</v>
      </c>
      <c r="H110" s="323" t="str">
        <f>'45'!A441</f>
        <v xml:space="preserve">    *</v>
      </c>
      <c r="I110" s="323" t="str">
        <f>'45'!A448</f>
        <v xml:space="preserve">    *</v>
      </c>
      <c r="J110" s="323" t="str">
        <f>'45'!A455</f>
        <v xml:space="preserve">    *</v>
      </c>
      <c r="K110" s="323" t="str">
        <f>'45'!A462</f>
        <v xml:space="preserve">    *</v>
      </c>
      <c r="L110" s="323" t="str">
        <f>'45'!A469</f>
        <v xml:space="preserve">    *</v>
      </c>
      <c r="M110" s="323" t="str">
        <f>'45'!A476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9">
    <tabColor theme="8" tint="-0.249977111117893"/>
    <pageSetUpPr fitToPage="1"/>
  </sheetPr>
  <dimension ref="A1:I861"/>
  <sheetViews>
    <sheetView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2017</v>
      </c>
    </row>
    <row r="5" spans="1:1" x14ac:dyDescent="0.2">
      <c r="A5" s="175">
        <v>1</v>
      </c>
    </row>
    <row r="6" spans="1:1" x14ac:dyDescent="0.2">
      <c r="A6" s="175" t="s">
        <v>682</v>
      </c>
    </row>
    <row r="7" spans="1:1" x14ac:dyDescent="0.2">
      <c r="A7" s="175">
        <v>10</v>
      </c>
    </row>
    <row r="8" spans="1:1" x14ac:dyDescent="0.2">
      <c r="A8" s="175">
        <v>5</v>
      </c>
    </row>
    <row r="9" spans="1:1" x14ac:dyDescent="0.2">
      <c r="A9" s="175">
        <v>10</v>
      </c>
    </row>
    <row r="10" spans="1:1" x14ac:dyDescent="0.2">
      <c r="A10" s="175">
        <v>0</v>
      </c>
    </row>
    <row r="11" spans="1:1" x14ac:dyDescent="0.2">
      <c r="A11" s="175">
        <v>5</v>
      </c>
    </row>
    <row r="12" spans="1:1" x14ac:dyDescent="0.2">
      <c r="A12" s="175">
        <v>5</v>
      </c>
    </row>
    <row r="13" spans="1:1" x14ac:dyDescent="0.2">
      <c r="A13" s="175">
        <v>0</v>
      </c>
    </row>
    <row r="14" spans="1:1" x14ac:dyDescent="0.2">
      <c r="A14" s="175">
        <v>5</v>
      </c>
    </row>
    <row r="15" spans="1:1" x14ac:dyDescent="0.2">
      <c r="A15" s="175">
        <v>5</v>
      </c>
    </row>
    <row r="16" spans="1:1" x14ac:dyDescent="0.2">
      <c r="A16" s="175">
        <v>0</v>
      </c>
    </row>
    <row r="17" spans="1:1" x14ac:dyDescent="0.2">
      <c r="A17" s="175">
        <v>10</v>
      </c>
    </row>
    <row r="18" spans="1:1" x14ac:dyDescent="0.2">
      <c r="A18" s="175">
        <v>5</v>
      </c>
    </row>
    <row r="19" spans="1:1" x14ac:dyDescent="0.2">
      <c r="A19" s="175">
        <v>0</v>
      </c>
    </row>
    <row r="20" spans="1:1" x14ac:dyDescent="0.2">
      <c r="A20" s="175">
        <v>0</v>
      </c>
    </row>
    <row r="21" spans="1:1" x14ac:dyDescent="0.2">
      <c r="A21" s="175">
        <v>300</v>
      </c>
    </row>
    <row r="22" spans="1:1" x14ac:dyDescent="0.2">
      <c r="A22" s="175">
        <v>290</v>
      </c>
    </row>
    <row r="23" spans="1:1" x14ac:dyDescent="0.2">
      <c r="A23" s="175">
        <v>0</v>
      </c>
    </row>
    <row r="24" spans="1:1" x14ac:dyDescent="0.2">
      <c r="A24" s="175">
        <v>450</v>
      </c>
    </row>
    <row r="25" spans="1:1" x14ac:dyDescent="0.2">
      <c r="A25" s="175">
        <v>440</v>
      </c>
    </row>
    <row r="26" spans="1:1" x14ac:dyDescent="0.2">
      <c r="A26" s="175">
        <v>0</v>
      </c>
    </row>
    <row r="27" spans="1:1" x14ac:dyDescent="0.2">
      <c r="A27" s="175">
        <v>690</v>
      </c>
    </row>
    <row r="28" spans="1:1" x14ac:dyDescent="0.2">
      <c r="A28" s="175">
        <v>680</v>
      </c>
    </row>
    <row r="29" spans="1:1" x14ac:dyDescent="0.2">
      <c r="A29" s="175">
        <v>0</v>
      </c>
    </row>
    <row r="30" spans="1:1" x14ac:dyDescent="0.2">
      <c r="A30" s="175">
        <v>0</v>
      </c>
    </row>
    <row r="31" spans="1:1" x14ac:dyDescent="0.2">
      <c r="A31" s="175">
        <v>1250</v>
      </c>
    </row>
    <row r="32" spans="1:1" x14ac:dyDescent="0.2">
      <c r="A32" s="175">
        <v>200</v>
      </c>
    </row>
    <row r="33" spans="1:2" x14ac:dyDescent="0.2">
      <c r="A33" s="175">
        <v>0</v>
      </c>
    </row>
    <row r="34" spans="1:2" x14ac:dyDescent="0.2">
      <c r="A34" s="175">
        <v>700</v>
      </c>
    </row>
    <row r="35" spans="1:2" x14ac:dyDescent="0.2">
      <c r="A35" s="175">
        <v>150</v>
      </c>
    </row>
    <row r="36" spans="1:2" x14ac:dyDescent="0.2">
      <c r="A36" s="175">
        <v>0</v>
      </c>
    </row>
    <row r="37" spans="1:2" x14ac:dyDescent="0.2">
      <c r="A37" s="175">
        <v>450</v>
      </c>
      <c r="B37" s="175" t="s">
        <v>27</v>
      </c>
    </row>
    <row r="38" spans="1:2" x14ac:dyDescent="0.2">
      <c r="A38" s="175">
        <v>75</v>
      </c>
      <c r="B38" s="175" t="s">
        <v>27</v>
      </c>
    </row>
    <row r="39" spans="1:2" x14ac:dyDescent="0.2">
      <c r="A39" s="175">
        <v>0</v>
      </c>
    </row>
    <row r="40" spans="1:2" x14ac:dyDescent="0.2">
      <c r="A40" s="175">
        <v>0</v>
      </c>
    </row>
    <row r="41" spans="1:2" x14ac:dyDescent="0.2">
      <c r="A41" s="175">
        <v>0</v>
      </c>
    </row>
    <row r="42" spans="1:2" x14ac:dyDescent="0.2">
      <c r="A42" s="175">
        <v>0</v>
      </c>
    </row>
    <row r="43" spans="1:2" x14ac:dyDescent="0.2">
      <c r="A43" s="175">
        <v>0</v>
      </c>
    </row>
    <row r="44" spans="1:2" x14ac:dyDescent="0.2">
      <c r="A44" s="175">
        <v>25</v>
      </c>
    </row>
    <row r="45" spans="1:2" x14ac:dyDescent="0.2">
      <c r="A45" s="175">
        <v>15</v>
      </c>
    </row>
    <row r="46" spans="1:2" x14ac:dyDescent="0.2">
      <c r="A46" s="175">
        <v>15</v>
      </c>
    </row>
    <row r="47" spans="1:2" x14ac:dyDescent="0.2">
      <c r="A47" s="175">
        <v>115</v>
      </c>
    </row>
    <row r="48" spans="1:2"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4</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1" x14ac:dyDescent="0.2">
      <c r="A65" s="175">
        <v>8</v>
      </c>
    </row>
    <row r="66" spans="1:1" x14ac:dyDescent="0.2">
      <c r="A66" s="175">
        <v>6</v>
      </c>
    </row>
    <row r="67" spans="1:1" x14ac:dyDescent="0.2">
      <c r="A67" s="175">
        <v>0</v>
      </c>
    </row>
    <row r="68" spans="1:1" x14ac:dyDescent="0.2">
      <c r="A68" s="175">
        <v>9</v>
      </c>
    </row>
    <row r="69" spans="1:1" x14ac:dyDescent="0.2">
      <c r="A69" s="175">
        <v>5</v>
      </c>
    </row>
    <row r="70" spans="1:1" x14ac:dyDescent="0.2">
      <c r="A70" s="175">
        <v>0</v>
      </c>
    </row>
    <row r="71" spans="1:1" x14ac:dyDescent="0.2">
      <c r="A71" s="175">
        <v>0</v>
      </c>
    </row>
    <row r="72" spans="1:1" x14ac:dyDescent="0.2">
      <c r="A72" s="175">
        <v>0</v>
      </c>
    </row>
    <row r="73" spans="1:1" x14ac:dyDescent="0.2">
      <c r="A73" s="175">
        <v>0</v>
      </c>
    </row>
    <row r="74" spans="1:1" x14ac:dyDescent="0.2">
      <c r="A74" s="175">
        <v>0</v>
      </c>
    </row>
    <row r="75" spans="1:1" x14ac:dyDescent="0.2">
      <c r="A75" s="175">
        <v>20</v>
      </c>
    </row>
    <row r="76" spans="1:1" x14ac:dyDescent="0.2">
      <c r="A76" s="175">
        <v>2</v>
      </c>
    </row>
    <row r="77" spans="1:1" x14ac:dyDescent="0.2">
      <c r="A77" s="175">
        <v>5</v>
      </c>
    </row>
    <row r="78" spans="1:1" x14ac:dyDescent="0.2">
      <c r="A78" s="175">
        <v>15</v>
      </c>
    </row>
    <row r="79" spans="1:1" x14ac:dyDescent="0.2">
      <c r="A79" s="175">
        <v>0</v>
      </c>
    </row>
    <row r="80" spans="1:1" x14ac:dyDescent="0.2">
      <c r="A80" s="175">
        <v>0</v>
      </c>
    </row>
    <row r="81" spans="1:1" x14ac:dyDescent="0.2">
      <c r="A81" s="175">
        <v>0</v>
      </c>
    </row>
    <row r="82" spans="1:1" x14ac:dyDescent="0.2">
      <c r="A82" s="175">
        <v>1</v>
      </c>
    </row>
    <row r="83" spans="1:1" x14ac:dyDescent="0.2">
      <c r="A83" s="175">
        <v>1200</v>
      </c>
    </row>
    <row r="84" spans="1:1" x14ac:dyDescent="0.2">
      <c r="A84" s="175">
        <v>0</v>
      </c>
    </row>
    <row r="85" spans="1:1" x14ac:dyDescent="0.2">
      <c r="A85" s="175">
        <v>65</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-250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92</v>
      </c>
    </row>
    <row r="103" spans="1:1" x14ac:dyDescent="0.2">
      <c r="A103" s="175">
        <v>92</v>
      </c>
    </row>
    <row r="104" spans="1:1" x14ac:dyDescent="0.2">
      <c r="A104" s="175">
        <v>92</v>
      </c>
    </row>
    <row r="105" spans="1:1" x14ac:dyDescent="0.2">
      <c r="A105" s="175" t="s">
        <v>675</v>
      </c>
    </row>
    <row r="106" spans="1:1" x14ac:dyDescent="0.2">
      <c r="A106" s="175" t="s">
        <v>607</v>
      </c>
    </row>
    <row r="107" spans="1:1" x14ac:dyDescent="0.2">
      <c r="A107" s="175" t="s">
        <v>607</v>
      </c>
    </row>
    <row r="108" spans="1:1" x14ac:dyDescent="0.2">
      <c r="A108" s="175">
        <v>1450</v>
      </c>
    </row>
    <row r="109" spans="1:1" x14ac:dyDescent="0.2">
      <c r="A109" s="175">
        <v>850</v>
      </c>
    </row>
    <row r="110" spans="1:1" x14ac:dyDescent="0.2">
      <c r="A110" s="175">
        <v>464</v>
      </c>
    </row>
    <row r="111" spans="1:1" x14ac:dyDescent="0.2">
      <c r="A111" s="175">
        <v>1491</v>
      </c>
    </row>
    <row r="112" spans="1:1" x14ac:dyDescent="0.2">
      <c r="A112" s="175">
        <v>875</v>
      </c>
    </row>
    <row r="113" spans="1:2" x14ac:dyDescent="0.2">
      <c r="A113" s="175">
        <v>541</v>
      </c>
    </row>
    <row r="114" spans="1:2" x14ac:dyDescent="0.2">
      <c r="A114" s="175">
        <v>41</v>
      </c>
    </row>
    <row r="115" spans="1:2" x14ac:dyDescent="0.2">
      <c r="A115" s="175">
        <v>25</v>
      </c>
    </row>
    <row r="116" spans="1:2" x14ac:dyDescent="0.2">
      <c r="A116" s="175">
        <v>16</v>
      </c>
    </row>
    <row r="117" spans="1:2" x14ac:dyDescent="0.2">
      <c r="A117" s="175">
        <v>0</v>
      </c>
    </row>
    <row r="118" spans="1:2" x14ac:dyDescent="0.2">
      <c r="A118" s="175">
        <v>0</v>
      </c>
    </row>
    <row r="119" spans="1:2" x14ac:dyDescent="0.2">
      <c r="A119" s="175">
        <v>61</v>
      </c>
      <c r="B119" s="175" t="s">
        <v>7</v>
      </c>
    </row>
    <row r="120" spans="1:2" x14ac:dyDescent="0.2">
      <c r="A120" s="175">
        <v>999</v>
      </c>
    </row>
    <row r="121" spans="1:2" x14ac:dyDescent="0.2">
      <c r="A121" s="175">
        <v>1250</v>
      </c>
    </row>
    <row r="122" spans="1:2" x14ac:dyDescent="0.2">
      <c r="A122" s="175">
        <v>200</v>
      </c>
    </row>
    <row r="123" spans="1:2" x14ac:dyDescent="0.2">
      <c r="A123" s="175">
        <v>0</v>
      </c>
    </row>
    <row r="124" spans="1:2" x14ac:dyDescent="0.2">
      <c r="A124" s="175">
        <v>700</v>
      </c>
    </row>
    <row r="125" spans="1:2" x14ac:dyDescent="0.2">
      <c r="A125" s="175">
        <v>150</v>
      </c>
    </row>
    <row r="126" spans="1:2" x14ac:dyDescent="0.2">
      <c r="A126" s="175">
        <v>0</v>
      </c>
    </row>
    <row r="127" spans="1:2" x14ac:dyDescent="0.2">
      <c r="A127" s="175">
        <v>397</v>
      </c>
    </row>
    <row r="128" spans="1:2" x14ac:dyDescent="0.2">
      <c r="A128" s="175">
        <v>67</v>
      </c>
    </row>
    <row r="129" spans="1:1" x14ac:dyDescent="0.2">
      <c r="A129" s="175">
        <v>0</v>
      </c>
    </row>
    <row r="130" spans="1:1" x14ac:dyDescent="0.2">
      <c r="A130" s="175">
        <v>999</v>
      </c>
    </row>
    <row r="131" spans="1:1" x14ac:dyDescent="0.2">
      <c r="A131" s="175">
        <v>1112</v>
      </c>
    </row>
    <row r="132" spans="1:1" x14ac:dyDescent="0.2">
      <c r="A132" s="175">
        <v>172</v>
      </c>
    </row>
    <row r="133" spans="1:1" x14ac:dyDescent="0.2">
      <c r="A133" s="175">
        <v>0</v>
      </c>
    </row>
    <row r="134" spans="1:1" x14ac:dyDescent="0.2">
      <c r="A134" s="175">
        <v>686</v>
      </c>
    </row>
    <row r="135" spans="1:1" x14ac:dyDescent="0.2">
      <c r="A135" s="175">
        <v>123</v>
      </c>
    </row>
    <row r="136" spans="1:1" x14ac:dyDescent="0.2">
      <c r="A136" s="175">
        <v>0</v>
      </c>
    </row>
    <row r="137" spans="1:1" x14ac:dyDescent="0.2">
      <c r="A137" s="175">
        <v>381</v>
      </c>
    </row>
    <row r="138" spans="1:1" x14ac:dyDescent="0.2">
      <c r="A138" s="175">
        <v>69</v>
      </c>
    </row>
    <row r="139" spans="1:1" x14ac:dyDescent="0.2">
      <c r="A139" s="175">
        <v>0</v>
      </c>
    </row>
    <row r="140" spans="1:1" x14ac:dyDescent="0.2">
      <c r="A140" s="175">
        <v>999</v>
      </c>
    </row>
    <row r="141" spans="1:1" x14ac:dyDescent="0.2">
      <c r="A141" s="175">
        <v>1115</v>
      </c>
    </row>
    <row r="142" spans="1:1" x14ac:dyDescent="0.2">
      <c r="A142" s="175">
        <v>172</v>
      </c>
    </row>
    <row r="143" spans="1:1" x14ac:dyDescent="0.2">
      <c r="A143" s="175">
        <v>0</v>
      </c>
    </row>
    <row r="144" spans="1:1" x14ac:dyDescent="0.2">
      <c r="A144" s="175">
        <v>686</v>
      </c>
    </row>
    <row r="145" spans="1:1" x14ac:dyDescent="0.2">
      <c r="A145" s="175">
        <v>123</v>
      </c>
    </row>
    <row r="146" spans="1:1" x14ac:dyDescent="0.2">
      <c r="A146" s="175">
        <v>0</v>
      </c>
    </row>
    <row r="147" spans="1:1" x14ac:dyDescent="0.2">
      <c r="A147" s="175">
        <v>381</v>
      </c>
    </row>
    <row r="148" spans="1:1" x14ac:dyDescent="0.2">
      <c r="A148" s="175">
        <v>67</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1</v>
      </c>
    </row>
    <row r="159" spans="1:1" x14ac:dyDescent="0.2">
      <c r="A159" s="175">
        <v>0</v>
      </c>
    </row>
    <row r="160" spans="1:1" x14ac:dyDescent="0.2">
      <c r="A160" s="175">
        <v>999</v>
      </c>
    </row>
    <row r="161" spans="1:1" x14ac:dyDescent="0.2">
      <c r="A161" s="175">
        <v>135</v>
      </c>
    </row>
    <row r="162" spans="1:1" x14ac:dyDescent="0.2">
      <c r="A162" s="175">
        <v>28</v>
      </c>
    </row>
    <row r="163" spans="1:1" x14ac:dyDescent="0.2">
      <c r="A163" s="175">
        <v>0</v>
      </c>
    </row>
    <row r="164" spans="1:1" x14ac:dyDescent="0.2">
      <c r="A164" s="175">
        <v>29</v>
      </c>
    </row>
    <row r="165" spans="1:1" x14ac:dyDescent="0.2">
      <c r="A165" s="175">
        <v>27</v>
      </c>
    </row>
    <row r="166" spans="1:1" x14ac:dyDescent="0.2">
      <c r="A166" s="175">
        <v>0</v>
      </c>
    </row>
    <row r="167" spans="1:1" x14ac:dyDescent="0.2">
      <c r="A167" s="175">
        <v>59</v>
      </c>
    </row>
    <row r="168" spans="1:1" x14ac:dyDescent="0.2">
      <c r="A168" s="175">
        <v>0</v>
      </c>
    </row>
    <row r="169" spans="1:1" x14ac:dyDescent="0.2">
      <c r="A169" s="175">
        <v>0</v>
      </c>
    </row>
    <row r="170" spans="1:1" x14ac:dyDescent="0.2">
      <c r="A170" s="175">
        <v>999</v>
      </c>
    </row>
    <row r="171" spans="1:1" x14ac:dyDescent="0.2">
      <c r="A171" s="175">
        <v>19</v>
      </c>
    </row>
    <row r="172" spans="1:1" x14ac:dyDescent="0.2">
      <c r="A172" s="175">
        <v>11</v>
      </c>
    </row>
    <row r="173" spans="1:1" x14ac:dyDescent="0.2">
      <c r="A173" s="175">
        <v>6</v>
      </c>
    </row>
    <row r="174" spans="1:1" x14ac:dyDescent="0.2">
      <c r="A174" s="175">
        <v>999</v>
      </c>
    </row>
    <row r="175" spans="1:1" x14ac:dyDescent="0.2">
      <c r="A175" s="175">
        <v>999</v>
      </c>
    </row>
    <row r="176" spans="1:1" x14ac:dyDescent="0.2">
      <c r="A176" s="175">
        <v>999</v>
      </c>
    </row>
    <row r="177" spans="1:1" x14ac:dyDescent="0.2">
      <c r="A177" s="175" t="s">
        <v>10</v>
      </c>
    </row>
    <row r="178" spans="1:1" x14ac:dyDescent="0.2">
      <c r="A178" s="175" t="s">
        <v>10</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16</v>
      </c>
    </row>
    <row r="192" spans="1:1" x14ac:dyDescent="0.2">
      <c r="A192" s="175">
        <v>31</v>
      </c>
    </row>
    <row r="193" spans="1:1" x14ac:dyDescent="0.2">
      <c r="A193" s="175">
        <v>0</v>
      </c>
    </row>
    <row r="194" spans="1:1" x14ac:dyDescent="0.2">
      <c r="A194" s="175">
        <v>1</v>
      </c>
    </row>
    <row r="195" spans="1:1" x14ac:dyDescent="0.2">
      <c r="A195" s="175">
        <v>0</v>
      </c>
    </row>
    <row r="196" spans="1:1" x14ac:dyDescent="0.2">
      <c r="A196" s="175">
        <v>0</v>
      </c>
    </row>
    <row r="197" spans="1:1" x14ac:dyDescent="0.2">
      <c r="A197" s="175">
        <v>17</v>
      </c>
    </row>
    <row r="198" spans="1:1" x14ac:dyDescent="0.2">
      <c r="A198" s="175">
        <v>31</v>
      </c>
    </row>
    <row r="199" spans="1:1" x14ac:dyDescent="0.2">
      <c r="A199" s="175">
        <v>999</v>
      </c>
    </row>
    <row r="200" spans="1:1" x14ac:dyDescent="0.2">
      <c r="A200" s="175">
        <v>999</v>
      </c>
    </row>
    <row r="201" spans="1:1" x14ac:dyDescent="0.2">
      <c r="A201" s="175">
        <v>60000</v>
      </c>
    </row>
    <row r="202" spans="1:1" x14ac:dyDescent="0.2">
      <c r="A202" s="175">
        <v>16500</v>
      </c>
    </row>
    <row r="203" spans="1:1" x14ac:dyDescent="0.2">
      <c r="A203" s="175">
        <v>7500</v>
      </c>
    </row>
    <row r="204" spans="1:1" x14ac:dyDescent="0.2">
      <c r="A204" s="175">
        <v>110335</v>
      </c>
    </row>
    <row r="205" spans="1:1" x14ac:dyDescent="0.2">
      <c r="A205" s="175">
        <v>10612</v>
      </c>
    </row>
    <row r="206" spans="1:1" x14ac:dyDescent="0.2">
      <c r="A206" s="175">
        <v>4290</v>
      </c>
    </row>
    <row r="207" spans="1:1" x14ac:dyDescent="0.2">
      <c r="A207" s="175">
        <v>55000</v>
      </c>
    </row>
    <row r="208" spans="1:1" x14ac:dyDescent="0.2">
      <c r="A208" s="175">
        <v>15000</v>
      </c>
    </row>
    <row r="209" spans="1:1" x14ac:dyDescent="0.2">
      <c r="A209" s="175">
        <v>9500</v>
      </c>
    </row>
    <row r="210" spans="1:1" x14ac:dyDescent="0.2">
      <c r="A210" s="175">
        <v>6800</v>
      </c>
    </row>
    <row r="211" spans="1:1" x14ac:dyDescent="0.2">
      <c r="A211" s="175">
        <v>8078</v>
      </c>
    </row>
    <row r="212" spans="1:1" x14ac:dyDescent="0.2">
      <c r="A212" s="175">
        <v>7500</v>
      </c>
    </row>
    <row r="213" spans="1:1" x14ac:dyDescent="0.2">
      <c r="A213" s="175">
        <v>2544</v>
      </c>
    </row>
    <row r="214" spans="1:1" x14ac:dyDescent="0.2">
      <c r="A214" s="175">
        <v>9460</v>
      </c>
    </row>
    <row r="215" spans="1:1" x14ac:dyDescent="0.2">
      <c r="A215" s="175">
        <v>65000</v>
      </c>
    </row>
    <row r="216" spans="1:1" x14ac:dyDescent="0.2">
      <c r="A216" s="175">
        <v>10833</v>
      </c>
    </row>
    <row r="217" spans="1:1" x14ac:dyDescent="0.2">
      <c r="A217" s="175">
        <v>398952</v>
      </c>
    </row>
    <row r="218" spans="1:1" x14ac:dyDescent="0.2">
      <c r="A218" s="175">
        <v>954617</v>
      </c>
    </row>
    <row r="219" spans="1:1" x14ac:dyDescent="0.2">
      <c r="A219" s="175">
        <v>22340</v>
      </c>
    </row>
    <row r="220" spans="1:1" x14ac:dyDescent="0.2">
      <c r="A220" s="175">
        <v>1576</v>
      </c>
    </row>
    <row r="221" spans="1:1" x14ac:dyDescent="0.2">
      <c r="A221" s="175">
        <v>954617</v>
      </c>
    </row>
    <row r="222" spans="1:1" x14ac:dyDescent="0.2">
      <c r="A222" s="175">
        <v>20764</v>
      </c>
    </row>
    <row r="223" spans="1:1" x14ac:dyDescent="0.2">
      <c r="A223" s="175">
        <v>994186</v>
      </c>
    </row>
    <row r="224" spans="1:1" x14ac:dyDescent="0.2">
      <c r="A224" s="175">
        <v>0</v>
      </c>
    </row>
    <row r="225" spans="1:1" x14ac:dyDescent="0.2">
      <c r="A225" s="175">
        <v>1725</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-17080</v>
      </c>
    </row>
    <row r="234" spans="1:1" x14ac:dyDescent="0.2">
      <c r="A234" s="175">
        <v>1651545</v>
      </c>
    </row>
    <row r="235" spans="1:1" x14ac:dyDescent="0.2">
      <c r="A235" s="175">
        <v>999</v>
      </c>
    </row>
    <row r="236" spans="1:1" x14ac:dyDescent="0.2">
      <c r="A236" s="175">
        <v>999</v>
      </c>
    </row>
    <row r="237" spans="1:1" x14ac:dyDescent="0.2">
      <c r="A237" s="175">
        <v>999</v>
      </c>
    </row>
    <row r="238" spans="1:1" x14ac:dyDescent="0.2">
      <c r="A238" s="175">
        <v>660000</v>
      </c>
    </row>
    <row r="239" spans="1:1" x14ac:dyDescent="0.2">
      <c r="A239" s="175">
        <v>1329000</v>
      </c>
    </row>
    <row r="240" spans="1:1" x14ac:dyDescent="0.2">
      <c r="A240" s="175">
        <v>-295740</v>
      </c>
    </row>
    <row r="241" spans="1:1" x14ac:dyDescent="0.2">
      <c r="A241" s="175">
        <v>1061210</v>
      </c>
    </row>
    <row r="242" spans="1:1" x14ac:dyDescent="0.2">
      <c r="A242" s="175">
        <v>150328</v>
      </c>
    </row>
    <row r="243" spans="1:1" x14ac:dyDescent="0.2">
      <c r="A243" s="175">
        <v>0</v>
      </c>
    </row>
    <row r="244" spans="1:1" x14ac:dyDescent="0.2">
      <c r="A244" s="175">
        <v>263424</v>
      </c>
    </row>
    <row r="245" spans="1:1" x14ac:dyDescent="0.2">
      <c r="A245" s="175">
        <v>72161</v>
      </c>
    </row>
    <row r="246" spans="1:1" x14ac:dyDescent="0.2">
      <c r="A246" s="175">
        <v>173004</v>
      </c>
    </row>
    <row r="247" spans="1:1" x14ac:dyDescent="0.2">
      <c r="A247" s="175">
        <v>107928</v>
      </c>
    </row>
    <row r="248" spans="1:1" x14ac:dyDescent="0.2">
      <c r="A248" s="175">
        <v>2907</v>
      </c>
    </row>
    <row r="249" spans="1:1" x14ac:dyDescent="0.2">
      <c r="A249" s="175">
        <v>42000</v>
      </c>
    </row>
    <row r="250" spans="1:1" x14ac:dyDescent="0.2">
      <c r="A250" s="175">
        <v>143405</v>
      </c>
    </row>
    <row r="251" spans="1:1" x14ac:dyDescent="0.2">
      <c r="A251" s="175">
        <v>668347</v>
      </c>
    </row>
    <row r="252" spans="1:1" x14ac:dyDescent="0.2">
      <c r="A252" s="175">
        <v>392863</v>
      </c>
    </row>
    <row r="253" spans="1:1" x14ac:dyDescent="0.2">
      <c r="A253" s="175">
        <v>0</v>
      </c>
    </row>
    <row r="254" spans="1:1" x14ac:dyDescent="0.2">
      <c r="A254" s="175">
        <v>28164</v>
      </c>
    </row>
    <row r="255" spans="1:1" x14ac:dyDescent="0.2">
      <c r="A255" s="175">
        <v>0</v>
      </c>
    </row>
    <row r="256" spans="1:1" x14ac:dyDescent="0.2">
      <c r="A256" s="175">
        <v>-11764</v>
      </c>
    </row>
    <row r="257" spans="1:1" x14ac:dyDescent="0.2">
      <c r="A257" s="175">
        <v>-307504</v>
      </c>
    </row>
    <row r="258" spans="1:1" x14ac:dyDescent="0.2">
      <c r="A258" s="175">
        <v>999</v>
      </c>
    </row>
    <row r="259" spans="1:1" x14ac:dyDescent="0.2">
      <c r="A259" s="175">
        <v>999</v>
      </c>
    </row>
    <row r="260" spans="1:1" x14ac:dyDescent="0.2">
      <c r="A260" s="175">
        <v>-295740</v>
      </c>
    </row>
    <row r="261" spans="1:1" x14ac:dyDescent="0.2">
      <c r="A261" s="175">
        <v>50000</v>
      </c>
    </row>
    <row r="262" spans="1:1" x14ac:dyDescent="0.2">
      <c r="A262" s="175">
        <v>250000</v>
      </c>
    </row>
    <row r="263" spans="1:1" x14ac:dyDescent="0.2">
      <c r="A263" s="175">
        <v>1098328</v>
      </c>
    </row>
    <row r="264" spans="1:1" x14ac:dyDescent="0.2">
      <c r="A264" s="175">
        <v>0</v>
      </c>
    </row>
    <row r="265" spans="1:1" x14ac:dyDescent="0.2">
      <c r="A265" s="175">
        <v>56056</v>
      </c>
    </row>
    <row r="266" spans="1:1" x14ac:dyDescent="0.2">
      <c r="A266" s="175">
        <v>0</v>
      </c>
    </row>
    <row r="267" spans="1:1" x14ac:dyDescent="0.2">
      <c r="A267" s="175">
        <v>87349</v>
      </c>
    </row>
    <row r="268" spans="1:1" x14ac:dyDescent="0.2">
      <c r="A268" s="175">
        <v>784178</v>
      </c>
    </row>
    <row r="269" spans="1:1" x14ac:dyDescent="0.2">
      <c r="A269" s="175">
        <v>1634465</v>
      </c>
    </row>
    <row r="270" spans="1:1" x14ac:dyDescent="0.2">
      <c r="A270" s="175">
        <v>1150000</v>
      </c>
    </row>
    <row r="271" spans="1:1" x14ac:dyDescent="0.2">
      <c r="A271" s="175">
        <v>0</v>
      </c>
    </row>
    <row r="272" spans="1:1" x14ac:dyDescent="0.2">
      <c r="A272" s="175">
        <v>267880</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3692496</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170</v>
      </c>
    </row>
    <row r="287" spans="1:1" x14ac:dyDescent="0.2">
      <c r="A287" s="175">
        <v>8</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9</v>
      </c>
    </row>
    <row r="297" spans="1:1" x14ac:dyDescent="0.2">
      <c r="A297" s="175">
        <v>500</v>
      </c>
    </row>
    <row r="298" spans="1:1" x14ac:dyDescent="0.2">
      <c r="A298" s="175">
        <v>2</v>
      </c>
    </row>
    <row r="299" spans="1:1" x14ac:dyDescent="0.2">
      <c r="A299" s="175">
        <v>0</v>
      </c>
    </row>
    <row r="300" spans="1:1" x14ac:dyDescent="0.2">
      <c r="A300" s="175">
        <v>0</v>
      </c>
    </row>
    <row r="301" spans="1:1" x14ac:dyDescent="0.2">
      <c r="A301" s="175">
        <v>4272</v>
      </c>
    </row>
    <row r="302" spans="1:1" x14ac:dyDescent="0.2">
      <c r="A302" s="175">
        <v>51</v>
      </c>
    </row>
    <row r="303" spans="1:1" x14ac:dyDescent="0.2">
      <c r="A303" s="175">
        <v>3792</v>
      </c>
    </row>
    <row r="304" spans="1:1" x14ac:dyDescent="0.2">
      <c r="A304" s="175">
        <v>97</v>
      </c>
    </row>
    <row r="305" spans="1:1" x14ac:dyDescent="0.2">
      <c r="A305" s="175">
        <v>9216</v>
      </c>
    </row>
    <row r="306" spans="1:1" x14ac:dyDescent="0.2">
      <c r="A306" s="175">
        <v>2</v>
      </c>
    </row>
    <row r="307" spans="1:1" x14ac:dyDescent="0.2">
      <c r="A307" s="175">
        <v>8193</v>
      </c>
    </row>
    <row r="308" spans="1:1" x14ac:dyDescent="0.2">
      <c r="A308" s="175">
        <v>0</v>
      </c>
    </row>
    <row r="309" spans="1:1" x14ac:dyDescent="0.2">
      <c r="A309" s="175">
        <v>999</v>
      </c>
    </row>
    <row r="310" spans="1:1" x14ac:dyDescent="0.2">
      <c r="A310" s="175">
        <v>999</v>
      </c>
    </row>
    <row r="311" spans="1:1" x14ac:dyDescent="0.2">
      <c r="A311" s="175">
        <v>2482</v>
      </c>
    </row>
    <row r="312" spans="1:1" x14ac:dyDescent="0.2">
      <c r="A312" s="175">
        <v>0</v>
      </c>
    </row>
    <row r="313" spans="1:1" x14ac:dyDescent="0.2">
      <c r="A313" s="175">
        <v>0</v>
      </c>
    </row>
    <row r="314" spans="1:1" x14ac:dyDescent="0.2">
      <c r="A314" s="175">
        <v>0</v>
      </c>
    </row>
    <row r="315" spans="1:1" x14ac:dyDescent="0.2">
      <c r="A315" s="175">
        <v>4864</v>
      </c>
    </row>
    <row r="316" spans="1:1" x14ac:dyDescent="0.2">
      <c r="A316" s="175">
        <v>1618</v>
      </c>
    </row>
    <row r="317" spans="1:1" x14ac:dyDescent="0.2">
      <c r="A317" s="175">
        <v>0</v>
      </c>
    </row>
    <row r="318" spans="1:1" x14ac:dyDescent="0.2">
      <c r="A318" s="175">
        <v>5</v>
      </c>
    </row>
    <row r="319" spans="1:1" x14ac:dyDescent="0.2">
      <c r="A319" s="175">
        <v>4999</v>
      </c>
    </row>
    <row r="320" spans="1:1" x14ac:dyDescent="0.2">
      <c r="A320" s="175">
        <v>999</v>
      </c>
    </row>
    <row r="321" spans="1:1" x14ac:dyDescent="0.2">
      <c r="A321" s="175">
        <v>3</v>
      </c>
    </row>
    <row r="322" spans="1:1" x14ac:dyDescent="0.2">
      <c r="A322" s="175">
        <v>1</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0</v>
      </c>
    </row>
    <row r="328" spans="1:1" x14ac:dyDescent="0.2">
      <c r="A328" s="175">
        <v>5</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60000</v>
      </c>
    </row>
    <row r="423" spans="1:1" x14ac:dyDescent="0.2">
      <c r="A423" s="175">
        <v>55000</v>
      </c>
    </row>
    <row r="424" spans="1:1" x14ac:dyDescent="0.2">
      <c r="A424" s="175" t="s">
        <v>602</v>
      </c>
    </row>
    <row r="425" spans="1:1" x14ac:dyDescent="0.2">
      <c r="A425" s="175" t="s">
        <v>602</v>
      </c>
    </row>
    <row r="426" spans="1:1" x14ac:dyDescent="0.2">
      <c r="A426" s="175" t="s">
        <v>602</v>
      </c>
    </row>
    <row r="427" spans="1:1" x14ac:dyDescent="0.2">
      <c r="A427" s="175" t="s">
        <v>608</v>
      </c>
    </row>
    <row r="428" spans="1:1" x14ac:dyDescent="0.2">
      <c r="A428" s="175">
        <v>2</v>
      </c>
    </row>
    <row r="429" spans="1:1" x14ac:dyDescent="0.2">
      <c r="A429" s="175">
        <v>60000</v>
      </c>
    </row>
    <row r="430" spans="1:1" x14ac:dyDescent="0.2">
      <c r="A430" s="175">
        <v>55000</v>
      </c>
    </row>
    <row r="431" spans="1:1" x14ac:dyDescent="0.2">
      <c r="A431" s="175" t="s">
        <v>602</v>
      </c>
    </row>
    <row r="432" spans="1:1" x14ac:dyDescent="0.2">
      <c r="A432" s="175" t="s">
        <v>602</v>
      </c>
    </row>
    <row r="433" spans="1:1" x14ac:dyDescent="0.2">
      <c r="A433" s="175" t="s">
        <v>602</v>
      </c>
    </row>
    <row r="434" spans="1:1" x14ac:dyDescent="0.2">
      <c r="A434" s="175" t="s">
        <v>608</v>
      </c>
    </row>
    <row r="435" spans="1:1" x14ac:dyDescent="0.2">
      <c r="A435" s="175">
        <v>3</v>
      </c>
    </row>
    <row r="436" spans="1:1" x14ac:dyDescent="0.2">
      <c r="A436" s="175">
        <v>60000</v>
      </c>
    </row>
    <row r="437" spans="1:1" x14ac:dyDescent="0.2">
      <c r="A437" s="175">
        <v>55000</v>
      </c>
    </row>
    <row r="438" spans="1:1" x14ac:dyDescent="0.2">
      <c r="A438" s="175" t="s">
        <v>602</v>
      </c>
    </row>
    <row r="439" spans="1:1" x14ac:dyDescent="0.2">
      <c r="A439" s="175" t="s">
        <v>602</v>
      </c>
    </row>
    <row r="440" spans="1:1" x14ac:dyDescent="0.2">
      <c r="A440" s="175" t="s">
        <v>602</v>
      </c>
    </row>
    <row r="441" spans="1:1" x14ac:dyDescent="0.2">
      <c r="A441" s="175" t="s">
        <v>608</v>
      </c>
    </row>
    <row r="442" spans="1:1" x14ac:dyDescent="0.2">
      <c r="A442" s="175">
        <v>4</v>
      </c>
    </row>
    <row r="443" spans="1:1" x14ac:dyDescent="0.2">
      <c r="A443" s="175">
        <v>60000</v>
      </c>
    </row>
    <row r="444" spans="1:1" x14ac:dyDescent="0.2">
      <c r="A444" s="175">
        <v>55000</v>
      </c>
    </row>
    <row r="445" spans="1:1" x14ac:dyDescent="0.2">
      <c r="A445" s="175" t="s">
        <v>602</v>
      </c>
    </row>
    <row r="446" spans="1:1" x14ac:dyDescent="0.2">
      <c r="A446" s="175" t="s">
        <v>602</v>
      </c>
    </row>
    <row r="447" spans="1:1" x14ac:dyDescent="0.2">
      <c r="A447" s="175" t="s">
        <v>602</v>
      </c>
    </row>
    <row r="448" spans="1:1" x14ac:dyDescent="0.2">
      <c r="A448" s="175" t="s">
        <v>608</v>
      </c>
    </row>
    <row r="449" spans="1:1" x14ac:dyDescent="0.2">
      <c r="A449" s="175">
        <v>5</v>
      </c>
    </row>
    <row r="450" spans="1:1" x14ac:dyDescent="0.2">
      <c r="A450" s="175">
        <v>60000</v>
      </c>
    </row>
    <row r="451" spans="1:1" x14ac:dyDescent="0.2">
      <c r="A451" s="175">
        <v>55000</v>
      </c>
    </row>
    <row r="452" spans="1:1" x14ac:dyDescent="0.2">
      <c r="A452" s="175" t="s">
        <v>602</v>
      </c>
    </row>
    <row r="453" spans="1:1" x14ac:dyDescent="0.2">
      <c r="A453" s="175" t="s">
        <v>602</v>
      </c>
    </row>
    <row r="454" spans="1:1" x14ac:dyDescent="0.2">
      <c r="A454" s="175" t="s">
        <v>602</v>
      </c>
    </row>
    <row r="455" spans="1:1" x14ac:dyDescent="0.2">
      <c r="A455" s="175" t="s">
        <v>608</v>
      </c>
    </row>
    <row r="456" spans="1:1" x14ac:dyDescent="0.2">
      <c r="A456" s="175">
        <v>6</v>
      </c>
    </row>
    <row r="457" spans="1:1" x14ac:dyDescent="0.2">
      <c r="A457" s="175">
        <v>60000</v>
      </c>
    </row>
    <row r="458" spans="1:1" x14ac:dyDescent="0.2">
      <c r="A458" s="175">
        <v>55000</v>
      </c>
    </row>
    <row r="459" spans="1:1" x14ac:dyDescent="0.2">
      <c r="A459" s="175" t="s">
        <v>602</v>
      </c>
    </row>
    <row r="460" spans="1:1" x14ac:dyDescent="0.2">
      <c r="A460" s="175" t="s">
        <v>602</v>
      </c>
    </row>
    <row r="461" spans="1:1" x14ac:dyDescent="0.2">
      <c r="A461" s="175" t="s">
        <v>602</v>
      </c>
    </row>
    <row r="462" spans="1:1" x14ac:dyDescent="0.2">
      <c r="A462" s="175" t="s">
        <v>608</v>
      </c>
    </row>
    <row r="463" spans="1:1" x14ac:dyDescent="0.2">
      <c r="A463" s="175">
        <v>7</v>
      </c>
    </row>
    <row r="464" spans="1:1" x14ac:dyDescent="0.2">
      <c r="A464" s="175">
        <v>60000</v>
      </c>
    </row>
    <row r="465" spans="1:1" x14ac:dyDescent="0.2">
      <c r="A465" s="175">
        <v>55000</v>
      </c>
    </row>
    <row r="466" spans="1:1" x14ac:dyDescent="0.2">
      <c r="A466" s="175" t="s">
        <v>602</v>
      </c>
    </row>
    <row r="467" spans="1:1" x14ac:dyDescent="0.2">
      <c r="A467" s="175" t="s">
        <v>602</v>
      </c>
    </row>
    <row r="468" spans="1:1" x14ac:dyDescent="0.2">
      <c r="A468" s="175" t="s">
        <v>602</v>
      </c>
    </row>
    <row r="469" spans="1:1" x14ac:dyDescent="0.2">
      <c r="A469" s="175" t="s">
        <v>608</v>
      </c>
    </row>
    <row r="470" spans="1:1" x14ac:dyDescent="0.2">
      <c r="A470" s="175">
        <v>8</v>
      </c>
    </row>
    <row r="471" spans="1:1" x14ac:dyDescent="0.2">
      <c r="A471" s="175">
        <v>60000</v>
      </c>
    </row>
    <row r="472" spans="1:1" x14ac:dyDescent="0.2">
      <c r="A472" s="175">
        <v>55000</v>
      </c>
    </row>
    <row r="473" spans="1:1" x14ac:dyDescent="0.2">
      <c r="A473" s="175" t="s">
        <v>602</v>
      </c>
    </row>
    <row r="474" spans="1:1" x14ac:dyDescent="0.2">
      <c r="A474" s="175" t="s">
        <v>602</v>
      </c>
    </row>
    <row r="475" spans="1:1" x14ac:dyDescent="0.2">
      <c r="A475" s="175" t="s">
        <v>602</v>
      </c>
    </row>
    <row r="476" spans="1:1" x14ac:dyDescent="0.2">
      <c r="A476" s="175" t="s">
        <v>608</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50</v>
      </c>
    </row>
    <row r="504" spans="1:1" x14ac:dyDescent="0.2">
      <c r="A504" s="175">
        <v>6277</v>
      </c>
    </row>
    <row r="505" spans="1:1" x14ac:dyDescent="0.2">
      <c r="A505" s="175">
        <v>4274</v>
      </c>
    </row>
    <row r="506" spans="1:1" x14ac:dyDescent="0.2">
      <c r="A506" s="175">
        <v>4391</v>
      </c>
    </row>
    <row r="507" spans="1:1" x14ac:dyDescent="0.2">
      <c r="A507" s="175">
        <v>84</v>
      </c>
    </row>
    <row r="508" spans="1:1" x14ac:dyDescent="0.2">
      <c r="A508" s="175">
        <v>45</v>
      </c>
    </row>
    <row r="509" spans="1:1" x14ac:dyDescent="0.2">
      <c r="A509" s="175">
        <v>1863</v>
      </c>
    </row>
    <row r="510" spans="1:1" x14ac:dyDescent="0.2">
      <c r="A510" s="175">
        <v>1883</v>
      </c>
    </row>
    <row r="511" spans="1:1" x14ac:dyDescent="0.2">
      <c r="A511" s="175">
        <v>84</v>
      </c>
    </row>
    <row r="512" spans="1:1" x14ac:dyDescent="0.2">
      <c r="A512" s="175">
        <v>999</v>
      </c>
    </row>
    <row r="513" spans="1:1" x14ac:dyDescent="0.2">
      <c r="A513" s="175">
        <v>999</v>
      </c>
    </row>
    <row r="514" spans="1:1" x14ac:dyDescent="0.2">
      <c r="A514" s="175">
        <v>65938</v>
      </c>
    </row>
    <row r="515" spans="1:1" x14ac:dyDescent="0.2">
      <c r="A515" s="175">
        <v>78498</v>
      </c>
    </row>
    <row r="516" spans="1:1" x14ac:dyDescent="0.2">
      <c r="A516" s="175">
        <v>75378</v>
      </c>
    </row>
    <row r="517" spans="1:1" x14ac:dyDescent="0.2">
      <c r="A517" s="175">
        <v>71410</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9946</v>
      </c>
    </row>
    <row r="523" spans="1:1" x14ac:dyDescent="0.2">
      <c r="A523" s="175">
        <v>3978400</v>
      </c>
    </row>
    <row r="524" spans="1:1" x14ac:dyDescent="0.2">
      <c r="A524" s="175">
        <v>0</v>
      </c>
    </row>
    <row r="525" spans="1:1" x14ac:dyDescent="0.2">
      <c r="A525" s="175">
        <v>3978400</v>
      </c>
    </row>
    <row r="526" spans="1:1" x14ac:dyDescent="0.2">
      <c r="A526" s="175">
        <v>300</v>
      </c>
    </row>
    <row r="527" spans="1:1" x14ac:dyDescent="0.2">
      <c r="A527" s="175">
        <v>290</v>
      </c>
    </row>
    <row r="528" spans="1:1" x14ac:dyDescent="0.2">
      <c r="A528" s="175">
        <v>0</v>
      </c>
    </row>
    <row r="529" spans="1:1" x14ac:dyDescent="0.2">
      <c r="A529" s="175">
        <v>450</v>
      </c>
    </row>
    <row r="530" spans="1:1" x14ac:dyDescent="0.2">
      <c r="A530" s="175">
        <v>440</v>
      </c>
    </row>
    <row r="531" spans="1:1" x14ac:dyDescent="0.2">
      <c r="A531" s="175">
        <v>0</v>
      </c>
    </row>
    <row r="532" spans="1:1" x14ac:dyDescent="0.2">
      <c r="A532" s="175">
        <v>690</v>
      </c>
    </row>
    <row r="533" spans="1:1" x14ac:dyDescent="0.2">
      <c r="A533" s="175">
        <v>680</v>
      </c>
    </row>
    <row r="534" spans="1:1" x14ac:dyDescent="0.2">
      <c r="A534" s="175">
        <v>0</v>
      </c>
    </row>
    <row r="535" spans="1:1" x14ac:dyDescent="0.2">
      <c r="A535" s="175">
        <v>48</v>
      </c>
    </row>
    <row r="536" spans="1:1" x14ac:dyDescent="0.2">
      <c r="A536" s="175">
        <v>1200</v>
      </c>
    </row>
    <row r="537" spans="1:1" x14ac:dyDescent="0.2">
      <c r="A537" s="175">
        <v>4</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9946</v>
      </c>
    </row>
    <row r="543" spans="1:1" x14ac:dyDescent="0.2">
      <c r="A543" s="175">
        <v>3978400</v>
      </c>
    </row>
    <row r="544" spans="1:1" x14ac:dyDescent="0.2">
      <c r="A544" s="175">
        <v>0</v>
      </c>
    </row>
    <row r="545" spans="1:1" x14ac:dyDescent="0.2">
      <c r="A545" s="175">
        <v>3978400</v>
      </c>
    </row>
    <row r="546" spans="1:1" x14ac:dyDescent="0.2">
      <c r="A546" s="175">
        <v>300</v>
      </c>
    </row>
    <row r="547" spans="1:1" x14ac:dyDescent="0.2">
      <c r="A547" s="175">
        <v>290</v>
      </c>
    </row>
    <row r="548" spans="1:1" x14ac:dyDescent="0.2">
      <c r="A548" s="175">
        <v>0</v>
      </c>
    </row>
    <row r="549" spans="1:1" x14ac:dyDescent="0.2">
      <c r="A549" s="175">
        <v>450</v>
      </c>
    </row>
    <row r="550" spans="1:1" x14ac:dyDescent="0.2">
      <c r="A550" s="175">
        <v>440</v>
      </c>
    </row>
    <row r="551" spans="1:1" x14ac:dyDescent="0.2">
      <c r="A551" s="175">
        <v>0</v>
      </c>
    </row>
    <row r="552" spans="1:1" x14ac:dyDescent="0.2">
      <c r="A552" s="175">
        <v>690</v>
      </c>
    </row>
    <row r="553" spans="1:1" x14ac:dyDescent="0.2">
      <c r="A553" s="175">
        <v>680</v>
      </c>
    </row>
    <row r="554" spans="1:1" x14ac:dyDescent="0.2">
      <c r="A554" s="175">
        <v>0</v>
      </c>
    </row>
    <row r="555" spans="1:1" x14ac:dyDescent="0.2">
      <c r="A555" s="175">
        <v>48</v>
      </c>
    </row>
    <row r="556" spans="1:1" x14ac:dyDescent="0.2">
      <c r="A556" s="175">
        <v>1200</v>
      </c>
    </row>
    <row r="557" spans="1:1" x14ac:dyDescent="0.2">
      <c r="A557" s="175">
        <v>4</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9946</v>
      </c>
    </row>
    <row r="563" spans="1:1" x14ac:dyDescent="0.2">
      <c r="A563" s="175">
        <v>3978400</v>
      </c>
    </row>
    <row r="564" spans="1:1" x14ac:dyDescent="0.2">
      <c r="A564" s="175">
        <v>0</v>
      </c>
    </row>
    <row r="565" spans="1:1" x14ac:dyDescent="0.2">
      <c r="A565" s="175">
        <v>3978400</v>
      </c>
    </row>
    <row r="566" spans="1:1" x14ac:dyDescent="0.2">
      <c r="A566" s="175">
        <v>300</v>
      </c>
    </row>
    <row r="567" spans="1:1" x14ac:dyDescent="0.2">
      <c r="A567" s="175">
        <v>290</v>
      </c>
    </row>
    <row r="568" spans="1:1" x14ac:dyDescent="0.2">
      <c r="A568" s="175">
        <v>0</v>
      </c>
    </row>
    <row r="569" spans="1:1" x14ac:dyDescent="0.2">
      <c r="A569" s="175">
        <v>450</v>
      </c>
    </row>
    <row r="570" spans="1:1" x14ac:dyDescent="0.2">
      <c r="A570" s="175">
        <v>440</v>
      </c>
    </row>
    <row r="571" spans="1:1" x14ac:dyDescent="0.2">
      <c r="A571" s="175">
        <v>0</v>
      </c>
    </row>
    <row r="572" spans="1:1" x14ac:dyDescent="0.2">
      <c r="A572" s="175">
        <v>690</v>
      </c>
    </row>
    <row r="573" spans="1:1" x14ac:dyDescent="0.2">
      <c r="A573" s="175">
        <v>680</v>
      </c>
    </row>
    <row r="574" spans="1:1" x14ac:dyDescent="0.2">
      <c r="A574" s="175">
        <v>0</v>
      </c>
    </row>
    <row r="575" spans="1:1" x14ac:dyDescent="0.2">
      <c r="A575" s="175">
        <v>48</v>
      </c>
    </row>
    <row r="576" spans="1:1" x14ac:dyDescent="0.2">
      <c r="A576" s="175">
        <v>1200</v>
      </c>
    </row>
    <row r="577" spans="1:1" x14ac:dyDescent="0.2">
      <c r="A577" s="175">
        <v>4</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9946</v>
      </c>
    </row>
    <row r="583" spans="1:1" x14ac:dyDescent="0.2">
      <c r="A583" s="175">
        <v>3978400</v>
      </c>
    </row>
    <row r="584" spans="1:1" x14ac:dyDescent="0.2">
      <c r="A584" s="175">
        <v>0</v>
      </c>
    </row>
    <row r="585" spans="1:1" x14ac:dyDescent="0.2">
      <c r="A585" s="175">
        <v>3978400</v>
      </c>
    </row>
    <row r="586" spans="1:1" x14ac:dyDescent="0.2">
      <c r="A586" s="175">
        <v>300</v>
      </c>
    </row>
    <row r="587" spans="1:1" x14ac:dyDescent="0.2">
      <c r="A587" s="175">
        <v>290</v>
      </c>
    </row>
    <row r="588" spans="1:1" x14ac:dyDescent="0.2">
      <c r="A588" s="175">
        <v>0</v>
      </c>
    </row>
    <row r="589" spans="1:1" x14ac:dyDescent="0.2">
      <c r="A589" s="175">
        <v>450</v>
      </c>
    </row>
    <row r="590" spans="1:1" x14ac:dyDescent="0.2">
      <c r="A590" s="175">
        <v>440</v>
      </c>
    </row>
    <row r="591" spans="1:1" x14ac:dyDescent="0.2">
      <c r="A591" s="175">
        <v>0</v>
      </c>
    </row>
    <row r="592" spans="1:1" x14ac:dyDescent="0.2">
      <c r="A592" s="175">
        <v>690</v>
      </c>
    </row>
    <row r="593" spans="1:1" x14ac:dyDescent="0.2">
      <c r="A593" s="175">
        <v>680</v>
      </c>
    </row>
    <row r="594" spans="1:1" x14ac:dyDescent="0.2">
      <c r="A594" s="175">
        <v>0</v>
      </c>
    </row>
    <row r="595" spans="1:1" x14ac:dyDescent="0.2">
      <c r="A595" s="175">
        <v>48</v>
      </c>
    </row>
    <row r="596" spans="1:1" x14ac:dyDescent="0.2">
      <c r="A596" s="175">
        <v>1200</v>
      </c>
    </row>
    <row r="597" spans="1:1" x14ac:dyDescent="0.2">
      <c r="A597" s="175">
        <v>4</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9946</v>
      </c>
    </row>
    <row r="603" spans="1:1" x14ac:dyDescent="0.2">
      <c r="A603" s="175">
        <v>3978400</v>
      </c>
    </row>
    <row r="604" spans="1:1" x14ac:dyDescent="0.2">
      <c r="A604" s="175">
        <v>0</v>
      </c>
    </row>
    <row r="605" spans="1:1" x14ac:dyDescent="0.2">
      <c r="A605" s="175">
        <v>3978400</v>
      </c>
    </row>
    <row r="606" spans="1:1" x14ac:dyDescent="0.2">
      <c r="A606" s="175">
        <v>300</v>
      </c>
    </row>
    <row r="607" spans="1:1" x14ac:dyDescent="0.2">
      <c r="A607" s="175">
        <v>290</v>
      </c>
    </row>
    <row r="608" spans="1:1" x14ac:dyDescent="0.2">
      <c r="A608" s="175">
        <v>0</v>
      </c>
    </row>
    <row r="609" spans="1:1" x14ac:dyDescent="0.2">
      <c r="A609" s="175">
        <v>450</v>
      </c>
    </row>
    <row r="610" spans="1:1" x14ac:dyDescent="0.2">
      <c r="A610" s="175">
        <v>440</v>
      </c>
    </row>
    <row r="611" spans="1:1" x14ac:dyDescent="0.2">
      <c r="A611" s="175">
        <v>0</v>
      </c>
    </row>
    <row r="612" spans="1:1" x14ac:dyDescent="0.2">
      <c r="A612" s="175">
        <v>690</v>
      </c>
    </row>
    <row r="613" spans="1:1" x14ac:dyDescent="0.2">
      <c r="A613" s="175">
        <v>680</v>
      </c>
    </row>
    <row r="614" spans="1:1" x14ac:dyDescent="0.2">
      <c r="A614" s="175">
        <v>0</v>
      </c>
    </row>
    <row r="615" spans="1:1" x14ac:dyDescent="0.2">
      <c r="A615" s="175">
        <v>48</v>
      </c>
    </row>
    <row r="616" spans="1:1" x14ac:dyDescent="0.2">
      <c r="A616" s="175">
        <v>1200</v>
      </c>
    </row>
    <row r="617" spans="1:1" x14ac:dyDescent="0.2">
      <c r="A617" s="175">
        <v>4</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9946</v>
      </c>
    </row>
    <row r="623" spans="1:1" x14ac:dyDescent="0.2">
      <c r="A623" s="175">
        <v>3978400</v>
      </c>
    </row>
    <row r="624" spans="1:1" x14ac:dyDescent="0.2">
      <c r="A624" s="175">
        <v>0</v>
      </c>
    </row>
    <row r="625" spans="1:1" x14ac:dyDescent="0.2">
      <c r="A625" s="175">
        <v>3978400</v>
      </c>
    </row>
    <row r="626" spans="1:1" x14ac:dyDescent="0.2">
      <c r="A626" s="175">
        <v>300</v>
      </c>
    </row>
    <row r="627" spans="1:1" x14ac:dyDescent="0.2">
      <c r="A627" s="175">
        <v>290</v>
      </c>
    </row>
    <row r="628" spans="1:1" x14ac:dyDescent="0.2">
      <c r="A628" s="175">
        <v>0</v>
      </c>
    </row>
    <row r="629" spans="1:1" x14ac:dyDescent="0.2">
      <c r="A629" s="175">
        <v>450</v>
      </c>
    </row>
    <row r="630" spans="1:1" x14ac:dyDescent="0.2">
      <c r="A630" s="175">
        <v>440</v>
      </c>
    </row>
    <row r="631" spans="1:1" x14ac:dyDescent="0.2">
      <c r="A631" s="175">
        <v>0</v>
      </c>
    </row>
    <row r="632" spans="1:1" x14ac:dyDescent="0.2">
      <c r="A632" s="175">
        <v>690</v>
      </c>
    </row>
    <row r="633" spans="1:1" x14ac:dyDescent="0.2">
      <c r="A633" s="175">
        <v>680</v>
      </c>
    </row>
    <row r="634" spans="1:1" x14ac:dyDescent="0.2">
      <c r="A634" s="175">
        <v>0</v>
      </c>
    </row>
    <row r="635" spans="1:1" x14ac:dyDescent="0.2">
      <c r="A635" s="175">
        <v>48</v>
      </c>
    </row>
    <row r="636" spans="1:1" x14ac:dyDescent="0.2">
      <c r="A636" s="175">
        <v>1200</v>
      </c>
    </row>
    <row r="637" spans="1:1" x14ac:dyDescent="0.2">
      <c r="A637" s="175">
        <v>4</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9946</v>
      </c>
    </row>
    <row r="643" spans="1:1" x14ac:dyDescent="0.2">
      <c r="A643" s="175">
        <v>3978400</v>
      </c>
    </row>
    <row r="644" spans="1:1" x14ac:dyDescent="0.2">
      <c r="A644" s="175">
        <v>0</v>
      </c>
    </row>
    <row r="645" spans="1:1" x14ac:dyDescent="0.2">
      <c r="A645" s="175">
        <v>3978400</v>
      </c>
    </row>
    <row r="646" spans="1:1" x14ac:dyDescent="0.2">
      <c r="A646" s="175">
        <v>300</v>
      </c>
    </row>
    <row r="647" spans="1:1" x14ac:dyDescent="0.2">
      <c r="A647" s="175">
        <v>290</v>
      </c>
    </row>
    <row r="648" spans="1:1" x14ac:dyDescent="0.2">
      <c r="A648" s="175">
        <v>0</v>
      </c>
    </row>
    <row r="649" spans="1:1" x14ac:dyDescent="0.2">
      <c r="A649" s="175">
        <v>450</v>
      </c>
    </row>
    <row r="650" spans="1:1" x14ac:dyDescent="0.2">
      <c r="A650" s="175">
        <v>440</v>
      </c>
    </row>
    <row r="651" spans="1:1" x14ac:dyDescent="0.2">
      <c r="A651" s="175">
        <v>0</v>
      </c>
    </row>
    <row r="652" spans="1:1" x14ac:dyDescent="0.2">
      <c r="A652" s="175">
        <v>690</v>
      </c>
    </row>
    <row r="653" spans="1:1" x14ac:dyDescent="0.2">
      <c r="A653" s="175">
        <v>680</v>
      </c>
    </row>
    <row r="654" spans="1:1" x14ac:dyDescent="0.2">
      <c r="A654" s="175">
        <v>0</v>
      </c>
    </row>
    <row r="655" spans="1:1" x14ac:dyDescent="0.2">
      <c r="A655" s="175">
        <v>48</v>
      </c>
    </row>
    <row r="656" spans="1:1" x14ac:dyDescent="0.2">
      <c r="A656" s="175">
        <v>1200</v>
      </c>
    </row>
    <row r="657" spans="1:1" x14ac:dyDescent="0.2">
      <c r="A657" s="175">
        <v>4</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9946</v>
      </c>
    </row>
    <row r="663" spans="1:1" x14ac:dyDescent="0.2">
      <c r="A663" s="175">
        <v>3978400</v>
      </c>
    </row>
    <row r="664" spans="1:1" x14ac:dyDescent="0.2">
      <c r="A664" s="175">
        <v>0</v>
      </c>
    </row>
    <row r="665" spans="1:1" x14ac:dyDescent="0.2">
      <c r="A665" s="175">
        <v>3978400</v>
      </c>
    </row>
    <row r="666" spans="1:1" x14ac:dyDescent="0.2">
      <c r="A666" s="175">
        <v>300</v>
      </c>
    </row>
    <row r="667" spans="1:1" x14ac:dyDescent="0.2">
      <c r="A667" s="175">
        <v>290</v>
      </c>
    </row>
    <row r="668" spans="1:1" x14ac:dyDescent="0.2">
      <c r="A668" s="175">
        <v>0</v>
      </c>
    </row>
    <row r="669" spans="1:1" x14ac:dyDescent="0.2">
      <c r="A669" s="175">
        <v>450</v>
      </c>
    </row>
    <row r="670" spans="1:1" x14ac:dyDescent="0.2">
      <c r="A670" s="175">
        <v>440</v>
      </c>
    </row>
    <row r="671" spans="1:1" x14ac:dyDescent="0.2">
      <c r="A671" s="175">
        <v>0</v>
      </c>
    </row>
    <row r="672" spans="1:1" x14ac:dyDescent="0.2">
      <c r="A672" s="175">
        <v>690</v>
      </c>
    </row>
    <row r="673" spans="1:1" x14ac:dyDescent="0.2">
      <c r="A673" s="175">
        <v>680</v>
      </c>
    </row>
    <row r="674" spans="1:1" x14ac:dyDescent="0.2">
      <c r="A674" s="175">
        <v>0</v>
      </c>
    </row>
    <row r="675" spans="1:1" x14ac:dyDescent="0.2">
      <c r="A675" s="175">
        <v>48</v>
      </c>
    </row>
    <row r="676" spans="1:1" x14ac:dyDescent="0.2">
      <c r="A676" s="175">
        <v>1200</v>
      </c>
    </row>
    <row r="677" spans="1:1" x14ac:dyDescent="0.2">
      <c r="A677" s="175">
        <v>4</v>
      </c>
    </row>
    <row r="678" spans="1:1" x14ac:dyDescent="0.2">
      <c r="A678" s="175">
        <v>999</v>
      </c>
    </row>
    <row r="679" spans="1:1" x14ac:dyDescent="0.2">
      <c r="A679" s="175">
        <v>999</v>
      </c>
    </row>
    <row r="680" spans="1:1" x14ac:dyDescent="0.2">
      <c r="A680" s="175">
        <v>999</v>
      </c>
    </row>
    <row r="681" spans="1:1" x14ac:dyDescent="0.2">
      <c r="A681" s="175" t="s">
        <v>693</v>
      </c>
    </row>
    <row r="682" spans="1:1" x14ac:dyDescent="0.2">
      <c r="A682" s="175" t="s">
        <v>694</v>
      </c>
    </row>
    <row r="683" spans="1:1" x14ac:dyDescent="0.2">
      <c r="A683" s="175" t="s">
        <v>695</v>
      </c>
    </row>
    <row r="684" spans="1:1" x14ac:dyDescent="0.2">
      <c r="A684" s="175" t="s">
        <v>696</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1398328</v>
      </c>
    </row>
    <row r="703" spans="1:1" x14ac:dyDescent="0.2">
      <c r="A703" s="175">
        <v>143405</v>
      </c>
    </row>
    <row r="704" spans="1:1" x14ac:dyDescent="0.2">
      <c r="A704" s="175">
        <v>784178</v>
      </c>
    </row>
    <row r="705" spans="1:1" x14ac:dyDescent="0.2">
      <c r="A705" s="175">
        <v>1634465</v>
      </c>
    </row>
    <row r="706" spans="1:1" x14ac:dyDescent="0.2">
      <c r="A706" s="175">
        <v>999</v>
      </c>
    </row>
    <row r="707" spans="1:1" x14ac:dyDescent="0.2">
      <c r="A707" s="175">
        <v>999</v>
      </c>
    </row>
    <row r="708" spans="1:1" x14ac:dyDescent="0.2">
      <c r="A708" s="175">
        <v>0</v>
      </c>
    </row>
    <row r="709" spans="1:1" x14ac:dyDescent="0.2">
      <c r="A709" s="175">
        <v>267880</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-307504</v>
      </c>
    </row>
    <row r="717" spans="1:1" x14ac:dyDescent="0.2">
      <c r="A717" s="175">
        <v>3692496</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1398328</v>
      </c>
    </row>
    <row r="723" spans="1:1" x14ac:dyDescent="0.2">
      <c r="A723" s="175">
        <v>143405</v>
      </c>
    </row>
    <row r="724" spans="1:1" x14ac:dyDescent="0.2">
      <c r="A724" s="175">
        <v>784178</v>
      </c>
    </row>
    <row r="725" spans="1:1" x14ac:dyDescent="0.2">
      <c r="A725" s="175">
        <v>1634465</v>
      </c>
    </row>
    <row r="726" spans="1:1" x14ac:dyDescent="0.2">
      <c r="A726" s="175">
        <v>999</v>
      </c>
    </row>
    <row r="727" spans="1:1" x14ac:dyDescent="0.2">
      <c r="A727" s="175">
        <v>999</v>
      </c>
    </row>
    <row r="728" spans="1:1" x14ac:dyDescent="0.2">
      <c r="A728" s="175">
        <v>0</v>
      </c>
    </row>
    <row r="729" spans="1:1" x14ac:dyDescent="0.2">
      <c r="A729" s="175">
        <v>267880</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-307504</v>
      </c>
    </row>
    <row r="737" spans="1:1" x14ac:dyDescent="0.2">
      <c r="A737" s="175">
        <v>3692496</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1398328</v>
      </c>
    </row>
    <row r="743" spans="1:1" x14ac:dyDescent="0.2">
      <c r="A743" s="175">
        <v>143405</v>
      </c>
    </row>
    <row r="744" spans="1:1" x14ac:dyDescent="0.2">
      <c r="A744" s="175">
        <v>784178</v>
      </c>
    </row>
    <row r="745" spans="1:1" x14ac:dyDescent="0.2">
      <c r="A745" s="175">
        <v>1634465</v>
      </c>
    </row>
    <row r="746" spans="1:1" x14ac:dyDescent="0.2">
      <c r="A746" s="175">
        <v>999</v>
      </c>
    </row>
    <row r="747" spans="1:1" x14ac:dyDescent="0.2">
      <c r="A747" s="175">
        <v>999</v>
      </c>
    </row>
    <row r="748" spans="1:1" x14ac:dyDescent="0.2">
      <c r="A748" s="175">
        <v>0</v>
      </c>
    </row>
    <row r="749" spans="1:1" x14ac:dyDescent="0.2">
      <c r="A749" s="175">
        <v>267880</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-307504</v>
      </c>
    </row>
    <row r="757" spans="1:1" x14ac:dyDescent="0.2">
      <c r="A757" s="175">
        <v>3692496</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1398328</v>
      </c>
    </row>
    <row r="763" spans="1:1" x14ac:dyDescent="0.2">
      <c r="A763" s="175">
        <v>143405</v>
      </c>
    </row>
    <row r="764" spans="1:1" x14ac:dyDescent="0.2">
      <c r="A764" s="175">
        <v>784178</v>
      </c>
    </row>
    <row r="765" spans="1:1" x14ac:dyDescent="0.2">
      <c r="A765" s="175">
        <v>1634465</v>
      </c>
    </row>
    <row r="766" spans="1:1" x14ac:dyDescent="0.2">
      <c r="A766" s="175">
        <v>999</v>
      </c>
    </row>
    <row r="767" spans="1:1" x14ac:dyDescent="0.2">
      <c r="A767" s="175">
        <v>999</v>
      </c>
    </row>
    <row r="768" spans="1:1" x14ac:dyDescent="0.2">
      <c r="A768" s="175">
        <v>0</v>
      </c>
    </row>
    <row r="769" spans="1:1" x14ac:dyDescent="0.2">
      <c r="A769" s="175">
        <v>267880</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-307504</v>
      </c>
    </row>
    <row r="777" spans="1:1" x14ac:dyDescent="0.2">
      <c r="A777" s="175">
        <v>3692496</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1398328</v>
      </c>
    </row>
    <row r="783" spans="1:1" x14ac:dyDescent="0.2">
      <c r="A783" s="175">
        <v>143405</v>
      </c>
    </row>
    <row r="784" spans="1:1" x14ac:dyDescent="0.2">
      <c r="A784" s="175">
        <v>784178</v>
      </c>
    </row>
    <row r="785" spans="1:1" x14ac:dyDescent="0.2">
      <c r="A785" s="175">
        <v>1634465</v>
      </c>
    </row>
    <row r="786" spans="1:1" x14ac:dyDescent="0.2">
      <c r="A786" s="175">
        <v>999</v>
      </c>
    </row>
    <row r="787" spans="1:1" x14ac:dyDescent="0.2">
      <c r="A787" s="175">
        <v>999</v>
      </c>
    </row>
    <row r="788" spans="1:1" x14ac:dyDescent="0.2">
      <c r="A788" s="175">
        <v>0</v>
      </c>
    </row>
    <row r="789" spans="1:1" x14ac:dyDescent="0.2">
      <c r="A789" s="175">
        <v>267880</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-307504</v>
      </c>
    </row>
    <row r="797" spans="1:1" x14ac:dyDescent="0.2">
      <c r="A797" s="175">
        <v>3692496</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1398328</v>
      </c>
    </row>
    <row r="803" spans="1:1" x14ac:dyDescent="0.2">
      <c r="A803" s="175">
        <v>143405</v>
      </c>
    </row>
    <row r="804" spans="1:1" x14ac:dyDescent="0.2">
      <c r="A804" s="175">
        <v>784178</v>
      </c>
    </row>
    <row r="805" spans="1:1" x14ac:dyDescent="0.2">
      <c r="A805" s="175">
        <v>1634465</v>
      </c>
    </row>
    <row r="806" spans="1:1" x14ac:dyDescent="0.2">
      <c r="A806" s="175">
        <v>999</v>
      </c>
    </row>
    <row r="807" spans="1:1" x14ac:dyDescent="0.2">
      <c r="A807" s="175">
        <v>999</v>
      </c>
    </row>
    <row r="808" spans="1:1" x14ac:dyDescent="0.2">
      <c r="A808" s="175">
        <v>0</v>
      </c>
    </row>
    <row r="809" spans="1:1" x14ac:dyDescent="0.2">
      <c r="A809" s="175">
        <v>267880</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-307504</v>
      </c>
    </row>
    <row r="817" spans="1:1" x14ac:dyDescent="0.2">
      <c r="A817" s="175">
        <v>3692496</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1398328</v>
      </c>
    </row>
    <row r="823" spans="1:1" x14ac:dyDescent="0.2">
      <c r="A823" s="175">
        <v>143405</v>
      </c>
    </row>
    <row r="824" spans="1:1" x14ac:dyDescent="0.2">
      <c r="A824" s="175">
        <v>784178</v>
      </c>
    </row>
    <row r="825" spans="1:1" x14ac:dyDescent="0.2">
      <c r="A825" s="175">
        <v>1634465</v>
      </c>
    </row>
    <row r="826" spans="1:1" x14ac:dyDescent="0.2">
      <c r="A826" s="175">
        <v>999</v>
      </c>
    </row>
    <row r="827" spans="1:1" x14ac:dyDescent="0.2">
      <c r="A827" s="175">
        <v>999</v>
      </c>
    </row>
    <row r="828" spans="1:1" x14ac:dyDescent="0.2">
      <c r="A828" s="175">
        <v>0</v>
      </c>
    </row>
    <row r="829" spans="1:1" x14ac:dyDescent="0.2">
      <c r="A829" s="175">
        <v>267880</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-307504</v>
      </c>
    </row>
    <row r="837" spans="1:1" x14ac:dyDescent="0.2">
      <c r="A837" s="175">
        <v>3692496</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1398328</v>
      </c>
    </row>
    <row r="843" spans="1:1" x14ac:dyDescent="0.2">
      <c r="A843" s="175">
        <v>143405</v>
      </c>
    </row>
    <row r="844" spans="1:1" x14ac:dyDescent="0.2">
      <c r="A844" s="175">
        <v>784178</v>
      </c>
    </row>
    <row r="845" spans="1:1" x14ac:dyDescent="0.2">
      <c r="A845" s="175">
        <v>1634465</v>
      </c>
    </row>
    <row r="846" spans="1:1" x14ac:dyDescent="0.2">
      <c r="A846" s="175">
        <v>999</v>
      </c>
    </row>
    <row r="847" spans="1:1" x14ac:dyDescent="0.2">
      <c r="A847" s="175">
        <v>999</v>
      </c>
    </row>
    <row r="848" spans="1:1" x14ac:dyDescent="0.2">
      <c r="A848" s="175">
        <v>0</v>
      </c>
    </row>
    <row r="849" spans="1:1" x14ac:dyDescent="0.2">
      <c r="A849" s="175">
        <v>267880</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-307504</v>
      </c>
    </row>
    <row r="857" spans="1:1" x14ac:dyDescent="0.2">
      <c r="A857" s="175">
        <v>3692496</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0">
    <tabColor theme="8" tint="-0.499984740745262"/>
  </sheetPr>
  <dimension ref="B1:Y55"/>
  <sheetViews>
    <sheetView showGridLines="0" workbookViewId="0">
      <selection activeCell="W3" sqref="W3"/>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LEFT(TRIM('55'!A699),4)</f>
        <v xml:space="preserve">032 </v>
      </c>
      <c r="W1" t="str">
        <f>RIGHT(TRIM('55'!A699),10)</f>
        <v>17/06/2016</v>
      </c>
    </row>
    <row r="2" spans="2:25" ht="33" x14ac:dyDescent="0.6">
      <c r="G2" s="157" t="s">
        <v>82</v>
      </c>
      <c r="H2" s="156"/>
    </row>
    <row r="3" spans="2:25" x14ac:dyDescent="0.25">
      <c r="B3" t="str">
        <f>'55'!A861</f>
        <v xml:space="preserve"> This is a history quarter</v>
      </c>
      <c r="C3" s="506"/>
      <c r="V3" s="158" t="s">
        <v>83</v>
      </c>
      <c r="W3" s="159" t="str">
        <f>'55'!A6</f>
        <v xml:space="preserve">  17C1</v>
      </c>
    </row>
    <row r="4" spans="2:25" x14ac:dyDescent="0.25">
      <c r="B4">
        <f>'55'!A862</f>
        <v>0</v>
      </c>
      <c r="C4" s="506"/>
    </row>
    <row r="5" spans="2:25" ht="17.399999999999999" x14ac:dyDescent="0.3">
      <c r="B5">
        <f>'55'!A863</f>
        <v>0</v>
      </c>
      <c r="H5" s="160" t="s">
        <v>85</v>
      </c>
      <c r="J5" s="161"/>
      <c r="K5" s="161"/>
      <c r="L5" s="161">
        <f>'55'!$A2</f>
        <v>1</v>
      </c>
      <c r="M5" s="160" t="s">
        <v>84</v>
      </c>
      <c r="N5" s="160"/>
      <c r="O5" s="162">
        <f>'55'!$A1</f>
        <v>1</v>
      </c>
      <c r="P5" s="161"/>
      <c r="Q5" s="161"/>
      <c r="S5" s="163"/>
      <c r="T5" s="164"/>
      <c r="U5" s="163"/>
      <c r="V5" s="163"/>
    </row>
    <row r="6" spans="2:25" x14ac:dyDescent="0.25">
      <c r="B6">
        <f>'55'!A864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'55'!$A4</f>
        <v>2017</v>
      </c>
      <c r="Q9" s="164"/>
      <c r="R9" s="171" t="s">
        <v>80</v>
      </c>
      <c r="S9" s="172">
        <f>'55'!$A5</f>
        <v>2</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'55'!A7</f>
        <v>10</v>
      </c>
      <c r="F14" s="196">
        <f>'55'!A11</f>
        <v>5</v>
      </c>
      <c r="G14" s="197"/>
      <c r="H14" s="196">
        <f>'55'!A14</f>
        <v>5</v>
      </c>
      <c r="I14" s="198"/>
      <c r="J14" s="196">
        <f>'55'!A17</f>
        <v>10</v>
      </c>
      <c r="K14" s="198"/>
      <c r="L14" s="40"/>
      <c r="M14" s="182"/>
      <c r="N14" s="182" t="s">
        <v>36</v>
      </c>
      <c r="O14" s="182"/>
      <c r="P14" s="201">
        <f>'55'!A61</f>
        <v>3</v>
      </c>
      <c r="Q14" s="200">
        <f>'55'!B61</f>
        <v>0</v>
      </c>
      <c r="R14" s="190"/>
      <c r="S14" s="175"/>
      <c r="T14" s="201">
        <f>'55'!A62</f>
        <v>10</v>
      </c>
      <c r="U14" s="200">
        <f>'55'!B62</f>
        <v>0</v>
      </c>
      <c r="V14" s="175"/>
      <c r="W14" s="201">
        <f>'55'!A63</f>
        <v>7</v>
      </c>
      <c r="X14" s="202"/>
      <c r="Y14" s="179"/>
    </row>
    <row r="15" spans="2:25" x14ac:dyDescent="0.25">
      <c r="B15" s="168"/>
      <c r="C15" s="40"/>
      <c r="D15" s="40" t="s">
        <v>5</v>
      </c>
      <c r="E15" s="203">
        <f>'55'!A8</f>
        <v>5</v>
      </c>
      <c r="F15" s="196">
        <f>'55'!A12</f>
        <v>5</v>
      </c>
      <c r="G15" s="204"/>
      <c r="H15" s="196">
        <f>'55'!A15</f>
        <v>5</v>
      </c>
      <c r="I15" s="205"/>
      <c r="J15" s="196">
        <f>'55'!A18</f>
        <v>5</v>
      </c>
      <c r="K15" s="205"/>
      <c r="L15" s="40"/>
      <c r="M15" s="182"/>
      <c r="N15" s="182" t="s">
        <v>38</v>
      </c>
      <c r="O15" s="182"/>
      <c r="P15" s="193">
        <f>'55'!A64</f>
        <v>1</v>
      </c>
      <c r="Q15" s="189">
        <f>'55'!B64</f>
        <v>0</v>
      </c>
      <c r="R15" s="190"/>
      <c r="S15" s="175"/>
      <c r="T15" s="199">
        <f>'55'!A65</f>
        <v>8</v>
      </c>
      <c r="U15" s="206">
        <f>'55'!B65</f>
        <v>0</v>
      </c>
      <c r="V15" s="175"/>
      <c r="W15" s="207">
        <f>'55'!A66</f>
        <v>6</v>
      </c>
      <c r="X15" s="206"/>
      <c r="Y15" s="179"/>
    </row>
    <row r="16" spans="2:25" x14ac:dyDescent="0.25">
      <c r="B16" s="168"/>
      <c r="C16" s="40"/>
      <c r="D16" s="40" t="s">
        <v>6</v>
      </c>
      <c r="E16" s="208">
        <f>'55'!A9</f>
        <v>10</v>
      </c>
      <c r="F16" s="209">
        <f>'55'!A13</f>
        <v>5</v>
      </c>
      <c r="G16" s="210"/>
      <c r="H16" s="209">
        <f>'55'!A16</f>
        <v>5</v>
      </c>
      <c r="I16" s="189"/>
      <c r="J16" s="209">
        <f>'55'!A19</f>
        <v>5</v>
      </c>
      <c r="K16" s="189"/>
      <c r="L16" s="40"/>
      <c r="M16" s="182"/>
      <c r="N16" s="182" t="s">
        <v>40</v>
      </c>
      <c r="O16" s="182"/>
      <c r="P16" s="187"/>
      <c r="Q16" s="182"/>
      <c r="R16" s="182"/>
      <c r="S16" s="175"/>
      <c r="T16" s="193">
        <f>'55'!A68</f>
        <v>9</v>
      </c>
      <c r="U16" s="211">
        <f>'55'!B68</f>
        <v>0</v>
      </c>
      <c r="V16" s="175"/>
      <c r="W16" s="212">
        <f>'55'!A69</f>
        <v>5</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'55'!A21</f>
        <v>325</v>
      </c>
      <c r="G19" s="206">
        <f>'55'!B21</f>
        <v>0</v>
      </c>
      <c r="H19" s="218">
        <f>'55'!A24</f>
        <v>490</v>
      </c>
      <c r="I19" s="200">
        <f>'55'!B24</f>
        <v>0</v>
      </c>
      <c r="J19" s="218">
        <f>'55'!A27</f>
        <v>700</v>
      </c>
      <c r="K19" s="200">
        <f>'55'!B27</f>
        <v>0</v>
      </c>
      <c r="L19" s="40"/>
      <c r="M19" s="182" t="s">
        <v>50</v>
      </c>
      <c r="N19" s="182"/>
      <c r="O19" s="187" t="s">
        <v>51</v>
      </c>
      <c r="P19" s="219">
        <f>'55'!A57</f>
        <v>5</v>
      </c>
      <c r="Q19" s="220"/>
      <c r="R19" s="182"/>
      <c r="S19" s="216" t="s">
        <v>74</v>
      </c>
      <c r="T19" s="221">
        <f>'55'!A58</f>
        <v>0</v>
      </c>
      <c r="U19" s="220"/>
      <c r="V19" s="217" t="s">
        <v>75</v>
      </c>
      <c r="W19" s="219">
        <f>'55'!A59</f>
        <v>0</v>
      </c>
      <c r="X19" s="222"/>
      <c r="Y19" s="179"/>
    </row>
    <row r="20" spans="2:25" x14ac:dyDescent="0.25">
      <c r="B20" s="168"/>
      <c r="C20" s="40"/>
      <c r="D20" s="40" t="s">
        <v>5</v>
      </c>
      <c r="E20" s="40"/>
      <c r="F20" s="199">
        <f>'55'!A22</f>
        <v>335</v>
      </c>
      <c r="G20" s="206">
        <f>'55'!B22</f>
        <v>0</v>
      </c>
      <c r="H20" s="196">
        <f>'55'!A25</f>
        <v>490</v>
      </c>
      <c r="I20" s="206">
        <f>'55'!B25</f>
        <v>0</v>
      </c>
      <c r="J20" s="196">
        <f>'55'!A28</f>
        <v>725</v>
      </c>
      <c r="K20" s="206">
        <f>'55'!B28</f>
        <v>0</v>
      </c>
      <c r="L20" s="40"/>
      <c r="M20" s="224" t="s">
        <v>52</v>
      </c>
      <c r="N20" s="223"/>
      <c r="O20" s="224"/>
      <c r="P20" s="199">
        <f>'55'!A75</f>
        <v>20</v>
      </c>
      <c r="Q20" s="225"/>
      <c r="R20" s="224"/>
      <c r="S20" s="182" t="s">
        <v>65</v>
      </c>
      <c r="T20" s="226"/>
      <c r="U20" s="227"/>
      <c r="V20" s="226"/>
      <c r="W20" s="199">
        <f>'55'!A76</f>
        <v>2</v>
      </c>
      <c r="X20" s="202"/>
      <c r="Y20" s="179"/>
    </row>
    <row r="21" spans="2:25" x14ac:dyDescent="0.25">
      <c r="B21" s="168"/>
      <c r="C21" s="40"/>
      <c r="D21" s="40" t="s">
        <v>6</v>
      </c>
      <c r="E21" s="40"/>
      <c r="F21" s="193">
        <f>'55'!A23</f>
        <v>375</v>
      </c>
      <c r="G21" s="211">
        <f>'55'!B23</f>
        <v>0</v>
      </c>
      <c r="H21" s="209">
        <f>'55'!A26</f>
        <v>590</v>
      </c>
      <c r="I21" s="211">
        <f>'55'!B26</f>
        <v>0</v>
      </c>
      <c r="J21" s="209">
        <f>'55'!A29</f>
        <v>850</v>
      </c>
      <c r="K21" s="211">
        <f>'55'!B29</f>
        <v>0</v>
      </c>
      <c r="L21" s="40"/>
      <c r="M21" s="182" t="s">
        <v>53</v>
      </c>
      <c r="N21" s="175"/>
      <c r="O21" s="182"/>
      <c r="P21" s="193">
        <f>'55'!A77</f>
        <v>5</v>
      </c>
      <c r="Q21" s="228"/>
      <c r="R21" s="196"/>
      <c r="S21" s="182" t="s">
        <v>66</v>
      </c>
      <c r="T21" s="182"/>
      <c r="U21" s="182"/>
      <c r="V21" s="182"/>
      <c r="W21" s="193">
        <f>'55'!A78</f>
        <v>15</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'55'!A31</f>
        <v>1000</v>
      </c>
      <c r="G24" s="200">
        <f>'55'!B31</f>
        <v>0</v>
      </c>
      <c r="H24" s="218">
        <f>'55'!A34</f>
        <v>625</v>
      </c>
      <c r="I24" s="200">
        <f>'55'!B34</f>
        <v>0</v>
      </c>
      <c r="J24" s="218">
        <f>'55'!A37</f>
        <v>325</v>
      </c>
      <c r="K24" s="200">
        <f>'55'!B37</f>
        <v>0</v>
      </c>
      <c r="L24" s="40"/>
      <c r="M24" s="182" t="s">
        <v>55</v>
      </c>
      <c r="N24" s="182"/>
      <c r="O24" s="182"/>
      <c r="P24" s="201">
        <f>'55'!A81</f>
        <v>4</v>
      </c>
      <c r="Q24" s="206">
        <f>'55'!B81</f>
        <v>0</v>
      </c>
      <c r="R24" s="196"/>
      <c r="S24" s="182" t="s">
        <v>67</v>
      </c>
      <c r="T24" s="182"/>
      <c r="U24" s="182"/>
      <c r="V24" s="182"/>
      <c r="W24" s="219">
        <f>'55'!A82</f>
        <v>0</v>
      </c>
      <c r="X24" s="222">
        <f>'55'!B82</f>
        <v>0</v>
      </c>
      <c r="Y24" s="179"/>
    </row>
    <row r="25" spans="2:25" x14ac:dyDescent="0.25">
      <c r="B25" s="168"/>
      <c r="C25" s="40" t="s">
        <v>37</v>
      </c>
      <c r="D25" s="40" t="s">
        <v>38</v>
      </c>
      <c r="E25" s="40"/>
      <c r="F25" s="199">
        <f>'55'!A32</f>
        <v>150</v>
      </c>
      <c r="G25" s="206">
        <f>'55'!B32</f>
        <v>0</v>
      </c>
      <c r="H25" s="196">
        <f>'55'!A35</f>
        <v>150</v>
      </c>
      <c r="I25" s="206">
        <f>'55'!B35</f>
        <v>0</v>
      </c>
      <c r="J25" s="196">
        <f>'55'!A38</f>
        <v>75</v>
      </c>
      <c r="K25" s="206">
        <f>'55'!B38</f>
        <v>0</v>
      </c>
      <c r="L25" s="40"/>
      <c r="M25" s="182" t="s">
        <v>56</v>
      </c>
      <c r="N25" s="182"/>
      <c r="O25" s="182"/>
      <c r="P25" s="230">
        <f>'55'!A83/100</f>
        <v>12</v>
      </c>
      <c r="Q25" s="206">
        <f>'55'!B83</f>
        <v>0</v>
      </c>
      <c r="R25" s="196"/>
      <c r="S25" s="175"/>
      <c r="T25" s="182"/>
      <c r="U25" s="182"/>
      <c r="V25" s="182"/>
      <c r="W25" s="196"/>
      <c r="X25" s="184"/>
      <c r="Y25" s="179"/>
    </row>
    <row r="26" spans="2:25" x14ac:dyDescent="0.25">
      <c r="B26" s="168"/>
      <c r="C26" s="40" t="s">
        <v>39</v>
      </c>
      <c r="D26" s="40" t="s">
        <v>40</v>
      </c>
      <c r="E26" s="40"/>
      <c r="F26" s="193">
        <f>'55'!A33</f>
        <v>250</v>
      </c>
      <c r="G26" s="211">
        <f>'55'!B33</f>
        <v>0</v>
      </c>
      <c r="H26" s="209">
        <f>'55'!A36</f>
        <v>150</v>
      </c>
      <c r="I26" s="211">
        <f>'55'!B36</f>
        <v>0</v>
      </c>
      <c r="J26" s="193">
        <f>'55'!A39</f>
        <v>100</v>
      </c>
      <c r="K26" s="211">
        <f>'55'!B39</f>
        <v>0</v>
      </c>
      <c r="L26" s="40"/>
      <c r="M26" s="182" t="s">
        <v>57</v>
      </c>
      <c r="N26" s="182"/>
      <c r="O26" s="182"/>
      <c r="P26" s="193">
        <f>'55'!A85</f>
        <v>70</v>
      </c>
      <c r="Q26" s="211">
        <f>'55'!B85</f>
        <v>0</v>
      </c>
      <c r="R26" s="231"/>
      <c r="S26" s="182" t="s">
        <v>68</v>
      </c>
      <c r="T26" s="175"/>
      <c r="U26" s="182"/>
      <c r="V26" s="182"/>
      <c r="W26" s="219">
        <f>'55'!A86</f>
        <v>0</v>
      </c>
      <c r="X26" s="232">
        <f>'55'!B86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'55'!A41</f>
        <v>0</v>
      </c>
      <c r="G29" s="198"/>
      <c r="H29" s="218">
        <f>'55'!A42</f>
        <v>1</v>
      </c>
      <c r="I29" s="198"/>
      <c r="J29" s="218">
        <f>'55'!A43</f>
        <v>0</v>
      </c>
      <c r="K29" s="237"/>
      <c r="L29" s="40"/>
      <c r="M29" s="182" t="s">
        <v>59</v>
      </c>
      <c r="N29" s="182"/>
      <c r="O29" s="182"/>
      <c r="P29" s="201">
        <f>'55'!A91</f>
        <v>0</v>
      </c>
      <c r="Q29" s="206">
        <f>'55'!B91</f>
        <v>0</v>
      </c>
      <c r="R29" s="196"/>
      <c r="S29" s="182" t="s">
        <v>69</v>
      </c>
      <c r="T29" s="182"/>
      <c r="U29" s="182"/>
      <c r="V29" s="182"/>
      <c r="W29" s="201">
        <f>'55'!A92</f>
        <v>0</v>
      </c>
      <c r="X29" s="200">
        <f>'55'!B92</f>
        <v>0</v>
      </c>
      <c r="Y29" s="179"/>
    </row>
    <row r="30" spans="2:25" x14ac:dyDescent="0.25">
      <c r="B30" s="168"/>
      <c r="C30" s="40" t="s">
        <v>43</v>
      </c>
      <c r="D30" s="40"/>
      <c r="E30" s="196"/>
      <c r="F30" s="199">
        <f>'55'!A44</f>
        <v>25</v>
      </c>
      <c r="G30" s="205"/>
      <c r="H30" s="196">
        <f>'55'!A45</f>
        <v>15</v>
      </c>
      <c r="I30" s="205"/>
      <c r="J30" s="196">
        <f>'55'!A46</f>
        <v>15</v>
      </c>
      <c r="K30" s="179"/>
      <c r="L30" s="40"/>
      <c r="M30" s="182" t="s">
        <v>60</v>
      </c>
      <c r="N30" s="182"/>
      <c r="O30" s="182"/>
      <c r="P30" s="199">
        <f>'55'!A93</f>
        <v>0</v>
      </c>
      <c r="Q30" s="206">
        <f>'55'!B93</f>
        <v>0</v>
      </c>
      <c r="R30" s="196"/>
      <c r="S30" s="175" t="s">
        <v>70</v>
      </c>
      <c r="T30" s="182"/>
      <c r="U30" s="182"/>
      <c r="V30" s="182"/>
      <c r="W30" s="199">
        <f>'55'!A94</f>
        <v>0</v>
      </c>
      <c r="X30" s="206">
        <f>'55'!B94</f>
        <v>0</v>
      </c>
      <c r="Y30" s="179"/>
    </row>
    <row r="31" spans="2:25" x14ac:dyDescent="0.25">
      <c r="B31" s="168"/>
      <c r="C31" s="40" t="s">
        <v>44</v>
      </c>
      <c r="D31" s="175"/>
      <c r="E31" s="175"/>
      <c r="F31" s="199">
        <f>'55'!A47</f>
        <v>115</v>
      </c>
      <c r="G31" s="202"/>
      <c r="H31" s="199">
        <f>'55'!A48</f>
        <v>165</v>
      </c>
      <c r="I31" s="202"/>
      <c r="J31" s="199">
        <f>'55'!A49</f>
        <v>325</v>
      </c>
      <c r="K31" s="202"/>
      <c r="L31" s="40"/>
      <c r="M31" s="182" t="s">
        <v>61</v>
      </c>
      <c r="N31" s="182"/>
      <c r="O31" s="182"/>
      <c r="P31" s="199">
        <f>'55'!A73</f>
        <v>0</v>
      </c>
      <c r="Q31" s="206">
        <f>'55'!B73</f>
        <v>0</v>
      </c>
      <c r="R31" s="196"/>
      <c r="S31" s="182" t="s">
        <v>71</v>
      </c>
      <c r="T31" s="182"/>
      <c r="U31" s="182"/>
      <c r="V31" s="182"/>
      <c r="W31" s="199">
        <f>'55'!A74</f>
        <v>0</v>
      </c>
      <c r="X31" s="206">
        <f>'55'!B74</f>
        <v>0</v>
      </c>
      <c r="Y31" s="179"/>
    </row>
    <row r="32" spans="2:25" x14ac:dyDescent="0.25">
      <c r="B32" s="168"/>
      <c r="C32" s="269" t="s">
        <v>45</v>
      </c>
      <c r="D32" s="40"/>
      <c r="E32" s="196"/>
      <c r="F32" s="193">
        <f>'55'!A51</f>
        <v>0</v>
      </c>
      <c r="G32" s="211">
        <f>'55'!B51</f>
        <v>0</v>
      </c>
      <c r="H32" s="209">
        <f>'55'!A52</f>
        <v>0</v>
      </c>
      <c r="I32" s="211">
        <f>'55'!B52</f>
        <v>0</v>
      </c>
      <c r="J32" s="209">
        <f>'55'!A53</f>
        <v>0</v>
      </c>
      <c r="K32" s="211">
        <f>'55'!B53</f>
        <v>0</v>
      </c>
      <c r="L32" s="40"/>
      <c r="M32" s="44" t="s">
        <v>62</v>
      </c>
      <c r="N32" s="182"/>
      <c r="O32" s="182"/>
      <c r="P32" s="193">
        <f>'55'!A72</f>
        <v>0</v>
      </c>
      <c r="Q32" s="211">
        <f>'55'!B72</f>
        <v>0</v>
      </c>
      <c r="R32" s="196"/>
      <c r="S32" s="182" t="s">
        <v>72</v>
      </c>
      <c r="T32" s="182"/>
      <c r="U32" s="182"/>
      <c r="V32" s="182"/>
      <c r="W32" s="193">
        <f>'55'!A99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'55'!A54</f>
        <v>0</v>
      </c>
      <c r="G35" s="238">
        <f>'55'!B54</f>
        <v>0</v>
      </c>
      <c r="H35" s="188">
        <f>'55'!A55</f>
        <v>0</v>
      </c>
      <c r="I35" s="238">
        <f>'55'!B55</f>
        <v>0</v>
      </c>
      <c r="J35" s="188">
        <f>'55'!A56</f>
        <v>0</v>
      </c>
      <c r="K35" s="238">
        <f>'55'!B56</f>
        <v>0</v>
      </c>
      <c r="L35" s="40"/>
      <c r="M35" s="182" t="s">
        <v>64</v>
      </c>
      <c r="N35" s="182"/>
      <c r="O35" s="182"/>
      <c r="P35" s="219">
        <f>'55'!A97</f>
        <v>0</v>
      </c>
      <c r="Q35" s="239"/>
      <c r="R35" s="182"/>
      <c r="S35" s="182" t="s">
        <v>73</v>
      </c>
      <c r="T35" s="182"/>
      <c r="U35" s="182"/>
      <c r="V35" s="182"/>
      <c r="W35" s="219">
        <f>'55'!A98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1">
    <tabColor theme="8" tint="-0.499984740745262"/>
    <pageSetUpPr fitToPage="1"/>
  </sheetPr>
  <dimension ref="A1:AL65"/>
  <sheetViews>
    <sheetView showGridLines="0" topLeftCell="F1" workbookViewId="0">
      <selection activeCell="R25" sqref="R25"/>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'55'!A1</f>
        <v>1</v>
      </c>
      <c r="F1" s="512" t="s">
        <v>87</v>
      </c>
      <c r="H1" s="172">
        <f>'55'!A2</f>
        <v>1</v>
      </c>
      <c r="M1" s="513" t="s">
        <v>88</v>
      </c>
      <c r="T1" s="170" t="s">
        <v>81</v>
      </c>
      <c r="U1" s="172">
        <f>'55'!A4</f>
        <v>2017</v>
      </c>
      <c r="V1" s="164"/>
      <c r="W1" s="171" t="s">
        <v>80</v>
      </c>
      <c r="X1" s="172">
        <f>'55'!A5</f>
        <v>2</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'55'!A108</f>
        <v>1400</v>
      </c>
      <c r="V6" s="251"/>
      <c r="W6" s="196">
        <f>'55'!A109</f>
        <v>925</v>
      </c>
      <c r="X6" s="182"/>
      <c r="Y6" s="199">
        <f>'55'!A110</f>
        <v>500</v>
      </c>
      <c r="Z6" s="182"/>
      <c r="AA6" s="179"/>
      <c r="AC6" s="40"/>
      <c r="AD6" s="40"/>
      <c r="AE6" s="40"/>
      <c r="AF6" s="196"/>
      <c r="AG6" s="182"/>
      <c r="AH6" s="196"/>
      <c r="AI6" s="182"/>
      <c r="AJ6" s="196"/>
      <c r="AK6" s="182"/>
      <c r="AL6" s="40"/>
    </row>
    <row r="7" spans="2:38" x14ac:dyDescent="0.2">
      <c r="B7" s="244"/>
      <c r="C7" s="175" t="s">
        <v>91</v>
      </c>
      <c r="F7" s="40"/>
      <c r="G7" s="252">
        <f>'55'!A281</f>
        <v>1000</v>
      </c>
      <c r="H7" s="179"/>
      <c r="I7" s="40"/>
      <c r="J7" s="244"/>
      <c r="K7" s="40" t="s">
        <v>129</v>
      </c>
      <c r="L7" s="40"/>
      <c r="M7" s="40"/>
      <c r="N7" s="253">
        <f>'55'!A191</f>
        <v>17</v>
      </c>
      <c r="O7" s="253">
        <f>'55'!A192</f>
        <v>31</v>
      </c>
      <c r="P7" s="179"/>
      <c r="R7" s="244"/>
      <c r="S7" s="40" t="s">
        <v>161</v>
      </c>
      <c r="T7" s="40"/>
      <c r="U7" s="199">
        <f>'55'!A111</f>
        <v>1442</v>
      </c>
      <c r="V7" s="251"/>
      <c r="W7" s="196">
        <f>'55'!A112</f>
        <v>954</v>
      </c>
      <c r="X7" s="182"/>
      <c r="Y7" s="199">
        <f>'55'!A113</f>
        <v>516</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'55'!A193</f>
        <v>4</v>
      </c>
      <c r="O8" s="253">
        <f>'55'!A194</f>
        <v>1</v>
      </c>
      <c r="P8" s="179"/>
      <c r="R8" s="244"/>
      <c r="S8" s="40" t="s">
        <v>162</v>
      </c>
      <c r="T8" s="40"/>
      <c r="U8" s="199">
        <f>'55'!A114</f>
        <v>42</v>
      </c>
      <c r="V8" s="251"/>
      <c r="W8" s="196">
        <f>'55'!A115</f>
        <v>29</v>
      </c>
      <c r="X8" s="182"/>
      <c r="Y8" s="199">
        <f>'55'!A116</f>
        <v>16</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'55'!A82</f>
        <v>0</v>
      </c>
      <c r="O9" s="253"/>
      <c r="P9" s="179"/>
      <c r="R9" s="244"/>
      <c r="S9" s="40" t="s">
        <v>163</v>
      </c>
      <c r="T9" s="40"/>
      <c r="U9" s="199">
        <f>'55'!A117</f>
        <v>0</v>
      </c>
      <c r="V9" s="254">
        <f>'55'!B117</f>
        <v>0</v>
      </c>
      <c r="W9" s="196">
        <f>'55'!A118</f>
        <v>0</v>
      </c>
      <c r="X9" s="184">
        <f>'55'!B118</f>
        <v>0</v>
      </c>
      <c r="Y9" s="199">
        <f>'55'!A119</f>
        <v>0</v>
      </c>
      <c r="Z9" s="184">
        <f>'55'!B119</f>
        <v>0</v>
      </c>
      <c r="AA9" s="179"/>
      <c r="AC9" s="40"/>
      <c r="AD9" s="40"/>
      <c r="AE9" s="40"/>
      <c r="AF9" s="196"/>
      <c r="AG9" s="184"/>
      <c r="AH9" s="196"/>
      <c r="AI9" s="184"/>
      <c r="AJ9" s="196"/>
      <c r="AK9" s="184"/>
      <c r="AL9" s="40"/>
    </row>
    <row r="10" spans="2:38" x14ac:dyDescent="0.2">
      <c r="B10" s="244"/>
      <c r="C10" s="175" t="s">
        <v>94</v>
      </c>
      <c r="F10" s="40"/>
      <c r="G10" s="252">
        <f>'55'!A284</f>
        <v>500</v>
      </c>
      <c r="H10" s="179"/>
      <c r="I10" s="40"/>
      <c r="J10" s="244"/>
      <c r="K10" s="182" t="s">
        <v>132</v>
      </c>
      <c r="L10" s="40"/>
      <c r="M10" s="40"/>
      <c r="N10" s="253">
        <f>'55'!A195</f>
        <v>0</v>
      </c>
      <c r="O10" s="253">
        <f>'55'!A196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5</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'55'!A285</f>
        <v>100</v>
      </c>
      <c r="H12" s="179"/>
      <c r="I12" s="40"/>
      <c r="J12" s="244"/>
      <c r="K12" s="40" t="s">
        <v>134</v>
      </c>
      <c r="L12" s="40"/>
      <c r="M12" s="40"/>
      <c r="N12" s="255">
        <f>'55'!A197</f>
        <v>21</v>
      </c>
      <c r="O12" s="255">
        <f>'55'!A198</f>
        <v>27</v>
      </c>
      <c r="P12" s="179"/>
      <c r="R12" s="244"/>
      <c r="S12" s="182" t="s">
        <v>165</v>
      </c>
      <c r="T12" s="40"/>
      <c r="U12" s="199">
        <f>'55'!A121</f>
        <v>1000</v>
      </c>
      <c r="V12" s="251"/>
      <c r="W12" s="199">
        <f>'55'!A124</f>
        <v>625</v>
      </c>
      <c r="X12" s="182"/>
      <c r="Y12" s="199">
        <f>'55'!A127</f>
        <v>325</v>
      </c>
      <c r="Z12" s="182"/>
      <c r="AA12" s="179"/>
      <c r="AC12" s="40"/>
      <c r="AD12" s="182"/>
      <c r="AE12" s="40"/>
      <c r="AF12" s="196"/>
      <c r="AG12" s="182"/>
      <c r="AH12" s="196"/>
      <c r="AI12" s="182"/>
      <c r="AJ12" s="196"/>
      <c r="AK12" s="182"/>
      <c r="AL12" s="40"/>
    </row>
    <row r="13" spans="2:38" ht="13.2" x14ac:dyDescent="0.3">
      <c r="B13" s="244"/>
      <c r="C13" s="175" t="s">
        <v>97</v>
      </c>
      <c r="F13" s="40"/>
      <c r="G13" s="252">
        <f>'55'!A286</f>
        <v>210</v>
      </c>
      <c r="H13" s="179"/>
      <c r="I13" s="40"/>
      <c r="J13" s="245"/>
      <c r="K13" s="214"/>
      <c r="L13" s="214"/>
      <c r="M13" s="214"/>
      <c r="N13" s="214"/>
      <c r="O13" s="214"/>
      <c r="P13" s="229"/>
      <c r="R13" s="244"/>
      <c r="S13" s="256" t="s">
        <v>166</v>
      </c>
      <c r="T13" s="40"/>
      <c r="U13" s="199">
        <f>'55'!A122</f>
        <v>150</v>
      </c>
      <c r="V13" s="251"/>
      <c r="W13" s="199">
        <f>'55'!A125</f>
        <v>150</v>
      </c>
      <c r="X13" s="182"/>
      <c r="Y13" s="199">
        <f>'55'!A128</f>
        <v>75</v>
      </c>
      <c r="Z13" s="182"/>
      <c r="AA13" s="179"/>
      <c r="AC13" s="40"/>
      <c r="AD13" s="256"/>
      <c r="AE13" s="40"/>
      <c r="AF13" s="196"/>
      <c r="AG13" s="182"/>
      <c r="AH13" s="196"/>
      <c r="AI13" s="182"/>
      <c r="AJ13" s="196"/>
      <c r="AK13" s="182"/>
      <c r="AL13" s="40"/>
    </row>
    <row r="14" spans="2:38" x14ac:dyDescent="0.2">
      <c r="B14" s="244"/>
      <c r="C14" s="175" t="s">
        <v>98</v>
      </c>
      <c r="F14" s="40"/>
      <c r="G14" s="257">
        <f>'55'!A287</f>
        <v>8</v>
      </c>
      <c r="H14" s="179"/>
      <c r="I14" s="40"/>
      <c r="J14" s="244"/>
      <c r="K14" s="40"/>
      <c r="L14" s="40"/>
      <c r="M14" s="40"/>
      <c r="N14" s="40"/>
      <c r="O14" s="213"/>
      <c r="P14" s="179"/>
      <c r="R14" s="244"/>
      <c r="S14" s="182" t="s">
        <v>167</v>
      </c>
      <c r="T14" s="40"/>
      <c r="U14" s="199">
        <f>'55'!A123</f>
        <v>250</v>
      </c>
      <c r="V14" s="251"/>
      <c r="W14" s="199">
        <f>'55'!A126</f>
        <v>150</v>
      </c>
      <c r="X14" s="182"/>
      <c r="Y14" s="199">
        <f>'55'!A129</f>
        <v>100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57</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'55'!A305</f>
        <v>9792</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'55'!A306</f>
        <v>227</v>
      </c>
      <c r="P17" s="254">
        <f>'55'!B307</f>
        <v>0</v>
      </c>
      <c r="R17" s="244"/>
      <c r="S17" s="40" t="s">
        <v>169</v>
      </c>
      <c r="T17" s="40"/>
      <c r="U17" s="199">
        <f>'55'!A131</f>
        <v>1016</v>
      </c>
      <c r="V17" s="251"/>
      <c r="W17" s="199">
        <f>'55'!A134</f>
        <v>670</v>
      </c>
      <c r="X17" s="182"/>
      <c r="Y17" s="199">
        <f>'55'!A137</f>
        <v>396</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'55'!A291</f>
        <v>0</v>
      </c>
      <c r="H18" s="179"/>
      <c r="I18" s="40"/>
      <c r="J18" s="244"/>
      <c r="K18" s="182" t="s">
        <v>107</v>
      </c>
      <c r="L18" s="40"/>
      <c r="M18" s="40"/>
      <c r="N18" s="40"/>
      <c r="O18" s="252">
        <f>'55'!A307</f>
        <v>8181</v>
      </c>
      <c r="P18" s="179"/>
      <c r="R18" s="244"/>
      <c r="S18" s="259" t="s">
        <v>170</v>
      </c>
      <c r="T18" s="40"/>
      <c r="U18" s="199">
        <f>'55'!A132</f>
        <v>122</v>
      </c>
      <c r="V18" s="251"/>
      <c r="W18" s="199">
        <f>'55'!A135</f>
        <v>120</v>
      </c>
      <c r="X18" s="182"/>
      <c r="Y18" s="199">
        <f>'55'!A138</f>
        <v>63</v>
      </c>
      <c r="Z18" s="182"/>
      <c r="AA18" s="179"/>
      <c r="AC18" s="40"/>
      <c r="AD18" s="259"/>
      <c r="AE18" s="40"/>
      <c r="AF18" s="196"/>
      <c r="AG18" s="182"/>
      <c r="AH18" s="196"/>
      <c r="AI18" s="182"/>
      <c r="AJ18" s="196"/>
      <c r="AK18" s="182"/>
      <c r="AL18" s="40"/>
    </row>
    <row r="19" spans="2:38" x14ac:dyDescent="0.2">
      <c r="B19" s="244"/>
      <c r="C19" s="40" t="s">
        <v>102</v>
      </c>
      <c r="D19" s="40"/>
      <c r="E19" s="40"/>
      <c r="F19" s="40"/>
      <c r="G19" s="196">
        <f>'55'!A292</f>
        <v>4</v>
      </c>
      <c r="H19" s="179"/>
      <c r="I19" s="40"/>
      <c r="J19" s="244"/>
      <c r="P19" s="179"/>
      <c r="R19" s="244"/>
      <c r="S19" s="40" t="s">
        <v>18</v>
      </c>
      <c r="T19" s="40"/>
      <c r="U19" s="199">
        <f>'55'!A133</f>
        <v>243</v>
      </c>
      <c r="V19" s="251"/>
      <c r="W19" s="199">
        <f>'55'!A136</f>
        <v>167</v>
      </c>
      <c r="X19" s="182"/>
      <c r="Y19" s="199">
        <f>'55'!A139</f>
        <v>95</v>
      </c>
      <c r="Z19" s="182"/>
      <c r="AA19" s="179"/>
      <c r="AC19" s="40"/>
      <c r="AD19" s="40"/>
      <c r="AE19" s="40"/>
      <c r="AF19" s="196"/>
      <c r="AG19" s="182"/>
      <c r="AH19" s="196"/>
      <c r="AI19" s="182"/>
      <c r="AJ19" s="196"/>
      <c r="AK19" s="182"/>
      <c r="AL19" s="40"/>
    </row>
    <row r="20" spans="2:38" x14ac:dyDescent="0.2">
      <c r="B20" s="244"/>
      <c r="C20" s="40" t="s">
        <v>103</v>
      </c>
      <c r="D20" s="40"/>
      <c r="E20" s="40"/>
      <c r="F20" s="196"/>
      <c r="G20" s="196">
        <f>'55'!A293</f>
        <v>0</v>
      </c>
      <c r="H20" s="179"/>
      <c r="I20" s="40"/>
      <c r="J20" s="244"/>
      <c r="K20" s="40" t="s">
        <v>138</v>
      </c>
      <c r="L20" s="40"/>
      <c r="M20" s="40"/>
      <c r="N20" s="40"/>
      <c r="O20" s="196">
        <f>'55'!A308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'55'!A294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'55'!A141</f>
        <v>1016</v>
      </c>
      <c r="V22" s="251"/>
      <c r="W22" s="199">
        <f>'55'!A144</f>
        <v>625</v>
      </c>
      <c r="X22" s="182"/>
      <c r="Y22" s="199">
        <f>'55'!A147</f>
        <v>384</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'55'!A301</f>
        <v>4272</v>
      </c>
      <c r="H23" s="205"/>
      <c r="I23" s="40"/>
      <c r="R23" s="244"/>
      <c r="S23" s="259" t="s">
        <v>170</v>
      </c>
      <c r="T23" s="40"/>
      <c r="U23" s="199">
        <f>'55'!A142</f>
        <v>122</v>
      </c>
      <c r="V23" s="251"/>
      <c r="W23" s="199">
        <f>'55'!A145</f>
        <v>120</v>
      </c>
      <c r="X23" s="182"/>
      <c r="Y23" s="199">
        <f>'55'!A148</f>
        <v>63</v>
      </c>
      <c r="Z23" s="182"/>
      <c r="AA23" s="179"/>
      <c r="AC23" s="40"/>
      <c r="AD23" s="259"/>
      <c r="AE23" s="40"/>
      <c r="AF23" s="196"/>
      <c r="AG23" s="182"/>
      <c r="AH23" s="196"/>
      <c r="AI23" s="182"/>
      <c r="AJ23" s="196"/>
      <c r="AK23" s="182"/>
      <c r="AL23" s="40"/>
    </row>
    <row r="24" spans="2:38" x14ac:dyDescent="0.2">
      <c r="B24" s="244"/>
      <c r="C24" s="40" t="s">
        <v>106</v>
      </c>
      <c r="D24" s="40"/>
      <c r="E24" s="40"/>
      <c r="F24" s="40"/>
      <c r="G24" s="196">
        <f>'55'!A302</f>
        <v>56</v>
      </c>
      <c r="H24" s="260">
        <f>'55'!B302</f>
        <v>0</v>
      </c>
      <c r="I24" s="40"/>
      <c r="J24" s="243"/>
      <c r="K24" s="227"/>
      <c r="L24" s="227"/>
      <c r="M24" s="227"/>
      <c r="N24" s="188"/>
      <c r="O24" s="188"/>
      <c r="P24" s="237"/>
      <c r="R24" s="244"/>
      <c r="S24" s="40" t="s">
        <v>18</v>
      </c>
      <c r="T24" s="40"/>
      <c r="U24" s="199">
        <f>'55'!A143</f>
        <v>243</v>
      </c>
      <c r="V24" s="251"/>
      <c r="W24" s="199">
        <f>'55'!A146</f>
        <v>150</v>
      </c>
      <c r="X24" s="182"/>
      <c r="Y24" s="199">
        <f>'55'!A149</f>
        <v>95</v>
      </c>
      <c r="Z24" s="182"/>
      <c r="AA24" s="179"/>
      <c r="AC24" s="40"/>
      <c r="AD24" s="40"/>
      <c r="AE24" s="40"/>
      <c r="AF24" s="196"/>
      <c r="AG24" s="182"/>
      <c r="AH24" s="196"/>
      <c r="AI24" s="182"/>
      <c r="AJ24" s="196"/>
      <c r="AK24" s="182"/>
      <c r="AL24" s="40"/>
    </row>
    <row r="25" spans="2:38" ht="12" x14ac:dyDescent="0.25">
      <c r="B25" s="244"/>
      <c r="C25" s="182" t="s">
        <v>107</v>
      </c>
      <c r="G25" s="196">
        <f>'55'!A303</f>
        <v>3855</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G19*'55'!A75-G24</f>
        <v>24</v>
      </c>
      <c r="H26" s="179"/>
      <c r="I26" s="40"/>
      <c r="J26" s="244"/>
      <c r="K26" s="182" t="s">
        <v>142</v>
      </c>
      <c r="L26" s="40"/>
      <c r="M26" s="253">
        <f>'55'!A321</f>
        <v>3</v>
      </c>
      <c r="N26" s="253">
        <f>'55'!A322</f>
        <v>1</v>
      </c>
      <c r="O26" s="196">
        <f>IF('55'!A327&gt;0,1,0)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'55'!A304</f>
        <v>95</v>
      </c>
      <c r="H27" s="179"/>
      <c r="I27" s="40"/>
      <c r="J27" s="244"/>
      <c r="K27" s="182" t="s">
        <v>143</v>
      </c>
      <c r="L27" s="40"/>
      <c r="M27" s="253">
        <f>'55'!A323</f>
        <v>0</v>
      </c>
      <c r="N27" s="253">
        <f>'55'!A324</f>
        <v>0</v>
      </c>
      <c r="O27" s="196"/>
      <c r="P27" s="261"/>
      <c r="R27" s="244"/>
      <c r="S27" s="40" t="s">
        <v>169</v>
      </c>
      <c r="T27" s="40"/>
      <c r="U27" s="199">
        <f>'55'!A151</f>
        <v>0</v>
      </c>
      <c r="V27" s="251"/>
      <c r="W27" s="199">
        <f>'55'!A154</f>
        <v>22</v>
      </c>
      <c r="X27" s="182"/>
      <c r="Y27" s="199">
        <f>'55'!A157</f>
        <v>6</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'55'!A152</f>
        <v>0</v>
      </c>
      <c r="V28" s="251"/>
      <c r="W28" s="199">
        <f>'55'!A155</f>
        <v>0</v>
      </c>
      <c r="X28" s="182"/>
      <c r="Y28" s="199">
        <f>'55'!A158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'55'!A311</f>
        <v>1618</v>
      </c>
      <c r="H30" s="179"/>
      <c r="I30" s="40"/>
      <c r="J30" s="244"/>
      <c r="K30" s="182" t="s">
        <v>146</v>
      </c>
      <c r="L30" s="40"/>
      <c r="M30" s="255">
        <f>'55'!A325</f>
        <v>3</v>
      </c>
      <c r="N30" s="255">
        <f>'55'!A326</f>
        <v>1</v>
      </c>
      <c r="O30" s="193">
        <f>IF('55'!A328&gt;0,1,0)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1000*'55'!A57+'55'!A312</f>
        <v>5000</v>
      </c>
      <c r="H31" s="179"/>
      <c r="I31" s="40"/>
      <c r="J31" s="245"/>
      <c r="K31" s="214"/>
      <c r="L31" s="214"/>
      <c r="M31" s="214"/>
      <c r="N31" s="214"/>
      <c r="O31" s="214"/>
      <c r="P31" s="229"/>
      <c r="R31" s="244"/>
      <c r="S31" s="40" t="s">
        <v>169</v>
      </c>
      <c r="T31" s="40"/>
      <c r="U31" s="199">
        <f>'55'!A161</f>
        <v>119</v>
      </c>
      <c r="V31" s="251"/>
      <c r="W31" s="199">
        <f>'55'!A164</f>
        <v>0</v>
      </c>
      <c r="X31" s="182"/>
      <c r="Y31" s="199">
        <f>'55'!A167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'55'!A313</f>
        <v>0</v>
      </c>
      <c r="H32" s="179"/>
      <c r="I32" s="40"/>
      <c r="M32" s="175" t="s">
        <v>0</v>
      </c>
      <c r="R32" s="244"/>
      <c r="S32" s="259" t="s">
        <v>170</v>
      </c>
      <c r="T32" s="40"/>
      <c r="U32" s="199">
        <f>'55'!A162</f>
        <v>56</v>
      </c>
      <c r="V32" s="251"/>
      <c r="W32" s="199">
        <f>'55'!A165</f>
        <v>30</v>
      </c>
      <c r="X32" s="182"/>
      <c r="Y32" s="199">
        <f>'55'!A168</f>
        <v>12</v>
      </c>
      <c r="Z32" s="182"/>
      <c r="AA32" s="179"/>
      <c r="AC32" s="40"/>
      <c r="AD32" s="259"/>
      <c r="AE32" s="40"/>
      <c r="AF32" s="196"/>
      <c r="AG32" s="182"/>
      <c r="AH32" s="196"/>
      <c r="AI32" s="182"/>
      <c r="AJ32" s="196"/>
      <c r="AK32" s="182"/>
      <c r="AL32" s="40"/>
    </row>
    <row r="33" spans="2:38" x14ac:dyDescent="0.2">
      <c r="B33" s="244"/>
      <c r="C33" s="40" t="s">
        <v>114</v>
      </c>
      <c r="D33" s="40"/>
      <c r="E33" s="40"/>
      <c r="F33" s="40"/>
      <c r="G33" s="196">
        <f>'55'!A314</f>
        <v>0</v>
      </c>
      <c r="H33" s="263">
        <f>'55'!B313</f>
        <v>0</v>
      </c>
      <c r="I33" s="40"/>
      <c r="M33" s="40"/>
      <c r="R33" s="244"/>
      <c r="S33" s="40" t="s">
        <v>18</v>
      </c>
      <c r="T33" s="40"/>
      <c r="U33" s="199">
        <f>'55'!A163</f>
        <v>7</v>
      </c>
      <c r="V33" s="251"/>
      <c r="W33" s="199">
        <f>'55'!A166</f>
        <v>0</v>
      </c>
      <c r="X33" s="182"/>
      <c r="Y33" s="199">
        <f>'55'!A169</f>
        <v>5</v>
      </c>
      <c r="Z33" s="182"/>
      <c r="AA33" s="179"/>
      <c r="AC33" s="40"/>
      <c r="AD33" s="40"/>
      <c r="AE33" s="40"/>
      <c r="AF33" s="196"/>
      <c r="AG33" s="182"/>
      <c r="AH33" s="196"/>
      <c r="AI33" s="182"/>
      <c r="AJ33" s="196"/>
      <c r="AK33" s="182"/>
      <c r="AL33" s="40"/>
    </row>
    <row r="34" spans="2:38" x14ac:dyDescent="0.2">
      <c r="B34" s="244"/>
      <c r="C34" s="40" t="s">
        <v>115</v>
      </c>
      <c r="D34" s="40"/>
      <c r="E34" s="40"/>
      <c r="F34" s="40"/>
      <c r="G34" s="196">
        <f>'55'!A315</f>
        <v>4898</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'55'!A316</f>
        <v>1720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'55'!A295</f>
        <v>1381</v>
      </c>
      <c r="N36" s="199">
        <f>'55'!A297</f>
        <v>500</v>
      </c>
      <c r="O36" s="253">
        <f>'55'!A299</f>
        <v>300</v>
      </c>
      <c r="P36" s="179"/>
      <c r="R36" s="244"/>
      <c r="S36" s="247" t="s">
        <v>174</v>
      </c>
      <c r="T36" s="264"/>
      <c r="U36" s="196">
        <f>'55'!A171</f>
        <v>101</v>
      </c>
      <c r="V36" s="254" t="str">
        <f>'55'!B171</f>
        <v>!</v>
      </c>
      <c r="W36" s="196">
        <f>'55'!A172</f>
        <v>19</v>
      </c>
      <c r="X36" s="254">
        <f>'55'!B172</f>
        <v>0</v>
      </c>
      <c r="Y36" s="196">
        <f>'55'!A173</f>
        <v>12</v>
      </c>
      <c r="Z36" s="184">
        <f>'55'!B173</f>
        <v>0</v>
      </c>
      <c r="AA36" s="179"/>
      <c r="AC36" s="40"/>
      <c r="AD36" s="247"/>
      <c r="AE36" s="247"/>
      <c r="AF36" s="196"/>
      <c r="AG36" s="184"/>
      <c r="AH36" s="196"/>
      <c r="AI36" s="184"/>
      <c r="AJ36" s="196"/>
      <c r="AK36" s="184"/>
      <c r="AL36" s="40"/>
    </row>
    <row r="37" spans="2:38" x14ac:dyDescent="0.2">
      <c r="B37" s="244"/>
      <c r="C37" s="40" t="s">
        <v>118</v>
      </c>
      <c r="D37" s="40"/>
      <c r="E37" s="40"/>
      <c r="F37" s="40"/>
      <c r="G37" s="196">
        <f>1000*'55'!A58</f>
        <v>0</v>
      </c>
      <c r="H37" s="179"/>
      <c r="I37" s="40"/>
      <c r="J37" s="244"/>
      <c r="K37" s="40" t="s">
        <v>149</v>
      </c>
      <c r="L37" s="40"/>
      <c r="M37" s="255">
        <f>'55'!A296</f>
        <v>8</v>
      </c>
      <c r="N37" s="255">
        <f>'55'!A298</f>
        <v>2</v>
      </c>
      <c r="O37" s="255">
        <f>'55'!A300</f>
        <v>2</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'55'!A317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1000*'55'!A59</f>
        <v>0</v>
      </c>
      <c r="H39" s="179"/>
      <c r="I39" s="40"/>
      <c r="R39" s="244"/>
      <c r="S39" s="247" t="s">
        <v>175</v>
      </c>
      <c r="T39" s="247"/>
      <c r="U39" s="266" t="str">
        <f>'55'!A177</f>
        <v>Major</v>
      </c>
      <c r="V39" s="251"/>
      <c r="W39" s="266" t="str">
        <f>'55'!A178</f>
        <v>Minor</v>
      </c>
      <c r="X39" s="182"/>
      <c r="Y39" s="266" t="str">
        <f>'55'!A179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'55'!A318</f>
        <v>5</v>
      </c>
      <c r="H42" s="179"/>
      <c r="I42" s="40"/>
      <c r="J42" s="244"/>
      <c r="K42" s="215" t="s">
        <v>150</v>
      </c>
      <c r="N42" s="177" t="s">
        <v>154</v>
      </c>
      <c r="P42" s="179"/>
      <c r="R42" s="244"/>
      <c r="S42" s="269" t="s">
        <v>177</v>
      </c>
      <c r="T42" s="40"/>
      <c r="U42" s="199">
        <f>'55'!A181</f>
        <v>0</v>
      </c>
      <c r="V42" s="251"/>
      <c r="W42" s="196">
        <f>'55'!A182</f>
        <v>0</v>
      </c>
      <c r="X42" s="182"/>
      <c r="Y42" s="199">
        <f>'55'!A183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'55'!A319</f>
        <v>6897</v>
      </c>
      <c r="H43" s="179"/>
      <c r="I43" s="40"/>
      <c r="J43" s="244"/>
      <c r="K43" s="175" t="s">
        <v>151</v>
      </c>
      <c r="N43" s="271">
        <f>0.00019*50*G10</f>
        <v>4.75</v>
      </c>
      <c r="P43" s="179"/>
      <c r="R43" s="244"/>
      <c r="S43" s="269" t="s">
        <v>178</v>
      </c>
      <c r="T43" s="40"/>
      <c r="U43" s="199">
        <f>'55'!A54</f>
        <v>0</v>
      </c>
      <c r="V43" s="251"/>
      <c r="W43" s="199">
        <f>'55'!A55</f>
        <v>0</v>
      </c>
      <c r="X43" s="182"/>
      <c r="Y43" s="199">
        <f>'55'!A56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100-'55'!A320/10</f>
        <v>9.9999999999994316E-2</v>
      </c>
      <c r="H44" s="179"/>
      <c r="I44" s="40"/>
      <c r="J44" s="244"/>
      <c r="K44" s="175" t="s">
        <v>152</v>
      </c>
      <c r="N44" s="272">
        <f>0.00052*(6*G25+O18)</f>
        <v>16.28172</v>
      </c>
      <c r="P44" s="179"/>
      <c r="R44" s="244"/>
      <c r="S44" s="269" t="s">
        <v>179</v>
      </c>
      <c r="T44" s="40"/>
      <c r="U44" s="199">
        <f>'55'!A184</f>
        <v>0</v>
      </c>
      <c r="V44" s="251"/>
      <c r="W44" s="196">
        <f>'55'!A185</f>
        <v>0</v>
      </c>
      <c r="X44" s="182"/>
      <c r="Y44" s="199">
        <f>'55'!A186</f>
        <v>0</v>
      </c>
      <c r="Z44" s="182"/>
      <c r="AA44" s="179"/>
      <c r="AC44" s="40"/>
      <c r="AD44" s="269"/>
      <c r="AE44" s="40"/>
      <c r="AF44" s="196"/>
      <c r="AG44" s="182"/>
      <c r="AH44" s="196"/>
      <c r="AI44" s="182"/>
      <c r="AJ44" s="196"/>
      <c r="AK44" s="182"/>
      <c r="AL44" s="40"/>
    </row>
    <row r="45" spans="2:38" x14ac:dyDescent="0.2">
      <c r="B45" s="244"/>
      <c r="C45" s="44" t="s">
        <v>125</v>
      </c>
      <c r="G45" s="175">
        <f>'55'!A329</f>
        <v>67</v>
      </c>
      <c r="H45" s="179"/>
      <c r="I45" s="40"/>
      <c r="J45" s="244"/>
      <c r="K45" s="175" t="s">
        <v>153</v>
      </c>
      <c r="N45" s="271">
        <f>N43+N44</f>
        <v>21.03172</v>
      </c>
      <c r="P45" s="179"/>
      <c r="R45" s="244"/>
      <c r="S45" s="269" t="s">
        <v>180</v>
      </c>
      <c r="T45" s="40"/>
      <c r="U45" s="199">
        <f>'55'!A187</f>
        <v>0</v>
      </c>
      <c r="V45" s="251"/>
      <c r="W45" s="196">
        <f>'55'!A188</f>
        <v>0</v>
      </c>
      <c r="X45" s="182"/>
      <c r="Y45" s="199">
        <f>'55'!A189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2">
    <tabColor theme="8" tint="-0.499984740745262"/>
  </sheetPr>
  <dimension ref="A1:Z59"/>
  <sheetViews>
    <sheetView showGridLines="0" workbookViewId="0">
      <selection activeCell="R19" sqref="R19"/>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'55'!A1</f>
        <v>1</v>
      </c>
      <c r="F1" s="512" t="s">
        <v>285</v>
      </c>
      <c r="G1" s="175"/>
      <c r="I1" s="172">
        <f>'55'!A2</f>
        <v>1</v>
      </c>
      <c r="J1" s="175"/>
      <c r="K1" s="175"/>
      <c r="L1" s="175"/>
      <c r="M1" s="513" t="s">
        <v>284</v>
      </c>
      <c r="N1" s="175"/>
      <c r="O1" s="175"/>
      <c r="P1" s="175"/>
      <c r="Q1" s="175"/>
      <c r="S1" s="175"/>
      <c r="U1" s="170" t="s">
        <v>81</v>
      </c>
      <c r="V1" s="172">
        <f>'55'!A4</f>
        <v>2017</v>
      </c>
      <c r="W1" s="171" t="s">
        <v>80</v>
      </c>
      <c r="X1" s="172">
        <f>'55'!A5</f>
        <v>2</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'55'!A201</f>
        <v>75000</v>
      </c>
      <c r="G8" s="283"/>
      <c r="H8" s="45"/>
      <c r="I8" s="45" t="s">
        <v>207</v>
      </c>
      <c r="J8" s="45"/>
      <c r="K8" s="45"/>
      <c r="L8" s="286">
        <f>'55'!A241</f>
        <v>1329434</v>
      </c>
      <c r="M8" s="283"/>
      <c r="N8" s="45"/>
      <c r="O8" s="268" t="s">
        <v>234</v>
      </c>
      <c r="P8" s="268"/>
      <c r="Q8" s="45"/>
      <c r="R8" s="45"/>
      <c r="S8" s="283"/>
      <c r="T8" s="45"/>
      <c r="U8" s="290" t="s">
        <v>260</v>
      </c>
      <c r="Y8" s="283"/>
    </row>
    <row r="9" spans="2:26" ht="12" x14ac:dyDescent="0.3">
      <c r="B9" s="281"/>
      <c r="C9" s="325" t="s">
        <v>184</v>
      </c>
      <c r="D9" s="45"/>
      <c r="E9" s="45"/>
      <c r="F9" s="286">
        <f>'55'!A202</f>
        <v>22018</v>
      </c>
      <c r="G9" s="283"/>
      <c r="H9" s="45"/>
      <c r="I9" s="45"/>
      <c r="J9" s="45"/>
      <c r="K9" s="45"/>
      <c r="L9" s="286"/>
      <c r="M9" s="283"/>
      <c r="N9" s="45"/>
      <c r="O9" s="242" t="s">
        <v>235</v>
      </c>
      <c r="Q9" s="289"/>
      <c r="R9" s="289">
        <f>'55'!A261</f>
        <v>50000</v>
      </c>
      <c r="S9" s="283"/>
      <c r="T9" s="45"/>
      <c r="U9" s="45" t="s">
        <v>261</v>
      </c>
      <c r="V9" s="45"/>
      <c r="W9" s="45"/>
      <c r="X9" s="286">
        <f>'55'!A221</f>
        <v>1307307</v>
      </c>
      <c r="Y9" s="283"/>
    </row>
    <row r="10" spans="2:26" x14ac:dyDescent="0.2">
      <c r="B10" s="281"/>
      <c r="C10" s="45" t="s">
        <v>185</v>
      </c>
      <c r="D10" s="45"/>
      <c r="E10" s="45"/>
      <c r="F10" s="286">
        <f>'55'!A203</f>
        <v>12810</v>
      </c>
      <c r="G10" s="283"/>
      <c r="H10" s="45"/>
      <c r="I10" s="45" t="s">
        <v>208</v>
      </c>
      <c r="J10" s="45"/>
      <c r="K10" s="45"/>
      <c r="L10" s="286">
        <f>'55'!A242</f>
        <v>143405</v>
      </c>
      <c r="M10" s="283"/>
      <c r="N10" s="45"/>
      <c r="O10" s="45" t="s">
        <v>236</v>
      </c>
      <c r="P10" s="45"/>
      <c r="Q10" s="289"/>
      <c r="R10" s="289">
        <f>'55'!A262</f>
        <v>250000</v>
      </c>
      <c r="S10" s="283"/>
      <c r="T10" s="45"/>
      <c r="U10" s="45" t="s">
        <v>220</v>
      </c>
      <c r="V10" s="45"/>
      <c r="W10" s="45"/>
      <c r="X10" s="286">
        <f>'55'!A222</f>
        <v>2119</v>
      </c>
      <c r="Y10" s="283"/>
    </row>
    <row r="11" spans="2:26" x14ac:dyDescent="0.2">
      <c r="B11" s="281"/>
      <c r="C11" s="45" t="s">
        <v>186</v>
      </c>
      <c r="D11" s="45"/>
      <c r="E11" s="45"/>
      <c r="F11" s="286">
        <f>'55'!A204</f>
        <v>112219</v>
      </c>
      <c r="G11" s="283"/>
      <c r="H11" s="45"/>
      <c r="I11" s="287" t="s">
        <v>209</v>
      </c>
      <c r="L11" s="286">
        <f>'55'!A243</f>
        <v>0</v>
      </c>
      <c r="M11" s="283"/>
      <c r="N11" s="45"/>
      <c r="O11" s="45" t="s">
        <v>237</v>
      </c>
      <c r="P11" s="45"/>
      <c r="Q11" s="45"/>
      <c r="R11" s="292">
        <f>'55'!A263</f>
        <v>1070870</v>
      </c>
      <c r="S11" s="283"/>
      <c r="T11" s="45"/>
      <c r="U11" s="45" t="s">
        <v>262</v>
      </c>
      <c r="V11" s="45"/>
      <c r="W11" s="45"/>
      <c r="X11" s="286">
        <f>'55'!A223</f>
        <v>1116323</v>
      </c>
      <c r="Y11" s="283"/>
    </row>
    <row r="12" spans="2:26" x14ac:dyDescent="0.2">
      <c r="B12" s="281"/>
      <c r="C12" s="45" t="s">
        <v>187</v>
      </c>
      <c r="D12" s="45"/>
      <c r="E12" s="45"/>
      <c r="F12" s="286">
        <f>'55'!A205</f>
        <v>13514</v>
      </c>
      <c r="G12" s="283"/>
      <c r="H12" s="45"/>
      <c r="I12" s="45" t="s">
        <v>210</v>
      </c>
      <c r="J12" s="45"/>
      <c r="K12" s="45"/>
      <c r="L12" s="286">
        <f>'55'!A244</f>
        <v>329690</v>
      </c>
      <c r="M12" s="283"/>
      <c r="N12" s="45"/>
      <c r="O12" s="45" t="s">
        <v>238</v>
      </c>
      <c r="P12" s="45"/>
      <c r="Q12" s="45"/>
      <c r="R12" s="286">
        <f>SUM(R9:R11)</f>
        <v>1370870</v>
      </c>
      <c r="S12" s="283"/>
      <c r="T12" s="45"/>
      <c r="U12" s="45" t="s">
        <v>263</v>
      </c>
      <c r="V12" s="45"/>
      <c r="W12" s="45"/>
      <c r="X12" s="288">
        <f>'55'!A224</f>
        <v>0</v>
      </c>
      <c r="Y12" s="283"/>
    </row>
    <row r="13" spans="2:26" x14ac:dyDescent="0.2">
      <c r="B13" s="281"/>
      <c r="C13" s="45" t="s">
        <v>188</v>
      </c>
      <c r="D13" s="45"/>
      <c r="E13" s="45"/>
      <c r="F13" s="286">
        <f>'55'!A206</f>
        <v>10890</v>
      </c>
      <c r="G13" s="283"/>
      <c r="H13" s="45"/>
      <c r="I13" s="45" t="s">
        <v>211</v>
      </c>
      <c r="J13" s="45"/>
      <c r="K13" s="45"/>
      <c r="L13" s="286">
        <f>'55'!A245</f>
        <v>72665</v>
      </c>
      <c r="M13" s="283"/>
      <c r="N13" s="45"/>
      <c r="S13" s="283"/>
      <c r="T13" s="45"/>
      <c r="U13" s="287" t="s">
        <v>264</v>
      </c>
      <c r="X13" s="289">
        <f>X9+X10-X11-X12</f>
        <v>193103</v>
      </c>
      <c r="Y13" s="283"/>
    </row>
    <row r="14" spans="2:26" x14ac:dyDescent="0.2">
      <c r="B14" s="281"/>
      <c r="C14" s="45" t="s">
        <v>189</v>
      </c>
      <c r="D14" s="45"/>
      <c r="E14" s="45"/>
      <c r="F14" s="286">
        <f>'55'!A207</f>
        <v>55000</v>
      </c>
      <c r="G14" s="283"/>
      <c r="H14" s="45"/>
      <c r="I14" s="45" t="s">
        <v>212</v>
      </c>
      <c r="J14" s="45"/>
      <c r="K14" s="45"/>
      <c r="L14" s="286">
        <f>'55'!A246</f>
        <v>178634</v>
      </c>
      <c r="M14" s="283"/>
      <c r="N14" s="45"/>
      <c r="O14" s="290" t="s">
        <v>239</v>
      </c>
      <c r="S14" s="283"/>
      <c r="T14" s="45"/>
      <c r="Y14" s="283"/>
    </row>
    <row r="15" spans="2:26" ht="12" x14ac:dyDescent="0.3">
      <c r="B15" s="281"/>
      <c r="C15" s="325" t="s">
        <v>190</v>
      </c>
      <c r="D15" s="45"/>
      <c r="E15" s="45"/>
      <c r="F15" s="286">
        <f>'55'!A208</f>
        <v>15000</v>
      </c>
      <c r="G15" s="283"/>
      <c r="H15" s="45"/>
      <c r="I15" s="45" t="s">
        <v>213</v>
      </c>
      <c r="J15" s="45"/>
      <c r="K15" s="45"/>
      <c r="L15" s="286">
        <f>'55'!A247</f>
        <v>104417</v>
      </c>
      <c r="M15" s="283"/>
      <c r="N15" s="45"/>
      <c r="O15" s="45" t="s">
        <v>240</v>
      </c>
      <c r="P15" s="45"/>
      <c r="Q15" s="45"/>
      <c r="R15" s="286">
        <f>'55'!A265</f>
        <v>37575</v>
      </c>
      <c r="S15" s="283"/>
      <c r="T15" s="45"/>
      <c r="U15" s="290" t="s">
        <v>265</v>
      </c>
      <c r="Y15" s="283"/>
    </row>
    <row r="16" spans="2:26" x14ac:dyDescent="0.2">
      <c r="B16" s="281"/>
      <c r="C16" s="45" t="s">
        <v>191</v>
      </c>
      <c r="D16" s="45"/>
      <c r="E16" s="45"/>
      <c r="F16" s="286">
        <f>'55'!A209</f>
        <v>9000</v>
      </c>
      <c r="G16" s="283"/>
      <c r="H16" s="45"/>
      <c r="I16" s="45" t="s">
        <v>214</v>
      </c>
      <c r="J16" s="45"/>
      <c r="K16" s="45"/>
      <c r="L16" s="286">
        <f>'55'!A248</f>
        <v>2912</v>
      </c>
      <c r="M16" s="283"/>
      <c r="N16" s="45"/>
      <c r="O16" s="287" t="s">
        <v>241</v>
      </c>
      <c r="R16" s="286">
        <f>'55'!A266</f>
        <v>0</v>
      </c>
      <c r="S16" s="283"/>
      <c r="T16" s="45"/>
      <c r="U16" s="45" t="s">
        <v>266</v>
      </c>
      <c r="V16" s="45"/>
      <c r="W16" s="45"/>
      <c r="X16" s="286">
        <f>'55'!A225</f>
        <v>1437</v>
      </c>
      <c r="Y16" s="283"/>
    </row>
    <row r="17" spans="2:25" x14ac:dyDescent="0.2">
      <c r="B17" s="281"/>
      <c r="C17" s="45" t="s">
        <v>192</v>
      </c>
      <c r="D17" s="45"/>
      <c r="E17" s="45"/>
      <c r="F17" s="286">
        <f>'55'!A210</f>
        <v>6800</v>
      </c>
      <c r="G17" s="283"/>
      <c r="H17" s="45"/>
      <c r="I17" s="45" t="s">
        <v>215</v>
      </c>
      <c r="L17" s="286">
        <f>'55'!A249</f>
        <v>40700</v>
      </c>
      <c r="M17" s="283"/>
      <c r="N17" s="45"/>
      <c r="O17" s="45" t="s">
        <v>242</v>
      </c>
      <c r="P17" s="45"/>
      <c r="Q17" s="45"/>
      <c r="R17" s="286">
        <f>'55'!A267</f>
        <v>91761</v>
      </c>
      <c r="S17" s="283"/>
      <c r="T17" s="45"/>
      <c r="U17" s="45" t="s">
        <v>267</v>
      </c>
      <c r="X17" s="286">
        <f>'55'!A226</f>
        <v>0</v>
      </c>
      <c r="Y17" s="283"/>
    </row>
    <row r="18" spans="2:25" x14ac:dyDescent="0.2">
      <c r="B18" s="281"/>
      <c r="C18" s="45" t="s">
        <v>193</v>
      </c>
      <c r="D18" s="45"/>
      <c r="E18" s="45"/>
      <c r="F18" s="286">
        <f>'55'!A211</f>
        <v>8366</v>
      </c>
      <c r="G18" s="283"/>
      <c r="H18" s="45"/>
      <c r="I18" s="43" t="s">
        <v>216</v>
      </c>
      <c r="J18" s="45"/>
      <c r="K18" s="45"/>
      <c r="L18" s="288">
        <f>'55'!A250</f>
        <v>129336</v>
      </c>
      <c r="M18" s="283"/>
      <c r="N18" s="45"/>
      <c r="O18" s="45" t="s">
        <v>243</v>
      </c>
      <c r="P18" s="45"/>
      <c r="Q18" s="45"/>
      <c r="R18" s="286">
        <f>'55'!A268</f>
        <v>806305</v>
      </c>
      <c r="S18" s="283"/>
      <c r="T18" s="45"/>
      <c r="U18" s="45" t="s">
        <v>268</v>
      </c>
      <c r="V18" s="45"/>
      <c r="W18" s="45"/>
      <c r="X18" s="288">
        <f>'55'!A227</f>
        <v>0</v>
      </c>
      <c r="Y18" s="283"/>
    </row>
    <row r="19" spans="2:25" x14ac:dyDescent="0.2">
      <c r="B19" s="281"/>
      <c r="C19" s="45" t="s">
        <v>194</v>
      </c>
      <c r="D19" s="45"/>
      <c r="E19" s="45"/>
      <c r="F19" s="286">
        <f>'55'!A212</f>
        <v>7500</v>
      </c>
      <c r="G19" s="283"/>
      <c r="H19" s="45"/>
      <c r="I19" s="45" t="s">
        <v>217</v>
      </c>
      <c r="J19" s="45"/>
      <c r="K19" s="45"/>
      <c r="L19" s="291">
        <f>'55'!A251</f>
        <v>743087</v>
      </c>
      <c r="M19" s="283"/>
      <c r="N19" s="45"/>
      <c r="O19" s="45" t="s">
        <v>244</v>
      </c>
      <c r="P19" s="45"/>
      <c r="Q19" s="45"/>
      <c r="R19" s="288">
        <f>'55'!A269</f>
        <v>1829005</v>
      </c>
      <c r="S19" s="283"/>
      <c r="T19" s="45"/>
      <c r="U19" s="287" t="s">
        <v>269</v>
      </c>
      <c r="X19" s="289">
        <f>X16+X17-X18</f>
        <v>1437</v>
      </c>
      <c r="Y19" s="283"/>
    </row>
    <row r="20" spans="2:25" x14ac:dyDescent="0.2">
      <c r="B20" s="281"/>
      <c r="C20" s="45" t="s">
        <v>195</v>
      </c>
      <c r="D20" s="45"/>
      <c r="E20" s="45"/>
      <c r="F20" s="286">
        <f>'55'!A213</f>
        <v>2818</v>
      </c>
      <c r="G20" s="283"/>
      <c r="H20" s="45"/>
      <c r="I20" s="45" t="s">
        <v>218</v>
      </c>
      <c r="J20" s="45"/>
      <c r="K20" s="45"/>
      <c r="L20" s="286">
        <f>'55'!A252</f>
        <v>586347</v>
      </c>
      <c r="M20" s="283"/>
      <c r="N20" s="45"/>
      <c r="O20" s="287" t="s">
        <v>245</v>
      </c>
      <c r="R20" s="515">
        <f>SUM(R15:R19)</f>
        <v>2764646</v>
      </c>
      <c r="S20" s="283"/>
      <c r="T20" s="45"/>
      <c r="Y20" s="283"/>
    </row>
    <row r="21" spans="2:25" x14ac:dyDescent="0.2">
      <c r="B21" s="281"/>
      <c r="C21" s="45" t="s">
        <v>196</v>
      </c>
      <c r="D21" s="45"/>
      <c r="E21" s="45"/>
      <c r="F21" s="286">
        <f>'55'!A214</f>
        <v>9250</v>
      </c>
      <c r="G21" s="283"/>
      <c r="H21" s="45"/>
      <c r="I21" s="45" t="s">
        <v>219</v>
      </c>
      <c r="J21" s="45"/>
      <c r="K21" s="45"/>
      <c r="L21" s="286">
        <f>'55'!A217</f>
        <v>441026</v>
      </c>
      <c r="M21" s="283"/>
      <c r="N21" s="45"/>
      <c r="O21" s="45" t="s">
        <v>246</v>
      </c>
      <c r="P21" s="45"/>
      <c r="Q21" s="45"/>
      <c r="R21" s="286">
        <f>R12+R20</f>
        <v>4135516</v>
      </c>
      <c r="S21" s="283"/>
      <c r="T21" s="45"/>
      <c r="U21" s="290" t="s">
        <v>270</v>
      </c>
      <c r="Y21" s="283"/>
    </row>
    <row r="22" spans="2:25" x14ac:dyDescent="0.2">
      <c r="B22" s="281"/>
      <c r="C22" s="45" t="s">
        <v>197</v>
      </c>
      <c r="D22" s="45"/>
      <c r="E22" s="45"/>
      <c r="F22" s="286">
        <f>'55'!A215</f>
        <v>70000</v>
      </c>
      <c r="G22" s="283"/>
      <c r="H22" s="45"/>
      <c r="I22" s="45" t="s">
        <v>220</v>
      </c>
      <c r="J22" s="45"/>
      <c r="K22" s="45"/>
      <c r="L22" s="286">
        <f>'55'!A222</f>
        <v>2119</v>
      </c>
      <c r="M22" s="283"/>
      <c r="N22" s="45"/>
      <c r="S22" s="283"/>
      <c r="T22" s="45"/>
      <c r="U22" s="242" t="s">
        <v>271</v>
      </c>
      <c r="X22" s="286">
        <f>'55'!A228</f>
        <v>0</v>
      </c>
      <c r="Y22" s="283"/>
    </row>
    <row r="23" spans="2:25" x14ac:dyDescent="0.2">
      <c r="B23" s="281"/>
      <c r="C23" s="45" t="s">
        <v>198</v>
      </c>
      <c r="D23" s="45"/>
      <c r="E23" s="45"/>
      <c r="F23" s="288">
        <f>'55'!A216</f>
        <v>10841</v>
      </c>
      <c r="G23" s="283"/>
      <c r="H23" s="45"/>
      <c r="I23" s="45" t="s">
        <v>221</v>
      </c>
      <c r="J23" s="45"/>
      <c r="K23" s="45"/>
      <c r="L23" s="292">
        <f>'55'!A254</f>
        <v>27458</v>
      </c>
      <c r="M23" s="283"/>
      <c r="N23" s="45"/>
      <c r="O23" s="268" t="s">
        <v>247</v>
      </c>
      <c r="P23" s="45"/>
      <c r="Q23" s="45"/>
      <c r="R23" s="286"/>
      <c r="S23" s="283"/>
      <c r="T23" s="45"/>
      <c r="U23" s="242" t="s">
        <v>272</v>
      </c>
      <c r="V23" s="45"/>
      <c r="W23" s="45"/>
      <c r="X23" s="286">
        <f>'55'!A229</f>
        <v>0</v>
      </c>
      <c r="Y23" s="283"/>
    </row>
    <row r="24" spans="2:25" x14ac:dyDescent="0.2">
      <c r="B24" s="281"/>
      <c r="C24" s="45" t="s">
        <v>199</v>
      </c>
      <c r="D24" s="268"/>
      <c r="E24" s="45"/>
      <c r="F24" s="288">
        <f>'55'!A217</f>
        <v>441026</v>
      </c>
      <c r="G24" s="283"/>
      <c r="H24" s="45"/>
      <c r="I24" s="287" t="s">
        <v>222</v>
      </c>
      <c r="L24" s="286">
        <f>L20-L21+L22-L23</f>
        <v>119982</v>
      </c>
      <c r="M24" s="283"/>
      <c r="N24" s="45"/>
      <c r="O24" s="45" t="s">
        <v>248</v>
      </c>
      <c r="P24" s="45"/>
      <c r="Q24" s="45"/>
      <c r="R24" s="286">
        <f>'55'!A271</f>
        <v>0</v>
      </c>
      <c r="S24" s="283"/>
      <c r="T24" s="45"/>
      <c r="U24" s="45" t="s">
        <v>273</v>
      </c>
      <c r="V24" s="45"/>
      <c r="W24" s="45"/>
      <c r="X24" s="286">
        <f>'55'!A230</f>
        <v>0</v>
      </c>
      <c r="Y24" s="283"/>
    </row>
    <row r="25" spans="2:25" ht="12" x14ac:dyDescent="0.3">
      <c r="B25" s="281"/>
      <c r="C25" s="45"/>
      <c r="F25" s="293"/>
      <c r="G25" s="283"/>
      <c r="H25" s="45"/>
      <c r="I25" s="45" t="s">
        <v>223</v>
      </c>
      <c r="J25" s="45"/>
      <c r="K25" s="45"/>
      <c r="L25" s="286">
        <f>'55'!A225</f>
        <v>1437</v>
      </c>
      <c r="M25" s="283"/>
      <c r="N25" s="45"/>
      <c r="O25" s="325" t="s">
        <v>249</v>
      </c>
      <c r="P25" s="45"/>
      <c r="Q25" s="45"/>
      <c r="R25" s="286">
        <f>'55'!A272</f>
        <v>321601</v>
      </c>
      <c r="S25" s="283"/>
      <c r="T25" s="45"/>
      <c r="U25" s="45" t="s">
        <v>274</v>
      </c>
      <c r="V25" s="45"/>
      <c r="W25" s="45"/>
      <c r="X25" s="286">
        <f>'55'!A231</f>
        <v>0</v>
      </c>
      <c r="Y25" s="283"/>
    </row>
    <row r="26" spans="2:25" x14ac:dyDescent="0.2">
      <c r="B26" s="281"/>
      <c r="C26" s="326" t="s">
        <v>200</v>
      </c>
      <c r="D26" s="45"/>
      <c r="E26" s="45"/>
      <c r="F26" s="286"/>
      <c r="G26" s="283"/>
      <c r="H26" s="45"/>
      <c r="I26" s="45" t="s">
        <v>224</v>
      </c>
      <c r="J26" s="45"/>
      <c r="K26" s="45"/>
      <c r="L26" s="288">
        <f>'55'!A232</f>
        <v>0</v>
      </c>
      <c r="M26" s="283"/>
      <c r="N26" s="45"/>
      <c r="O26" s="45" t="s">
        <v>250</v>
      </c>
      <c r="P26" s="45"/>
      <c r="Q26" s="45"/>
      <c r="R26" s="288">
        <f>'55'!A273</f>
        <v>0</v>
      </c>
      <c r="S26" s="283"/>
      <c r="T26" s="45"/>
      <c r="U26" s="45" t="s">
        <v>275</v>
      </c>
      <c r="V26" s="45"/>
      <c r="W26" s="45"/>
      <c r="X26" s="288">
        <f>'55'!A232</f>
        <v>0</v>
      </c>
      <c r="Y26" s="283"/>
    </row>
    <row r="27" spans="2:25" x14ac:dyDescent="0.2">
      <c r="B27" s="281"/>
      <c r="C27" s="287" t="s">
        <v>201</v>
      </c>
      <c r="D27" s="45"/>
      <c r="E27" s="45"/>
      <c r="F27" s="289">
        <f>L27</f>
        <v>121419</v>
      </c>
      <c r="G27" s="283"/>
      <c r="H27" s="45"/>
      <c r="I27" s="287" t="s">
        <v>225</v>
      </c>
      <c r="J27" s="45"/>
      <c r="K27" s="45"/>
      <c r="L27" s="289">
        <f>L24+L25-L26</f>
        <v>121419</v>
      </c>
      <c r="M27" s="283"/>
      <c r="N27" s="45"/>
      <c r="O27" s="43" t="s">
        <v>251</v>
      </c>
      <c r="P27" s="45"/>
      <c r="Q27" s="45"/>
      <c r="R27" s="286">
        <f>SUM(R24:R26)</f>
        <v>321601</v>
      </c>
      <c r="S27" s="283"/>
      <c r="T27" s="45"/>
      <c r="U27" s="287" t="s">
        <v>276</v>
      </c>
      <c r="X27" s="289">
        <f>X22-X23-X24+X25-X26</f>
        <v>0</v>
      </c>
      <c r="Y27" s="283"/>
    </row>
    <row r="28" spans="2:25" x14ac:dyDescent="0.2">
      <c r="B28" s="281"/>
      <c r="C28" s="287" t="s">
        <v>202</v>
      </c>
      <c r="D28" s="45"/>
      <c r="E28" s="45"/>
      <c r="F28" s="288">
        <f>'55'!A240</f>
        <v>-307504</v>
      </c>
      <c r="G28" s="283"/>
      <c r="H28" s="45"/>
      <c r="I28" s="45" t="s">
        <v>226</v>
      </c>
      <c r="J28" s="45"/>
      <c r="K28" s="45"/>
      <c r="L28" s="288">
        <f>'55'!A255</f>
        <v>0</v>
      </c>
      <c r="M28" s="283"/>
      <c r="N28" s="45"/>
      <c r="O28" s="45" t="s">
        <v>252</v>
      </c>
      <c r="P28" s="45"/>
      <c r="Q28" s="45"/>
      <c r="R28" s="286">
        <f>'55'!A274</f>
        <v>0</v>
      </c>
      <c r="S28" s="283"/>
      <c r="X28" s="294"/>
      <c r="Y28" s="283"/>
    </row>
    <row r="29" spans="2:25" x14ac:dyDescent="0.2">
      <c r="B29" s="281"/>
      <c r="C29" s="287" t="s">
        <v>203</v>
      </c>
      <c r="F29" s="289">
        <f>'55'!A257</f>
        <v>-186085</v>
      </c>
      <c r="G29" s="283"/>
      <c r="H29" s="45"/>
      <c r="I29" s="45" t="s">
        <v>227</v>
      </c>
      <c r="J29" s="45"/>
      <c r="K29" s="45"/>
      <c r="L29" s="286">
        <f>'55'!A256</f>
        <v>121419</v>
      </c>
      <c r="M29" s="283"/>
      <c r="N29" s="45"/>
      <c r="S29" s="283"/>
      <c r="U29" s="45" t="s">
        <v>277</v>
      </c>
      <c r="V29" s="45"/>
      <c r="W29" s="45"/>
      <c r="X29" s="289">
        <f>'55'!A233</f>
        <v>194540</v>
      </c>
      <c r="Y29" s="283"/>
    </row>
    <row r="30" spans="2:25" x14ac:dyDescent="0.2">
      <c r="B30" s="281"/>
      <c r="C30" s="45"/>
      <c r="G30" s="283"/>
      <c r="H30" s="45"/>
      <c r="I30" s="287" t="s">
        <v>228</v>
      </c>
      <c r="L30" s="295">
        <f>IF(R33&gt;0,100*L29/R33,0)</f>
        <v>3.0354749999999999</v>
      </c>
      <c r="M30" s="283"/>
      <c r="N30" s="45"/>
      <c r="O30" s="45" t="s">
        <v>253</v>
      </c>
      <c r="P30" s="45"/>
      <c r="Q30" s="45"/>
      <c r="R30" s="286">
        <f>R21-R27-R28</f>
        <v>3813915</v>
      </c>
      <c r="S30" s="283"/>
      <c r="U30" s="287" t="s">
        <v>278</v>
      </c>
      <c r="V30" s="45"/>
      <c r="W30" s="45"/>
      <c r="X30" s="292">
        <f>'55'!A234</f>
        <v>1634465</v>
      </c>
      <c r="Y30" s="283"/>
    </row>
    <row r="31" spans="2:25" x14ac:dyDescent="0.2">
      <c r="B31" s="281"/>
      <c r="C31" s="45"/>
      <c r="G31" s="283"/>
      <c r="H31" s="45"/>
      <c r="M31" s="283"/>
      <c r="N31" s="45"/>
      <c r="S31" s="283"/>
      <c r="U31" s="287" t="s">
        <v>279</v>
      </c>
      <c r="X31" s="45">
        <f>R19-R26</f>
        <v>1829005</v>
      </c>
      <c r="Y31" s="283"/>
    </row>
    <row r="32" spans="2:25" x14ac:dyDescent="0.2">
      <c r="B32" s="281"/>
      <c r="G32" s="283"/>
      <c r="H32" s="45"/>
      <c r="I32" s="43" t="s">
        <v>229</v>
      </c>
      <c r="J32" s="45"/>
      <c r="K32" s="45"/>
      <c r="L32" s="288">
        <f>'55'!A230</f>
        <v>0</v>
      </c>
      <c r="M32" s="283"/>
      <c r="N32" s="45"/>
      <c r="O32" s="290" t="s">
        <v>254</v>
      </c>
      <c r="S32" s="283"/>
      <c r="U32" s="242" t="s">
        <v>280</v>
      </c>
      <c r="X32" s="289">
        <f>'55'!A270</f>
        <v>1150000</v>
      </c>
      <c r="Y32" s="296" t="s">
        <v>9</v>
      </c>
    </row>
    <row r="33" spans="1:25" x14ac:dyDescent="0.2">
      <c r="B33" s="281"/>
      <c r="C33" s="45" t="s">
        <v>204</v>
      </c>
      <c r="D33" s="45"/>
      <c r="E33" s="45"/>
      <c r="F33" s="286">
        <f>'55'!A219</f>
        <v>3660</v>
      </c>
      <c r="G33" s="283"/>
      <c r="H33" s="45"/>
      <c r="I33" s="45" t="s">
        <v>230</v>
      </c>
      <c r="J33" s="45"/>
      <c r="K33" s="45"/>
      <c r="L33" s="286">
        <f>L29-L32</f>
        <v>121419</v>
      </c>
      <c r="M33" s="283"/>
      <c r="O33" s="43" t="s">
        <v>255</v>
      </c>
      <c r="P33" s="45"/>
      <c r="Q33" s="45"/>
      <c r="R33" s="286">
        <f>'55'!A275</f>
        <v>4000000</v>
      </c>
      <c r="S33" s="283"/>
      <c r="Y33" s="283"/>
    </row>
    <row r="34" spans="1:25" x14ac:dyDescent="0.2">
      <c r="B34" s="281"/>
      <c r="C34" s="45" t="s">
        <v>205</v>
      </c>
      <c r="D34" s="45"/>
      <c r="E34" s="45"/>
      <c r="F34" s="286">
        <f>'55'!A220</f>
        <v>1541</v>
      </c>
      <c r="G34" s="283"/>
      <c r="H34" s="45"/>
      <c r="I34" s="242" t="s">
        <v>231</v>
      </c>
      <c r="J34" s="45"/>
      <c r="K34" s="45"/>
      <c r="L34" s="288">
        <f>'55'!A260</f>
        <v>-307504</v>
      </c>
      <c r="M34" s="283"/>
      <c r="O34" s="242" t="s">
        <v>256</v>
      </c>
      <c r="R34" s="286">
        <f>'55'!A276</f>
        <v>0</v>
      </c>
      <c r="S34" s="283"/>
      <c r="U34" s="45" t="s">
        <v>281</v>
      </c>
      <c r="V34" s="45"/>
      <c r="W34" s="45"/>
      <c r="X34" s="289">
        <f>'55'!A238</f>
        <v>619000</v>
      </c>
      <c r="Y34" s="283"/>
    </row>
    <row r="35" spans="1:25" x14ac:dyDescent="0.2">
      <c r="B35" s="281"/>
      <c r="C35" s="45"/>
      <c r="G35" s="283"/>
      <c r="I35" s="242" t="s">
        <v>232</v>
      </c>
      <c r="L35" s="289">
        <f>L33+L34</f>
        <v>-186085</v>
      </c>
      <c r="M35" s="283"/>
      <c r="O35" s="45" t="s">
        <v>257</v>
      </c>
      <c r="P35" s="45"/>
      <c r="Q35" s="45"/>
      <c r="R35" s="288">
        <f>R36-R33-R34</f>
        <v>-186085</v>
      </c>
      <c r="S35" s="283"/>
      <c r="U35" s="45" t="s">
        <v>282</v>
      </c>
      <c r="V35" s="45"/>
      <c r="W35" s="45"/>
      <c r="X35" s="289">
        <f>'55'!A239</f>
        <v>1468000</v>
      </c>
      <c r="Y35" s="283"/>
    </row>
    <row r="36" spans="1:25" x14ac:dyDescent="0.2">
      <c r="B36" s="281"/>
      <c r="G36" s="283"/>
      <c r="M36" s="283"/>
      <c r="O36" s="45" t="s">
        <v>258</v>
      </c>
      <c r="P36" s="45"/>
      <c r="Q36" s="45"/>
      <c r="R36" s="286">
        <f>'55'!A277</f>
        <v>3813915</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tabColor theme="8" tint="-0.499984740745262"/>
    <pageSetUpPr fitToPage="1"/>
  </sheetPr>
  <dimension ref="B1:Q122"/>
  <sheetViews>
    <sheetView showGridLines="0" zoomScaleNormal="100" workbookViewId="0">
      <selection activeCell="K25" sqref="K25"/>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'55'!$A1</f>
        <v>1</v>
      </c>
      <c r="K1" s="170" t="s">
        <v>81</v>
      </c>
      <c r="L1" s="172">
        <f>'55'!$A4</f>
        <v>2017</v>
      </c>
      <c r="M1" s="170" t="s">
        <v>289</v>
      </c>
      <c r="N1" s="517">
        <f>'55'!$A5</f>
        <v>2</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'55'!A505</f>
        <v>4155</v>
      </c>
      <c r="H5" s="187">
        <f>'55'!A506</f>
        <v>4285</v>
      </c>
      <c r="I5" s="187">
        <f>'55'!A504</f>
        <v>6038</v>
      </c>
      <c r="K5" s="182"/>
      <c r="M5" s="40"/>
      <c r="N5" s="179"/>
    </row>
    <row r="6" spans="2:14" ht="13.2" x14ac:dyDescent="0.3">
      <c r="B6" s="244"/>
      <c r="C6" s="259" t="s">
        <v>292</v>
      </c>
      <c r="D6" s="40"/>
      <c r="E6" s="40"/>
      <c r="F6" s="40"/>
      <c r="G6" s="301">
        <f>'55'!A507/10</f>
        <v>8.4</v>
      </c>
      <c r="H6" s="301">
        <f>'55'!A508/10</f>
        <v>4.4000000000000004</v>
      </c>
      <c r="I6" s="217"/>
      <c r="K6" s="182"/>
      <c r="L6" s="196"/>
      <c r="M6" s="40"/>
      <c r="N6" s="179"/>
    </row>
    <row r="7" spans="2:14" x14ac:dyDescent="0.2">
      <c r="B7" s="244"/>
      <c r="C7" s="182" t="s">
        <v>293</v>
      </c>
      <c r="D7" s="40"/>
      <c r="E7" s="40"/>
      <c r="F7" s="40"/>
      <c r="G7" s="187">
        <f>'55'!A509</f>
        <v>1895</v>
      </c>
      <c r="H7" s="187">
        <f>'55'!A510</f>
        <v>1897</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'55'!A501/10</f>
        <v>0.5</v>
      </c>
      <c r="H10" s="301">
        <f>'55'!A502/10</f>
        <v>1.1000000000000001</v>
      </c>
      <c r="I10" s="182" t="s">
        <v>302</v>
      </c>
      <c r="J10" s="182"/>
      <c r="K10" s="196"/>
      <c r="L10" s="302">
        <f>'55'!A511/100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'55'!A518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413</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'55'!A515</f>
        <v>78498</v>
      </c>
      <c r="H20" s="304">
        <f>'55'!A516</f>
        <v>75387</v>
      </c>
      <c r="I20" s="304">
        <f>'55'!A517</f>
        <v>71419</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'55'!A681</f>
        <v>Cyber security attacks have increased and are causing serious concerns.</v>
      </c>
      <c r="G23" s="40"/>
      <c r="H23" s="40"/>
      <c r="I23" s="182"/>
      <c r="J23" s="40"/>
      <c r="K23" s="40"/>
      <c r="L23" s="40"/>
      <c r="M23" s="40"/>
      <c r="N23" s="179"/>
    </row>
    <row r="24" spans="2:14" ht="12" x14ac:dyDescent="0.25">
      <c r="B24" s="244"/>
      <c r="C24" s="247"/>
      <c r="F24" s="233" t="str">
        <f>'55'!A682</f>
        <v>Public and private companies are being attacked and these cause both</v>
      </c>
      <c r="G24" s="40"/>
      <c r="H24" s="40"/>
      <c r="I24" s="182"/>
      <c r="J24" s="40"/>
      <c r="K24" s="40"/>
      <c r="L24" s="40"/>
      <c r="M24" s="40"/>
      <c r="N24" s="179"/>
    </row>
    <row r="25" spans="2:14" ht="12" x14ac:dyDescent="0.25">
      <c r="B25" s="244"/>
      <c r="C25" s="247"/>
      <c r="F25" s="233" t="str">
        <f>'55'!A683</f>
        <v>social and economic disturbances and high costs.</v>
      </c>
      <c r="G25" s="40"/>
      <c r="H25" s="40"/>
      <c r="I25" s="182"/>
      <c r="J25" s="40"/>
      <c r="K25" s="40"/>
      <c r="L25" s="40"/>
      <c r="M25" s="40"/>
      <c r="N25" s="179"/>
    </row>
    <row r="26" spans="2:14" x14ac:dyDescent="0.2">
      <c r="B26" s="244"/>
      <c r="C26" s="233"/>
      <c r="F26" s="233" t="str">
        <f>'55'!A684</f>
        <v xml:space="preserve"> </v>
      </c>
      <c r="G26" s="233"/>
      <c r="H26" s="233"/>
      <c r="I26" s="184"/>
      <c r="J26" s="233"/>
      <c r="K26" s="40"/>
      <c r="L26" s="40"/>
      <c r="M26" s="40"/>
      <c r="N26" s="179"/>
    </row>
    <row r="27" spans="2:14" x14ac:dyDescent="0.2">
      <c r="B27" s="244"/>
      <c r="C27" s="233"/>
      <c r="F27" s="233" t="str">
        <f>'55'!A685</f>
        <v xml:space="preserve"> </v>
      </c>
      <c r="G27" s="233"/>
      <c r="H27" s="233"/>
      <c r="I27" s="184"/>
      <c r="J27" s="233"/>
      <c r="K27" s="40"/>
      <c r="L27" s="40"/>
      <c r="M27" s="40"/>
      <c r="N27" s="179"/>
    </row>
    <row r="28" spans="2:14" x14ac:dyDescent="0.2">
      <c r="B28" s="244"/>
      <c r="C28" s="233"/>
      <c r="F28" s="233" t="str">
        <f>'55'!A686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'55'!A521</f>
        <v>1</v>
      </c>
      <c r="G33" s="309">
        <f>'55'!A541</f>
        <v>2</v>
      </c>
      <c r="H33" s="309">
        <f>'55'!A561</f>
        <v>3</v>
      </c>
      <c r="I33" s="309">
        <f>'55'!A581</f>
        <v>4</v>
      </c>
      <c r="J33" s="309">
        <f>'55'!A601</f>
        <v>5</v>
      </c>
      <c r="K33" s="309">
        <f>'55'!A621</f>
        <v>6</v>
      </c>
      <c r="L33" s="309">
        <f>'55'!A641</f>
        <v>7</v>
      </c>
      <c r="M33" s="309">
        <f>'55'!A661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'55'!A522/100</f>
        <v>104.37</v>
      </c>
      <c r="G35" s="310">
        <f>'55'!A542/100</f>
        <v>104.37</v>
      </c>
      <c r="H35" s="310">
        <f>'55'!A562/100</f>
        <v>104.37</v>
      </c>
      <c r="I35" s="310">
        <f>'55'!A582/100</f>
        <v>104.37</v>
      </c>
      <c r="J35" s="310">
        <f>'55'!A602/100</f>
        <v>104.37</v>
      </c>
      <c r="K35" s="310">
        <f>'55'!A622/100</f>
        <v>104.37</v>
      </c>
      <c r="L35" s="310">
        <f>'55'!A642/100</f>
        <v>104.37</v>
      </c>
      <c r="M35" s="310">
        <f>'55'!A662/100</f>
        <v>104.37</v>
      </c>
      <c r="N35" s="204"/>
    </row>
    <row r="36" spans="2:17" x14ac:dyDescent="0.2">
      <c r="B36" s="244"/>
      <c r="C36" s="40" t="s">
        <v>310</v>
      </c>
      <c r="D36" s="40"/>
      <c r="E36" s="40"/>
      <c r="F36" s="310">
        <f>'55'!A523</f>
        <v>4174800</v>
      </c>
      <c r="G36" s="310">
        <f>'55'!A543</f>
        <v>4174800</v>
      </c>
      <c r="H36" s="310">
        <f>'55'!A563</f>
        <v>4174800</v>
      </c>
      <c r="I36" s="310">
        <f>'55'!A583</f>
        <v>4174800</v>
      </c>
      <c r="J36" s="310">
        <f>'55'!A603</f>
        <v>4174800</v>
      </c>
      <c r="K36" s="310">
        <f>'55'!A623</f>
        <v>4174800</v>
      </c>
      <c r="L36" s="310">
        <f>'55'!A643</f>
        <v>4174800</v>
      </c>
      <c r="M36" s="310">
        <f>'55'!A663</f>
        <v>4174800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'55'!A524</f>
        <v>0</v>
      </c>
      <c r="G38" s="310">
        <f>'55'!A544</f>
        <v>0</v>
      </c>
      <c r="H38" s="310">
        <f>'55'!A564</f>
        <v>0</v>
      </c>
      <c r="I38" s="310">
        <f>'55'!A584</f>
        <v>0</v>
      </c>
      <c r="J38" s="310">
        <f>'55'!A604</f>
        <v>0</v>
      </c>
      <c r="K38" s="310">
        <f>'55'!A624</f>
        <v>0</v>
      </c>
      <c r="L38" s="310">
        <f>'55'!A644</f>
        <v>0</v>
      </c>
      <c r="M38" s="310">
        <f>'55'!A664</f>
        <v>0</v>
      </c>
      <c r="N38" s="204"/>
    </row>
    <row r="39" spans="2:17" x14ac:dyDescent="0.2">
      <c r="B39" s="244"/>
      <c r="C39" s="40" t="s">
        <v>312</v>
      </c>
      <c r="D39" s="40"/>
      <c r="E39" s="40"/>
      <c r="F39" s="310">
        <f>'55'!A525</f>
        <v>4174800</v>
      </c>
      <c r="G39" s="310">
        <f>'55'!A545</f>
        <v>4174800</v>
      </c>
      <c r="H39" s="310">
        <f>'55'!A565</f>
        <v>4174800</v>
      </c>
      <c r="I39" s="310">
        <f>'55'!A585</f>
        <v>4174800</v>
      </c>
      <c r="J39" s="310">
        <f>'55'!A605</f>
        <v>4174800</v>
      </c>
      <c r="K39" s="310">
        <f>'55'!A625</f>
        <v>4174800</v>
      </c>
      <c r="L39" s="310">
        <f>'55'!A645</f>
        <v>4174800</v>
      </c>
      <c r="M39" s="310">
        <f>'55'!A665</f>
        <v>4174800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'55'!A526</f>
        <v>325</v>
      </c>
      <c r="G43" s="310">
        <f>'55'!A546</f>
        <v>325</v>
      </c>
      <c r="H43" s="310">
        <f>'55'!A566</f>
        <v>325</v>
      </c>
      <c r="I43" s="310">
        <f>'55'!A586</f>
        <v>325</v>
      </c>
      <c r="J43" s="310">
        <f>'55'!A606</f>
        <v>325</v>
      </c>
      <c r="K43" s="310">
        <f>'55'!A626</f>
        <v>325</v>
      </c>
      <c r="L43" s="310">
        <f>'55'!A646</f>
        <v>325</v>
      </c>
      <c r="M43" s="310">
        <f>'55'!A666</f>
        <v>325</v>
      </c>
      <c r="N43" s="204"/>
    </row>
    <row r="44" spans="2:17" x14ac:dyDescent="0.2">
      <c r="B44" s="244"/>
      <c r="C44" s="40" t="s">
        <v>1</v>
      </c>
      <c r="D44" s="182" t="s">
        <v>19</v>
      </c>
      <c r="E44" s="40"/>
      <c r="F44" s="310">
        <f>'55'!A527</f>
        <v>335</v>
      </c>
      <c r="G44" s="310">
        <f>'55'!A547</f>
        <v>335</v>
      </c>
      <c r="H44" s="310">
        <f>'55'!A567</f>
        <v>335</v>
      </c>
      <c r="I44" s="310">
        <f>'55'!A587</f>
        <v>335</v>
      </c>
      <c r="J44" s="310">
        <f>'55'!A607</f>
        <v>335</v>
      </c>
      <c r="K44" s="310">
        <f>'55'!A627</f>
        <v>335</v>
      </c>
      <c r="L44" s="310">
        <f>'55'!A647</f>
        <v>335</v>
      </c>
      <c r="M44" s="310">
        <f>'55'!A667</f>
        <v>335</v>
      </c>
      <c r="N44" s="204"/>
    </row>
    <row r="45" spans="2:17" x14ac:dyDescent="0.2">
      <c r="B45" s="244"/>
      <c r="C45" s="40"/>
      <c r="D45" s="40" t="s">
        <v>18</v>
      </c>
      <c r="E45" s="40"/>
      <c r="F45" s="310">
        <f>'55'!A528</f>
        <v>375</v>
      </c>
      <c r="G45" s="310">
        <f>'55'!A548</f>
        <v>375</v>
      </c>
      <c r="H45" s="310">
        <f>'55'!A568</f>
        <v>375</v>
      </c>
      <c r="I45" s="310">
        <f>'55'!A588</f>
        <v>375</v>
      </c>
      <c r="J45" s="310">
        <f>'55'!A608</f>
        <v>375</v>
      </c>
      <c r="K45" s="310">
        <f>'55'!A628</f>
        <v>375</v>
      </c>
      <c r="L45" s="310">
        <f>'55'!A648</f>
        <v>375</v>
      </c>
      <c r="M45" s="310">
        <f>'55'!A668</f>
        <v>375</v>
      </c>
      <c r="N45" s="204"/>
    </row>
    <row r="46" spans="2:17" x14ac:dyDescent="0.2">
      <c r="B46" s="244"/>
      <c r="C46" s="40" t="s">
        <v>316</v>
      </c>
      <c r="D46" s="40"/>
      <c r="E46" s="40"/>
      <c r="F46" s="310">
        <f>'55'!A529</f>
        <v>490</v>
      </c>
      <c r="G46" s="310">
        <f>'55'!A549</f>
        <v>490</v>
      </c>
      <c r="H46" s="310">
        <f>'55'!A569</f>
        <v>490</v>
      </c>
      <c r="I46" s="310">
        <f>'55'!A589</f>
        <v>490</v>
      </c>
      <c r="J46" s="310">
        <f>'55'!A609</f>
        <v>490</v>
      </c>
      <c r="K46" s="310">
        <f>'55'!A629</f>
        <v>490</v>
      </c>
      <c r="L46" s="310">
        <f>'55'!A649</f>
        <v>490</v>
      </c>
      <c r="M46" s="310">
        <f>'55'!A669</f>
        <v>490</v>
      </c>
      <c r="N46" s="204"/>
    </row>
    <row r="47" spans="2:17" x14ac:dyDescent="0.2">
      <c r="B47" s="244"/>
      <c r="C47" s="40" t="s">
        <v>1</v>
      </c>
      <c r="D47" s="182" t="s">
        <v>19</v>
      </c>
      <c r="E47" s="40"/>
      <c r="F47" s="310">
        <f>'55'!A530</f>
        <v>490</v>
      </c>
      <c r="G47" s="310">
        <f>'55'!A550</f>
        <v>490</v>
      </c>
      <c r="H47" s="310">
        <f>'55'!A570</f>
        <v>490</v>
      </c>
      <c r="I47" s="310">
        <f>'55'!A590</f>
        <v>490</v>
      </c>
      <c r="J47" s="310">
        <f>'55'!A610</f>
        <v>490</v>
      </c>
      <c r="K47" s="310">
        <f>'55'!A630</f>
        <v>490</v>
      </c>
      <c r="L47" s="310">
        <f>'55'!A650</f>
        <v>490</v>
      </c>
      <c r="M47" s="310">
        <f>'55'!A670</f>
        <v>490</v>
      </c>
      <c r="N47" s="204"/>
    </row>
    <row r="48" spans="2:17" x14ac:dyDescent="0.2">
      <c r="B48" s="244"/>
      <c r="C48" s="40"/>
      <c r="D48" s="40" t="s">
        <v>20</v>
      </c>
      <c r="E48" s="40"/>
      <c r="F48" s="310">
        <f>'55'!A531</f>
        <v>590</v>
      </c>
      <c r="G48" s="310">
        <f>'55'!A551</f>
        <v>590</v>
      </c>
      <c r="H48" s="310">
        <f>'55'!A571</f>
        <v>590</v>
      </c>
      <c r="I48" s="310">
        <f>'55'!A591</f>
        <v>590</v>
      </c>
      <c r="J48" s="310">
        <f>'55'!A611</f>
        <v>590</v>
      </c>
      <c r="K48" s="310">
        <f>'55'!A631</f>
        <v>590</v>
      </c>
      <c r="L48" s="310">
        <f>'55'!A651</f>
        <v>590</v>
      </c>
      <c r="M48" s="310">
        <f>'55'!A671</f>
        <v>590</v>
      </c>
      <c r="N48" s="204"/>
    </row>
    <row r="49" spans="2:14" x14ac:dyDescent="0.2">
      <c r="B49" s="244"/>
      <c r="C49" s="40" t="s">
        <v>317</v>
      </c>
      <c r="D49" s="40"/>
      <c r="E49" s="40"/>
      <c r="F49" s="310">
        <f>'55'!A532</f>
        <v>700</v>
      </c>
      <c r="G49" s="310">
        <f>'55'!A552</f>
        <v>700</v>
      </c>
      <c r="H49" s="310">
        <f>'55'!A572</f>
        <v>700</v>
      </c>
      <c r="I49" s="310">
        <f>'55'!A592</f>
        <v>700</v>
      </c>
      <c r="J49" s="310">
        <f>'55'!A612</f>
        <v>700</v>
      </c>
      <c r="K49" s="310">
        <f>'55'!A632</f>
        <v>700</v>
      </c>
      <c r="L49" s="310">
        <f>'55'!A652</f>
        <v>700</v>
      </c>
      <c r="M49" s="310">
        <f>'55'!A672</f>
        <v>700</v>
      </c>
      <c r="N49" s="204"/>
    </row>
    <row r="50" spans="2:14" x14ac:dyDescent="0.2">
      <c r="B50" s="244"/>
      <c r="C50" s="40" t="s">
        <v>1</v>
      </c>
      <c r="D50" s="182" t="s">
        <v>19</v>
      </c>
      <c r="E50" s="40"/>
      <c r="F50" s="310">
        <f>'55'!A533</f>
        <v>725</v>
      </c>
      <c r="G50" s="310">
        <f>'55'!A553</f>
        <v>725</v>
      </c>
      <c r="H50" s="310">
        <f>'55'!A573</f>
        <v>725</v>
      </c>
      <c r="I50" s="310">
        <f>'55'!A593</f>
        <v>725</v>
      </c>
      <c r="J50" s="310">
        <f>'55'!A613</f>
        <v>725</v>
      </c>
      <c r="K50" s="310">
        <f>'55'!A633</f>
        <v>725</v>
      </c>
      <c r="L50" s="310">
        <f>'55'!A653</f>
        <v>725</v>
      </c>
      <c r="M50" s="310">
        <f>'55'!A673</f>
        <v>725</v>
      </c>
      <c r="N50" s="204"/>
    </row>
    <row r="51" spans="2:14" x14ac:dyDescent="0.2">
      <c r="B51" s="244"/>
      <c r="C51" s="40"/>
      <c r="D51" s="40" t="s">
        <v>18</v>
      </c>
      <c r="E51" s="40"/>
      <c r="F51" s="310">
        <f>'55'!A534</f>
        <v>850</v>
      </c>
      <c r="G51" s="310">
        <f>'55'!A554</f>
        <v>850</v>
      </c>
      <c r="H51" s="310">
        <f>'55'!A574</f>
        <v>850</v>
      </c>
      <c r="I51" s="310">
        <f>'55'!A594</f>
        <v>850</v>
      </c>
      <c r="J51" s="310">
        <f>'55'!A614</f>
        <v>850</v>
      </c>
      <c r="K51" s="310">
        <f>'55'!A634</f>
        <v>850</v>
      </c>
      <c r="L51" s="310">
        <f>'55'!A654</f>
        <v>850</v>
      </c>
      <c r="M51" s="310">
        <f>'55'!A674</f>
        <v>850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'55'!A535</f>
        <v>49</v>
      </c>
      <c r="G53" s="310">
        <f>'55'!A555</f>
        <v>49</v>
      </c>
      <c r="H53" s="310">
        <f>'55'!A575</f>
        <v>49</v>
      </c>
      <c r="I53" s="310">
        <f>'55'!A595</f>
        <v>49</v>
      </c>
      <c r="J53" s="310">
        <f>'55'!A615</f>
        <v>49</v>
      </c>
      <c r="K53" s="310">
        <f>'55'!A635</f>
        <v>49</v>
      </c>
      <c r="L53" s="310">
        <f>'55'!A655</f>
        <v>49</v>
      </c>
      <c r="M53" s="310">
        <f>'55'!A675</f>
        <v>49</v>
      </c>
      <c r="N53" s="204"/>
    </row>
    <row r="54" spans="2:14" ht="13.2" x14ac:dyDescent="0.3">
      <c r="B54" s="244"/>
      <c r="C54" s="256" t="s">
        <v>319</v>
      </c>
      <c r="D54" s="40"/>
      <c r="E54" s="40"/>
      <c r="F54" s="310">
        <f>'55'!A536</f>
        <v>1200</v>
      </c>
      <c r="G54" s="310">
        <f>'55'!A556</f>
        <v>1200</v>
      </c>
      <c r="H54" s="310">
        <f>'55'!A576</f>
        <v>1200</v>
      </c>
      <c r="I54" s="310">
        <f>'55'!A596</f>
        <v>1200</v>
      </c>
      <c r="J54" s="310">
        <f>'55'!A616</f>
        <v>1200</v>
      </c>
      <c r="K54" s="310">
        <f>'55'!A636</f>
        <v>1200</v>
      </c>
      <c r="L54" s="310">
        <f>'55'!A656</f>
        <v>1200</v>
      </c>
      <c r="M54" s="310">
        <f>'55'!A676</f>
        <v>1200</v>
      </c>
      <c r="N54" s="204"/>
    </row>
    <row r="55" spans="2:14" x14ac:dyDescent="0.2">
      <c r="B55" s="244"/>
      <c r="C55" s="40" t="s">
        <v>320</v>
      </c>
      <c r="D55" s="40"/>
      <c r="E55" s="40"/>
      <c r="F55" s="310">
        <f>'55'!A537</f>
        <v>4</v>
      </c>
      <c r="G55" s="310">
        <f>'55'!A557</f>
        <v>4</v>
      </c>
      <c r="H55" s="310">
        <f>'55'!A577</f>
        <v>4</v>
      </c>
      <c r="I55" s="310">
        <f>'55'!A597</f>
        <v>4</v>
      </c>
      <c r="J55" s="310">
        <f>'55'!A617</f>
        <v>4</v>
      </c>
      <c r="K55" s="310">
        <f>'55'!A637</f>
        <v>4</v>
      </c>
      <c r="L55" s="310">
        <f>'55'!A657</f>
        <v>4</v>
      </c>
      <c r="M55" s="310">
        <f>'55'!A677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'55'!$A59</f>
        <v>0</v>
      </c>
      <c r="K61" s="170" t="s">
        <v>81</v>
      </c>
      <c r="L61" s="172">
        <f>'55'!$A62</f>
        <v>10</v>
      </c>
      <c r="M61" s="170" t="s">
        <v>289</v>
      </c>
      <c r="N61" s="517">
        <f>'55'!$A63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'55'!A701</f>
        <v>1</v>
      </c>
      <c r="G65" s="319">
        <f>'55'!A721</f>
        <v>2</v>
      </c>
      <c r="H65" s="319">
        <f>'55'!A741</f>
        <v>3</v>
      </c>
      <c r="I65" s="319">
        <f>'55'!A761</f>
        <v>4</v>
      </c>
      <c r="J65" s="319">
        <f>'55'!A781</f>
        <v>5</v>
      </c>
      <c r="K65" s="319">
        <f>'55'!A801</f>
        <v>6</v>
      </c>
      <c r="L65" s="319">
        <f>'55'!A821</f>
        <v>7</v>
      </c>
      <c r="M65" s="319">
        <f>'55'!A841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'55'!A702</f>
        <v>1370870</v>
      </c>
      <c r="G67" s="310">
        <f>'55'!A722</f>
        <v>1370870</v>
      </c>
      <c r="H67" s="310">
        <f>'55'!A742</f>
        <v>1370870</v>
      </c>
      <c r="I67" s="310">
        <f>'55'!A762</f>
        <v>1370870</v>
      </c>
      <c r="J67" s="310">
        <f>'55'!A782</f>
        <v>1370870</v>
      </c>
      <c r="K67" s="310">
        <f>'55'!A802</f>
        <v>1370870</v>
      </c>
      <c r="L67" s="310">
        <f>'55'!A822</f>
        <v>1370870</v>
      </c>
      <c r="M67" s="310">
        <f>'55'!A842</f>
        <v>1370870</v>
      </c>
      <c r="N67" s="179"/>
    </row>
    <row r="68" spans="2:14" x14ac:dyDescent="0.2">
      <c r="B68" s="244"/>
      <c r="C68" s="40" t="s">
        <v>326</v>
      </c>
      <c r="D68" s="40"/>
      <c r="E68" s="40"/>
      <c r="F68" s="310">
        <f>'55'!A703</f>
        <v>129336</v>
      </c>
      <c r="G68" s="310">
        <f>'55'!A723</f>
        <v>129336</v>
      </c>
      <c r="H68" s="310">
        <f>'55'!A743</f>
        <v>129336</v>
      </c>
      <c r="I68" s="310">
        <f>'55'!A763</f>
        <v>129336</v>
      </c>
      <c r="J68" s="310">
        <f>'55'!A783</f>
        <v>129336</v>
      </c>
      <c r="K68" s="310">
        <f>'55'!A803</f>
        <v>129336</v>
      </c>
      <c r="L68" s="310">
        <f>'55'!A823</f>
        <v>129336</v>
      </c>
      <c r="M68" s="310">
        <f>'55'!A843</f>
        <v>129336</v>
      </c>
      <c r="N68" s="179"/>
    </row>
    <row r="69" spans="2:14" x14ac:dyDescent="0.2">
      <c r="B69" s="244"/>
      <c r="C69" s="40" t="s">
        <v>327</v>
      </c>
      <c r="D69" s="40"/>
      <c r="E69" s="40"/>
      <c r="F69" s="310">
        <f>'55'!A704</f>
        <v>806305</v>
      </c>
      <c r="G69" s="310">
        <f>'55'!A724</f>
        <v>806305</v>
      </c>
      <c r="H69" s="310">
        <f>'55'!A744</f>
        <v>806305</v>
      </c>
      <c r="I69" s="310">
        <f>'55'!A764</f>
        <v>806305</v>
      </c>
      <c r="J69" s="310">
        <f>'55'!A784</f>
        <v>806305</v>
      </c>
      <c r="K69" s="310">
        <f>'55'!A804</f>
        <v>806305</v>
      </c>
      <c r="L69" s="310">
        <f>'55'!A824</f>
        <v>806305</v>
      </c>
      <c r="M69" s="310">
        <f>'55'!A844</f>
        <v>806305</v>
      </c>
      <c r="N69" s="179"/>
    </row>
    <row r="70" spans="2:14" x14ac:dyDescent="0.2">
      <c r="B70" s="244"/>
      <c r="C70" s="40" t="s">
        <v>328</v>
      </c>
      <c r="D70" s="40"/>
      <c r="E70" s="40"/>
      <c r="F70" s="310">
        <f>'55'!A705</f>
        <v>1829005</v>
      </c>
      <c r="G70" s="310">
        <f>'55'!A725</f>
        <v>1829005</v>
      </c>
      <c r="H70" s="310">
        <f>'55'!A745</f>
        <v>1829005</v>
      </c>
      <c r="I70" s="310">
        <f>'55'!A765</f>
        <v>1829005</v>
      </c>
      <c r="J70" s="310">
        <f>'55'!A785</f>
        <v>1829005</v>
      </c>
      <c r="K70" s="310">
        <f>'55'!A805</f>
        <v>1829005</v>
      </c>
      <c r="L70" s="310">
        <f>'55'!A825</f>
        <v>1829005</v>
      </c>
      <c r="M70" s="310">
        <f>'55'!A845</f>
        <v>1829005</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'55'!A708</f>
        <v>0</v>
      </c>
      <c r="G73" s="310">
        <f>'55'!A728</f>
        <v>0</v>
      </c>
      <c r="H73" s="310">
        <f>'55'!A748</f>
        <v>0</v>
      </c>
      <c r="I73" s="310">
        <f>'55'!A768</f>
        <v>0</v>
      </c>
      <c r="J73" s="310">
        <f>'55'!A788</f>
        <v>0</v>
      </c>
      <c r="K73" s="310">
        <f>'55'!A808</f>
        <v>0</v>
      </c>
      <c r="L73" s="310">
        <f>'55'!A828</f>
        <v>0</v>
      </c>
      <c r="M73" s="310">
        <f>'55'!A848</f>
        <v>0</v>
      </c>
      <c r="N73" s="179"/>
    </row>
    <row r="74" spans="2:14" x14ac:dyDescent="0.2">
      <c r="B74" s="244"/>
      <c r="C74" s="321" t="s">
        <v>331</v>
      </c>
      <c r="D74" s="40"/>
      <c r="E74" s="40"/>
      <c r="F74" s="310">
        <f>'55'!A709</f>
        <v>321601</v>
      </c>
      <c r="G74" s="310">
        <f>'55'!A729</f>
        <v>321601</v>
      </c>
      <c r="H74" s="310">
        <f>'55'!A749</f>
        <v>321601</v>
      </c>
      <c r="I74" s="310">
        <f>'55'!A769</f>
        <v>321601</v>
      </c>
      <c r="J74" s="310">
        <f>'55'!A789</f>
        <v>321601</v>
      </c>
      <c r="K74" s="310">
        <f>'55'!A809</f>
        <v>321601</v>
      </c>
      <c r="L74" s="310">
        <f>'55'!A829</f>
        <v>321601</v>
      </c>
      <c r="M74" s="310">
        <f>'55'!A849</f>
        <v>321601</v>
      </c>
      <c r="N74" s="179"/>
    </row>
    <row r="75" spans="2:14" x14ac:dyDescent="0.2">
      <c r="B75" s="244"/>
      <c r="C75" s="40" t="s">
        <v>332</v>
      </c>
      <c r="D75" s="40"/>
      <c r="E75" s="40"/>
      <c r="F75" s="310">
        <f>'55'!A710</f>
        <v>0</v>
      </c>
      <c r="G75" s="310">
        <f>'55'!A730</f>
        <v>0</v>
      </c>
      <c r="H75" s="310">
        <f>'55'!A750</f>
        <v>0</v>
      </c>
      <c r="I75" s="310">
        <f>'55'!A770</f>
        <v>0</v>
      </c>
      <c r="J75" s="310">
        <f>'55'!A790</f>
        <v>0</v>
      </c>
      <c r="K75" s="310">
        <f>'55'!A810</f>
        <v>0</v>
      </c>
      <c r="L75" s="310">
        <f>'55'!A830</f>
        <v>0</v>
      </c>
      <c r="M75" s="310">
        <f>'55'!A850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'55'!A712</f>
        <v>0</v>
      </c>
      <c r="G77" s="310">
        <f>'55'!A732</f>
        <v>0</v>
      </c>
      <c r="H77" s="310">
        <f>'55'!A752</f>
        <v>0</v>
      </c>
      <c r="I77" s="310">
        <f>'55'!A772</f>
        <v>0</v>
      </c>
      <c r="J77" s="310">
        <f>'55'!A792</f>
        <v>0</v>
      </c>
      <c r="K77" s="310">
        <f>'55'!A812</f>
        <v>0</v>
      </c>
      <c r="L77" s="310">
        <f>'55'!A832</f>
        <v>0</v>
      </c>
      <c r="M77" s="310">
        <f>'55'!A852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'55'!A714</f>
        <v>4000000</v>
      </c>
      <c r="G80" s="310">
        <f>'55'!A734</f>
        <v>4000000</v>
      </c>
      <c r="H80" s="310">
        <f>'55'!A754</f>
        <v>4000000</v>
      </c>
      <c r="I80" s="310">
        <f>'55'!A774</f>
        <v>4000000</v>
      </c>
      <c r="J80" s="310">
        <f>'55'!A794</f>
        <v>4000000</v>
      </c>
      <c r="K80" s="310">
        <f>'55'!A814</f>
        <v>4000000</v>
      </c>
      <c r="L80" s="310">
        <f>'55'!A834</f>
        <v>4000000</v>
      </c>
      <c r="M80" s="310">
        <f>'55'!A854</f>
        <v>4000000</v>
      </c>
      <c r="N80" s="179"/>
    </row>
    <row r="81" spans="2:14" x14ac:dyDescent="0.2">
      <c r="B81" s="244"/>
      <c r="C81" s="40" t="s">
        <v>336</v>
      </c>
      <c r="D81" s="40"/>
      <c r="E81" s="40"/>
      <c r="F81" s="310">
        <f>'55'!A715</f>
        <v>0</v>
      </c>
      <c r="G81" s="310">
        <f>'55'!A735</f>
        <v>0</v>
      </c>
      <c r="H81" s="310">
        <f>'55'!A755</f>
        <v>0</v>
      </c>
      <c r="I81" s="310">
        <f>'55'!A775</f>
        <v>0</v>
      </c>
      <c r="J81" s="310">
        <f>'55'!A795</f>
        <v>0</v>
      </c>
      <c r="K81" s="310">
        <f>'55'!A815</f>
        <v>0</v>
      </c>
      <c r="L81" s="310">
        <f>'55'!A835</f>
        <v>0</v>
      </c>
      <c r="M81" s="310">
        <f>'55'!A855</f>
        <v>0</v>
      </c>
      <c r="N81" s="179"/>
    </row>
    <row r="82" spans="2:14" x14ac:dyDescent="0.2">
      <c r="B82" s="244"/>
      <c r="C82" s="40" t="s">
        <v>337</v>
      </c>
      <c r="D82" s="40"/>
      <c r="E82" s="40"/>
      <c r="F82" s="310">
        <f>'55'!A716</f>
        <v>-186085</v>
      </c>
      <c r="G82" s="310">
        <f>'55'!A736</f>
        <v>-186085</v>
      </c>
      <c r="H82" s="310">
        <f>'55'!A756</f>
        <v>-186085</v>
      </c>
      <c r="I82" s="310">
        <f>'55'!A776</f>
        <v>-186085</v>
      </c>
      <c r="J82" s="310">
        <f>'55'!A796</f>
        <v>-186085</v>
      </c>
      <c r="K82" s="310">
        <f>'55'!A816</f>
        <v>-186085</v>
      </c>
      <c r="L82" s="310">
        <f>'55'!A836</f>
        <v>-186085</v>
      </c>
      <c r="M82" s="310">
        <f>'55'!A856</f>
        <v>-186085</v>
      </c>
      <c r="N82" s="179"/>
    </row>
    <row r="83" spans="2:14" ht="12" x14ac:dyDescent="0.25">
      <c r="B83" s="244"/>
      <c r="C83" s="247" t="s">
        <v>338</v>
      </c>
      <c r="D83" s="40"/>
      <c r="E83" s="40"/>
      <c r="F83" s="310">
        <f t="shared" ref="F83:M83" si="0">SUM(F80:F82)</f>
        <v>3813915</v>
      </c>
      <c r="G83" s="310">
        <f t="shared" si="0"/>
        <v>3813915</v>
      </c>
      <c r="H83" s="310">
        <f t="shared" si="0"/>
        <v>3813915</v>
      </c>
      <c r="I83" s="310">
        <f t="shared" si="0"/>
        <v>3813915</v>
      </c>
      <c r="J83" s="310">
        <f t="shared" si="0"/>
        <v>3813915</v>
      </c>
      <c r="K83" s="310">
        <f t="shared" si="0"/>
        <v>3813915</v>
      </c>
      <c r="L83" s="310">
        <f t="shared" si="0"/>
        <v>3813915</v>
      </c>
      <c r="M83" s="310">
        <f t="shared" si="0"/>
        <v>3813915</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'55'!A330</f>
        <v>Not requested</v>
      </c>
      <c r="N88" s="179"/>
    </row>
    <row r="89" spans="2:14" ht="12" x14ac:dyDescent="0.25">
      <c r="B89" s="244"/>
      <c r="C89" s="40"/>
      <c r="D89" s="175" t="s">
        <v>340</v>
      </c>
      <c r="F89" s="309" t="str">
        <f>'55'!A331</f>
        <v xml:space="preserve"> </v>
      </c>
      <c r="G89" s="309" t="str">
        <f>'55'!A341</f>
        <v xml:space="preserve"> </v>
      </c>
      <c r="H89" s="309" t="str">
        <f>'55'!A351</f>
        <v xml:space="preserve"> </v>
      </c>
      <c r="I89" s="309" t="str">
        <f>'55'!A361</f>
        <v xml:space="preserve"> </v>
      </c>
      <c r="J89" s="309" t="str">
        <f>'55'!A371</f>
        <v xml:space="preserve"> </v>
      </c>
      <c r="K89" s="309" t="str">
        <f>'55'!A381</f>
        <v xml:space="preserve"> </v>
      </c>
      <c r="L89" s="309" t="str">
        <f>'55'!A391</f>
        <v xml:space="preserve"> </v>
      </c>
      <c r="M89" s="309" t="str">
        <f>'55'!A401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'55'!A332</f>
        <v xml:space="preserve"> </v>
      </c>
      <c r="G91" s="213" t="str">
        <f>'55'!A342</f>
        <v xml:space="preserve"> </v>
      </c>
      <c r="H91" s="213" t="str">
        <f>'55'!A352</f>
        <v xml:space="preserve"> </v>
      </c>
      <c r="I91" s="213" t="str">
        <f>'55'!A362</f>
        <v xml:space="preserve"> </v>
      </c>
      <c r="J91" s="213" t="str">
        <f>'55'!A372</f>
        <v xml:space="preserve"> </v>
      </c>
      <c r="K91" s="213" t="str">
        <f>'55'!A382</f>
        <v xml:space="preserve"> </v>
      </c>
      <c r="L91" s="213" t="str">
        <f>'55'!A392</f>
        <v xml:space="preserve"> </v>
      </c>
      <c r="M91" s="213" t="str">
        <f>'55'!A402</f>
        <v xml:space="preserve"> </v>
      </c>
      <c r="N91" s="179"/>
    </row>
    <row r="92" spans="2:14" x14ac:dyDescent="0.2">
      <c r="B92" s="244"/>
      <c r="C92" s="40"/>
      <c r="D92" s="182" t="s">
        <v>23</v>
      </c>
      <c r="E92" s="40"/>
      <c r="F92" s="213" t="str">
        <f>'55'!A333</f>
        <v xml:space="preserve"> </v>
      </c>
      <c r="G92" s="213" t="str">
        <f>'55'!A343</f>
        <v xml:space="preserve"> </v>
      </c>
      <c r="H92" s="213" t="str">
        <f>'55'!A353</f>
        <v xml:space="preserve"> </v>
      </c>
      <c r="I92" s="213" t="str">
        <f>'55'!A363</f>
        <v xml:space="preserve"> </v>
      </c>
      <c r="J92" s="213" t="str">
        <f>'55'!A373</f>
        <v xml:space="preserve"> </v>
      </c>
      <c r="K92" s="213" t="str">
        <f>'55'!A383</f>
        <v xml:space="preserve"> </v>
      </c>
      <c r="L92" s="213" t="str">
        <f>'55'!A393</f>
        <v xml:space="preserve"> </v>
      </c>
      <c r="M92" s="213" t="str">
        <f>'55'!A403</f>
        <v xml:space="preserve"> </v>
      </c>
      <c r="N92" s="179"/>
    </row>
    <row r="93" spans="2:14" x14ac:dyDescent="0.2">
      <c r="B93" s="244"/>
      <c r="C93" s="40"/>
      <c r="D93" s="182" t="s">
        <v>24</v>
      </c>
      <c r="E93" s="40"/>
      <c r="F93" s="213" t="str">
        <f>'55'!A334</f>
        <v xml:space="preserve"> </v>
      </c>
      <c r="G93" s="213" t="str">
        <f>'55'!A344</f>
        <v xml:space="preserve"> </v>
      </c>
      <c r="H93" s="213" t="str">
        <f>'55'!A354</f>
        <v xml:space="preserve"> </v>
      </c>
      <c r="I93" s="213" t="str">
        <f>'55'!A364</f>
        <v xml:space="preserve"> </v>
      </c>
      <c r="J93" s="213" t="str">
        <f>'55'!A374</f>
        <v xml:space="preserve"> </v>
      </c>
      <c r="K93" s="213" t="str">
        <f>'55'!A384</f>
        <v xml:space="preserve"> </v>
      </c>
      <c r="L93" s="213" t="str">
        <f>'55'!A394</f>
        <v xml:space="preserve"> </v>
      </c>
      <c r="M93" s="213" t="str">
        <f>'55'!A404</f>
        <v xml:space="preserve"> </v>
      </c>
      <c r="N93" s="179"/>
    </row>
    <row r="94" spans="2:14" x14ac:dyDescent="0.2">
      <c r="B94" s="244"/>
      <c r="C94" s="40" t="s">
        <v>343</v>
      </c>
      <c r="D94" s="40"/>
      <c r="E94" s="40"/>
      <c r="F94" s="213" t="str">
        <f>'55'!A335</f>
        <v xml:space="preserve"> </v>
      </c>
      <c r="G94" s="213" t="str">
        <f>'55'!A345</f>
        <v xml:space="preserve"> </v>
      </c>
      <c r="H94" s="213" t="str">
        <f>'55'!A355</f>
        <v xml:space="preserve"> </v>
      </c>
      <c r="I94" s="213" t="str">
        <f>'55'!A365</f>
        <v xml:space="preserve"> </v>
      </c>
      <c r="J94" s="213" t="str">
        <f>'55'!A375</f>
        <v xml:space="preserve"> </v>
      </c>
      <c r="K94" s="213" t="str">
        <f>'55'!A385</f>
        <v xml:space="preserve"> </v>
      </c>
      <c r="L94" s="213" t="str">
        <f>'55'!A395</f>
        <v xml:space="preserve"> </v>
      </c>
      <c r="M94" s="213" t="str">
        <f>'55'!A405</f>
        <v xml:space="preserve"> </v>
      </c>
      <c r="N94" s="179"/>
    </row>
    <row r="95" spans="2:14" x14ac:dyDescent="0.2">
      <c r="B95" s="244"/>
      <c r="C95" s="40"/>
      <c r="D95" s="182" t="s">
        <v>23</v>
      </c>
      <c r="E95" s="40"/>
      <c r="F95" s="213" t="str">
        <f>'55'!A336</f>
        <v xml:space="preserve"> </v>
      </c>
      <c r="G95" s="213" t="str">
        <f>'55'!A346</f>
        <v xml:space="preserve"> </v>
      </c>
      <c r="H95" s="213" t="str">
        <f>'55'!A356</f>
        <v xml:space="preserve"> </v>
      </c>
      <c r="I95" s="213" t="str">
        <f>'55'!A366</f>
        <v xml:space="preserve"> </v>
      </c>
      <c r="J95" s="213" t="str">
        <f>'55'!A376</f>
        <v xml:space="preserve"> </v>
      </c>
      <c r="K95" s="213" t="str">
        <f>'55'!A386</f>
        <v xml:space="preserve"> </v>
      </c>
      <c r="L95" s="213" t="str">
        <f>'55'!A396</f>
        <v xml:space="preserve"> </v>
      </c>
      <c r="M95" s="213" t="str">
        <f>'55'!A406</f>
        <v xml:space="preserve"> </v>
      </c>
      <c r="N95" s="179"/>
    </row>
    <row r="96" spans="2:14" x14ac:dyDescent="0.2">
      <c r="B96" s="244"/>
      <c r="C96" s="40"/>
      <c r="D96" s="224" t="s">
        <v>25</v>
      </c>
      <c r="E96" s="40"/>
      <c r="F96" s="213" t="str">
        <f>'55'!A337</f>
        <v xml:space="preserve"> </v>
      </c>
      <c r="G96" s="213" t="str">
        <f>'55'!A347</f>
        <v xml:space="preserve"> </v>
      </c>
      <c r="H96" s="213" t="str">
        <f>'55'!A357</f>
        <v xml:space="preserve"> </v>
      </c>
      <c r="I96" s="213" t="str">
        <f>'55'!A367</f>
        <v xml:space="preserve"> </v>
      </c>
      <c r="J96" s="213" t="str">
        <f>'55'!A377</f>
        <v xml:space="preserve"> </v>
      </c>
      <c r="K96" s="213" t="str">
        <f>'55'!A387</f>
        <v xml:space="preserve"> </v>
      </c>
      <c r="L96" s="213" t="str">
        <f>'55'!A397</f>
        <v xml:space="preserve"> </v>
      </c>
      <c r="M96" s="213" t="str">
        <f>'55'!A407</f>
        <v xml:space="preserve"> </v>
      </c>
      <c r="N96" s="179"/>
    </row>
    <row r="97" spans="2:14" x14ac:dyDescent="0.2">
      <c r="B97" s="244"/>
      <c r="C97" s="40" t="s">
        <v>344</v>
      </c>
      <c r="D97" s="40"/>
      <c r="E97" s="40"/>
      <c r="F97" s="213" t="str">
        <f>'55'!A338</f>
        <v xml:space="preserve"> </v>
      </c>
      <c r="G97" s="213" t="str">
        <f>'55'!A348</f>
        <v xml:space="preserve"> </v>
      </c>
      <c r="H97" s="213" t="str">
        <f>'55'!A358</f>
        <v xml:space="preserve"> </v>
      </c>
      <c r="I97" s="213" t="str">
        <f>'55'!A368</f>
        <v xml:space="preserve"> </v>
      </c>
      <c r="J97" s="213" t="str">
        <f>'55'!A378</f>
        <v xml:space="preserve"> </v>
      </c>
      <c r="K97" s="213" t="str">
        <f>'55'!A388</f>
        <v xml:space="preserve"> </v>
      </c>
      <c r="L97" s="213" t="str">
        <f>'55'!A398</f>
        <v xml:space="preserve"> </v>
      </c>
      <c r="M97" s="213" t="str">
        <f>'55'!A408</f>
        <v xml:space="preserve"> </v>
      </c>
      <c r="N97" s="179"/>
    </row>
    <row r="98" spans="2:14" x14ac:dyDescent="0.2">
      <c r="B98" s="244"/>
      <c r="C98" s="40"/>
      <c r="D98" s="182" t="s">
        <v>23</v>
      </c>
      <c r="E98" s="40"/>
      <c r="F98" s="213" t="str">
        <f>'55'!A339</f>
        <v xml:space="preserve"> </v>
      </c>
      <c r="G98" s="213" t="str">
        <f>'55'!A349</f>
        <v xml:space="preserve"> </v>
      </c>
      <c r="H98" s="213" t="str">
        <f>'55'!A359</f>
        <v xml:space="preserve"> </v>
      </c>
      <c r="I98" s="213" t="str">
        <f>'55'!A369</f>
        <v xml:space="preserve"> </v>
      </c>
      <c r="J98" s="213" t="str">
        <f>'55'!A379</f>
        <v xml:space="preserve"> </v>
      </c>
      <c r="K98" s="213" t="str">
        <f>'55'!A389</f>
        <v xml:space="preserve"> </v>
      </c>
      <c r="L98" s="213" t="str">
        <f>'55'!A399</f>
        <v xml:space="preserve"> </v>
      </c>
      <c r="M98" s="213" t="str">
        <f>'55'!A409</f>
        <v xml:space="preserve"> </v>
      </c>
      <c r="N98" s="179"/>
    </row>
    <row r="99" spans="2:14" x14ac:dyDescent="0.2">
      <c r="B99" s="244"/>
      <c r="C99" s="40"/>
      <c r="D99" s="182" t="s">
        <v>24</v>
      </c>
      <c r="E99" s="40"/>
      <c r="F99" s="213" t="str">
        <f>'55'!A340</f>
        <v xml:space="preserve"> </v>
      </c>
      <c r="G99" s="213" t="str">
        <f>'55'!A350</f>
        <v xml:space="preserve"> </v>
      </c>
      <c r="H99" s="213" t="str">
        <f>'55'!A360</f>
        <v xml:space="preserve"> </v>
      </c>
      <c r="I99" s="213" t="str">
        <f>'55'!A370</f>
        <v xml:space="preserve"> </v>
      </c>
      <c r="J99" s="213" t="str">
        <f>'55'!A380</f>
        <v xml:space="preserve"> </v>
      </c>
      <c r="K99" s="213" t="str">
        <f>'55'!A390</f>
        <v xml:space="preserve"> </v>
      </c>
      <c r="L99" s="213" t="str">
        <f>'55'!A400</f>
        <v xml:space="preserve"> </v>
      </c>
      <c r="M99" s="213" t="str">
        <f>'55'!A410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'55'!A420</f>
        <v xml:space="preserve"> </v>
      </c>
      <c r="L102" s="40"/>
      <c r="M102" s="40"/>
      <c r="N102" s="179"/>
    </row>
    <row r="103" spans="2:14" ht="12" x14ac:dyDescent="0.25">
      <c r="B103" s="244"/>
      <c r="C103" s="40"/>
      <c r="D103" s="40" t="s">
        <v>346</v>
      </c>
      <c r="E103" s="40"/>
      <c r="F103" s="309">
        <f>'55'!A421</f>
        <v>1</v>
      </c>
      <c r="G103" s="309">
        <f>'55'!A428</f>
        <v>2</v>
      </c>
      <c r="H103" s="309">
        <f>'55'!A435</f>
        <v>3</v>
      </c>
      <c r="I103" s="309">
        <f>'55'!A442</f>
        <v>4</v>
      </c>
      <c r="J103" s="309">
        <f>'55'!A449</f>
        <v>5</v>
      </c>
      <c r="K103" s="309">
        <f>'55'!A456</f>
        <v>6</v>
      </c>
      <c r="L103" s="309">
        <f>'55'!A463</f>
        <v>7</v>
      </c>
      <c r="M103" s="309">
        <f>'55'!A470</f>
        <v>8</v>
      </c>
      <c r="N103" s="179"/>
    </row>
    <row r="104" spans="2:14" x14ac:dyDescent="0.2">
      <c r="B104" s="244"/>
      <c r="C104" s="40" t="s">
        <v>347</v>
      </c>
      <c r="D104" s="40"/>
      <c r="E104" s="40"/>
      <c r="F104" s="310">
        <f>'55'!A422</f>
        <v>75000</v>
      </c>
      <c r="G104" s="310">
        <f>'55'!A429</f>
        <v>75000</v>
      </c>
      <c r="H104" s="310">
        <f>'55'!A436</f>
        <v>75000</v>
      </c>
      <c r="I104" s="310">
        <f>'55'!A443</f>
        <v>75000</v>
      </c>
      <c r="J104" s="310">
        <f>'55'!A450</f>
        <v>75000</v>
      </c>
      <c r="K104" s="310">
        <f>'55'!A457</f>
        <v>75000</v>
      </c>
      <c r="L104" s="310">
        <f>'55'!A464</f>
        <v>75000</v>
      </c>
      <c r="M104" s="310">
        <f>'55'!A471</f>
        <v>75000</v>
      </c>
      <c r="N104" s="179"/>
    </row>
    <row r="105" spans="2:14" x14ac:dyDescent="0.2">
      <c r="B105" s="244"/>
      <c r="C105" s="40" t="s">
        <v>348</v>
      </c>
      <c r="D105" s="40"/>
      <c r="E105" s="40"/>
      <c r="F105" s="310">
        <f>'55'!A423</f>
        <v>55000</v>
      </c>
      <c r="G105" s="310">
        <f>'55'!A430</f>
        <v>55000</v>
      </c>
      <c r="H105" s="310">
        <f>'55'!A437</f>
        <v>55000</v>
      </c>
      <c r="I105" s="310">
        <f>'55'!A444</f>
        <v>55000</v>
      </c>
      <c r="J105" s="310">
        <f>'55'!A451</f>
        <v>55000</v>
      </c>
      <c r="K105" s="310">
        <f>'55'!A458</f>
        <v>55000</v>
      </c>
      <c r="L105" s="310">
        <f>'55'!A465</f>
        <v>55000</v>
      </c>
      <c r="M105" s="310">
        <f>'55'!A472</f>
        <v>55000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'55'!A424</f>
        <v xml:space="preserve">   **</v>
      </c>
      <c r="G107" s="323" t="str">
        <f>'55'!A431</f>
        <v xml:space="preserve">   **</v>
      </c>
      <c r="H107" s="323" t="str">
        <f>'55'!A438</f>
        <v xml:space="preserve">   **</v>
      </c>
      <c r="I107" s="323" t="str">
        <f>'55'!A445</f>
        <v xml:space="preserve">   **</v>
      </c>
      <c r="J107" s="323" t="str">
        <f>'55'!A452</f>
        <v xml:space="preserve">   **</v>
      </c>
      <c r="K107" s="323" t="str">
        <f>'55'!A459</f>
        <v xml:space="preserve">   **</v>
      </c>
      <c r="L107" s="323" t="str">
        <f>'55'!A466</f>
        <v xml:space="preserve">   **</v>
      </c>
      <c r="M107" s="323" t="str">
        <f>'55'!A473</f>
        <v xml:space="preserve">   **</v>
      </c>
      <c r="N107" s="179"/>
    </row>
    <row r="108" spans="2:14" x14ac:dyDescent="0.2">
      <c r="B108" s="244"/>
      <c r="C108" s="40" t="s">
        <v>351</v>
      </c>
      <c r="D108" s="40"/>
      <c r="E108" s="40"/>
      <c r="F108" s="323" t="str">
        <f>'55'!A425</f>
        <v xml:space="preserve">  ***</v>
      </c>
      <c r="G108" s="323" t="str">
        <f>'55'!A432</f>
        <v xml:space="preserve">  ***</v>
      </c>
      <c r="H108" s="323" t="str">
        <f>'55'!A439</f>
        <v xml:space="preserve">  ***</v>
      </c>
      <c r="I108" s="323" t="str">
        <f>'55'!A446</f>
        <v xml:space="preserve">  ***</v>
      </c>
      <c r="J108" s="323" t="str">
        <f>'55'!A453</f>
        <v xml:space="preserve">  ***</v>
      </c>
      <c r="K108" s="323" t="str">
        <f>'55'!A460</f>
        <v xml:space="preserve">  ***</v>
      </c>
      <c r="L108" s="323" t="str">
        <f>'55'!A467</f>
        <v xml:space="preserve">  ***</v>
      </c>
      <c r="M108" s="323" t="str">
        <f>'55'!A474</f>
        <v xml:space="preserve">  ***</v>
      </c>
      <c r="N108" s="179"/>
    </row>
    <row r="109" spans="2:14" x14ac:dyDescent="0.2">
      <c r="B109" s="244"/>
      <c r="C109" s="40" t="s">
        <v>352</v>
      </c>
      <c r="D109" s="40"/>
      <c r="E109" s="40"/>
      <c r="F109" s="323" t="str">
        <f>'55'!A426</f>
        <v xml:space="preserve">   **</v>
      </c>
      <c r="G109" s="323" t="str">
        <f>'55'!A433</f>
        <v xml:space="preserve">   **</v>
      </c>
      <c r="H109" s="323" t="str">
        <f>'55'!A440</f>
        <v xml:space="preserve">   **</v>
      </c>
      <c r="I109" s="323" t="str">
        <f>'55'!A447</f>
        <v xml:space="preserve">   **</v>
      </c>
      <c r="J109" s="323" t="str">
        <f>'55'!A454</f>
        <v xml:space="preserve">   **</v>
      </c>
      <c r="K109" s="323" t="str">
        <f>'55'!A461</f>
        <v xml:space="preserve">   **</v>
      </c>
      <c r="L109" s="323" t="str">
        <f>'55'!A468</f>
        <v xml:space="preserve">   **</v>
      </c>
      <c r="M109" s="323" t="str">
        <f>'55'!A475</f>
        <v xml:space="preserve">   **</v>
      </c>
      <c r="N109" s="179"/>
    </row>
    <row r="110" spans="2:14" x14ac:dyDescent="0.2">
      <c r="B110" s="244"/>
      <c r="C110" s="40" t="s">
        <v>353</v>
      </c>
      <c r="D110" s="40"/>
      <c r="E110" s="40"/>
      <c r="F110" s="323" t="str">
        <f>'55'!A427</f>
        <v xml:space="preserve">   **</v>
      </c>
      <c r="G110" s="323" t="str">
        <f>'55'!A434</f>
        <v xml:space="preserve">   **</v>
      </c>
      <c r="H110" s="323" t="str">
        <f>'55'!A441</f>
        <v xml:space="preserve">   **</v>
      </c>
      <c r="I110" s="323" t="str">
        <f>'55'!A448</f>
        <v xml:space="preserve">   **</v>
      </c>
      <c r="J110" s="323" t="str">
        <f>'55'!A455</f>
        <v xml:space="preserve">   **</v>
      </c>
      <c r="K110" s="323" t="str">
        <f>'55'!A462</f>
        <v xml:space="preserve">   **</v>
      </c>
      <c r="L110" s="323" t="str">
        <f>'55'!A469</f>
        <v xml:space="preserve">   **</v>
      </c>
      <c r="M110" s="323" t="str">
        <f>'55'!A476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6">
    <tabColor theme="8" tint="-0.499984740745262"/>
    <pageSetUpPr fitToPage="1"/>
  </sheetPr>
  <dimension ref="A1:I861"/>
  <sheetViews>
    <sheetView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2017</v>
      </c>
    </row>
    <row r="5" spans="1:1" x14ac:dyDescent="0.2">
      <c r="A5" s="175">
        <v>2</v>
      </c>
    </row>
    <row r="6" spans="1:1" x14ac:dyDescent="0.2">
      <c r="A6" s="175" t="s">
        <v>682</v>
      </c>
    </row>
    <row r="7" spans="1:1" x14ac:dyDescent="0.2">
      <c r="A7" s="175">
        <v>10</v>
      </c>
    </row>
    <row r="8" spans="1:1" x14ac:dyDescent="0.2">
      <c r="A8" s="175">
        <v>5</v>
      </c>
    </row>
    <row r="9" spans="1:1" x14ac:dyDescent="0.2">
      <c r="A9" s="175">
        <v>10</v>
      </c>
    </row>
    <row r="10" spans="1:1" x14ac:dyDescent="0.2">
      <c r="A10" s="175">
        <v>0</v>
      </c>
    </row>
    <row r="11" spans="1:1" x14ac:dyDescent="0.2">
      <c r="A11" s="175">
        <v>5</v>
      </c>
    </row>
    <row r="12" spans="1:1" x14ac:dyDescent="0.2">
      <c r="A12" s="175">
        <v>5</v>
      </c>
    </row>
    <row r="13" spans="1:1" x14ac:dyDescent="0.2">
      <c r="A13" s="175">
        <v>5</v>
      </c>
    </row>
    <row r="14" spans="1:1" x14ac:dyDescent="0.2">
      <c r="A14" s="175">
        <v>5</v>
      </c>
    </row>
    <row r="15" spans="1:1" x14ac:dyDescent="0.2">
      <c r="A15" s="175">
        <v>5</v>
      </c>
    </row>
    <row r="16" spans="1:1" x14ac:dyDescent="0.2">
      <c r="A16" s="175">
        <v>5</v>
      </c>
    </row>
    <row r="17" spans="1:1" x14ac:dyDescent="0.2">
      <c r="A17" s="175">
        <v>10</v>
      </c>
    </row>
    <row r="18" spans="1:1" x14ac:dyDescent="0.2">
      <c r="A18" s="175">
        <v>5</v>
      </c>
    </row>
    <row r="19" spans="1:1" x14ac:dyDescent="0.2">
      <c r="A19" s="175">
        <v>5</v>
      </c>
    </row>
    <row r="20" spans="1:1" x14ac:dyDescent="0.2">
      <c r="A20" s="175">
        <v>0</v>
      </c>
    </row>
    <row r="21" spans="1:1" x14ac:dyDescent="0.2">
      <c r="A21" s="175">
        <v>325</v>
      </c>
    </row>
    <row r="22" spans="1:1" x14ac:dyDescent="0.2">
      <c r="A22" s="175">
        <v>335</v>
      </c>
    </row>
    <row r="23" spans="1:1" x14ac:dyDescent="0.2">
      <c r="A23" s="175">
        <v>375</v>
      </c>
    </row>
    <row r="24" spans="1:1" x14ac:dyDescent="0.2">
      <c r="A24" s="175">
        <v>490</v>
      </c>
    </row>
    <row r="25" spans="1:1" x14ac:dyDescent="0.2">
      <c r="A25" s="175">
        <v>490</v>
      </c>
    </row>
    <row r="26" spans="1:1" x14ac:dyDescent="0.2">
      <c r="A26" s="175">
        <v>590</v>
      </c>
    </row>
    <row r="27" spans="1:1" x14ac:dyDescent="0.2">
      <c r="A27" s="175">
        <v>700</v>
      </c>
    </row>
    <row r="28" spans="1:1" x14ac:dyDescent="0.2">
      <c r="A28" s="175">
        <v>725</v>
      </c>
    </row>
    <row r="29" spans="1:1" x14ac:dyDescent="0.2">
      <c r="A29" s="175">
        <v>850</v>
      </c>
    </row>
    <row r="30" spans="1:1" x14ac:dyDescent="0.2">
      <c r="A30" s="175">
        <v>0</v>
      </c>
    </row>
    <row r="31" spans="1:1" x14ac:dyDescent="0.2">
      <c r="A31" s="175">
        <v>1000</v>
      </c>
    </row>
    <row r="32" spans="1:1" x14ac:dyDescent="0.2">
      <c r="A32" s="175">
        <v>150</v>
      </c>
    </row>
    <row r="33" spans="1:1" x14ac:dyDescent="0.2">
      <c r="A33" s="175">
        <v>250</v>
      </c>
    </row>
    <row r="34" spans="1:1" x14ac:dyDescent="0.2">
      <c r="A34" s="175">
        <v>625</v>
      </c>
    </row>
    <row r="35" spans="1:1" x14ac:dyDescent="0.2">
      <c r="A35" s="175">
        <v>150</v>
      </c>
    </row>
    <row r="36" spans="1:1" x14ac:dyDescent="0.2">
      <c r="A36" s="175">
        <v>150</v>
      </c>
    </row>
    <row r="37" spans="1:1" x14ac:dyDescent="0.2">
      <c r="A37" s="175">
        <v>325</v>
      </c>
    </row>
    <row r="38" spans="1:1" x14ac:dyDescent="0.2">
      <c r="A38" s="175">
        <v>75</v>
      </c>
    </row>
    <row r="39" spans="1:1" x14ac:dyDescent="0.2">
      <c r="A39" s="175">
        <v>100</v>
      </c>
    </row>
    <row r="40" spans="1:1" x14ac:dyDescent="0.2">
      <c r="A40" s="175">
        <v>0</v>
      </c>
    </row>
    <row r="41" spans="1:1" x14ac:dyDescent="0.2">
      <c r="A41" s="175">
        <v>0</v>
      </c>
    </row>
    <row r="42" spans="1:1" x14ac:dyDescent="0.2">
      <c r="A42" s="175">
        <v>1</v>
      </c>
    </row>
    <row r="43" spans="1:1" x14ac:dyDescent="0.2">
      <c r="A43" s="175">
        <v>0</v>
      </c>
    </row>
    <row r="44" spans="1:1" x14ac:dyDescent="0.2">
      <c r="A44" s="175">
        <v>25</v>
      </c>
    </row>
    <row r="45" spans="1:1" x14ac:dyDescent="0.2">
      <c r="A45" s="175">
        <v>15</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5</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1" x14ac:dyDescent="0.2">
      <c r="A65" s="175">
        <v>8</v>
      </c>
    </row>
    <row r="66" spans="1:1" x14ac:dyDescent="0.2">
      <c r="A66" s="175">
        <v>6</v>
      </c>
    </row>
    <row r="67" spans="1:1" x14ac:dyDescent="0.2">
      <c r="A67" s="175">
        <v>0</v>
      </c>
    </row>
    <row r="68" spans="1:1" x14ac:dyDescent="0.2">
      <c r="A68" s="175">
        <v>9</v>
      </c>
    </row>
    <row r="69" spans="1:1" x14ac:dyDescent="0.2">
      <c r="A69" s="175">
        <v>5</v>
      </c>
    </row>
    <row r="70" spans="1:1" x14ac:dyDescent="0.2">
      <c r="A70" s="175">
        <v>0</v>
      </c>
    </row>
    <row r="71" spans="1:1" x14ac:dyDescent="0.2">
      <c r="A71" s="175">
        <v>0</v>
      </c>
    </row>
    <row r="72" spans="1:1" x14ac:dyDescent="0.2">
      <c r="A72" s="175">
        <v>0</v>
      </c>
    </row>
    <row r="73" spans="1:1" x14ac:dyDescent="0.2">
      <c r="A73" s="175">
        <v>0</v>
      </c>
    </row>
    <row r="74" spans="1:1" x14ac:dyDescent="0.2">
      <c r="A74" s="175">
        <v>0</v>
      </c>
    </row>
    <row r="75" spans="1:1" x14ac:dyDescent="0.2">
      <c r="A75" s="175">
        <v>20</v>
      </c>
    </row>
    <row r="76" spans="1:1" x14ac:dyDescent="0.2">
      <c r="A76" s="175">
        <v>2</v>
      </c>
    </row>
    <row r="77" spans="1:1" x14ac:dyDescent="0.2">
      <c r="A77" s="175">
        <v>5</v>
      </c>
    </row>
    <row r="78" spans="1:1" x14ac:dyDescent="0.2">
      <c r="A78" s="175">
        <v>15</v>
      </c>
    </row>
    <row r="79" spans="1:1" x14ac:dyDescent="0.2">
      <c r="A79" s="175">
        <v>0</v>
      </c>
    </row>
    <row r="80" spans="1:1" x14ac:dyDescent="0.2">
      <c r="A80" s="175">
        <v>0</v>
      </c>
    </row>
    <row r="81" spans="1:1" x14ac:dyDescent="0.2">
      <c r="A81" s="175">
        <v>4</v>
      </c>
    </row>
    <row r="82" spans="1:1" x14ac:dyDescent="0.2">
      <c r="A82" s="175">
        <v>0</v>
      </c>
    </row>
    <row r="83" spans="1:1" x14ac:dyDescent="0.2">
      <c r="A83" s="175">
        <v>1200</v>
      </c>
    </row>
    <row r="84" spans="1:1" x14ac:dyDescent="0.2">
      <c r="A84" s="175">
        <v>0</v>
      </c>
    </row>
    <row r="85" spans="1:1" x14ac:dyDescent="0.2">
      <c r="A85" s="175">
        <v>70</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93</v>
      </c>
    </row>
    <row r="103" spans="1:1" x14ac:dyDescent="0.2">
      <c r="A103" s="175">
        <v>112</v>
      </c>
    </row>
    <row r="104" spans="1:1" x14ac:dyDescent="0.2">
      <c r="A104" s="175">
        <v>93</v>
      </c>
    </row>
    <row r="105" spans="1:1" x14ac:dyDescent="0.2">
      <c r="A105" s="175" t="s">
        <v>676</v>
      </c>
    </row>
    <row r="106" spans="1:1" x14ac:dyDescent="0.2">
      <c r="A106" s="175" t="s">
        <v>609</v>
      </c>
    </row>
    <row r="107" spans="1:1" x14ac:dyDescent="0.2">
      <c r="A107" s="175" t="s">
        <v>610</v>
      </c>
    </row>
    <row r="108" spans="1:1" x14ac:dyDescent="0.2">
      <c r="A108" s="175">
        <v>1400</v>
      </c>
    </row>
    <row r="109" spans="1:1" x14ac:dyDescent="0.2">
      <c r="A109" s="175">
        <v>925</v>
      </c>
    </row>
    <row r="110" spans="1:1" x14ac:dyDescent="0.2">
      <c r="A110" s="175">
        <v>500</v>
      </c>
    </row>
    <row r="111" spans="1:1" x14ac:dyDescent="0.2">
      <c r="A111" s="175">
        <v>1442</v>
      </c>
    </row>
    <row r="112" spans="1:1" x14ac:dyDescent="0.2">
      <c r="A112" s="175">
        <v>954</v>
      </c>
    </row>
    <row r="113" spans="1:1" x14ac:dyDescent="0.2">
      <c r="A113" s="175">
        <v>516</v>
      </c>
    </row>
    <row r="114" spans="1:1" x14ac:dyDescent="0.2">
      <c r="A114" s="175">
        <v>42</v>
      </c>
    </row>
    <row r="115" spans="1:1" x14ac:dyDescent="0.2">
      <c r="A115" s="175">
        <v>29</v>
      </c>
    </row>
    <row r="116" spans="1:1" x14ac:dyDescent="0.2">
      <c r="A116" s="175">
        <v>16</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1000</v>
      </c>
    </row>
    <row r="122" spans="1:1" x14ac:dyDescent="0.2">
      <c r="A122" s="175">
        <v>150</v>
      </c>
    </row>
    <row r="123" spans="1:1" x14ac:dyDescent="0.2">
      <c r="A123" s="175">
        <v>250</v>
      </c>
    </row>
    <row r="124" spans="1:1" x14ac:dyDescent="0.2">
      <c r="A124" s="175">
        <v>625</v>
      </c>
    </row>
    <row r="125" spans="1:1" x14ac:dyDescent="0.2">
      <c r="A125" s="175">
        <v>150</v>
      </c>
    </row>
    <row r="126" spans="1:1" x14ac:dyDescent="0.2">
      <c r="A126" s="175">
        <v>150</v>
      </c>
    </row>
    <row r="127" spans="1:1" x14ac:dyDescent="0.2">
      <c r="A127" s="175">
        <v>325</v>
      </c>
    </row>
    <row r="128" spans="1:1" x14ac:dyDescent="0.2">
      <c r="A128" s="175">
        <v>75</v>
      </c>
    </row>
    <row r="129" spans="1:1" x14ac:dyDescent="0.2">
      <c r="A129" s="175">
        <v>100</v>
      </c>
    </row>
    <row r="130" spans="1:1" x14ac:dyDescent="0.2">
      <c r="A130" s="175">
        <v>999</v>
      </c>
    </row>
    <row r="131" spans="1:1" x14ac:dyDescent="0.2">
      <c r="A131" s="175">
        <v>1016</v>
      </c>
    </row>
    <row r="132" spans="1:1" x14ac:dyDescent="0.2">
      <c r="A132" s="175">
        <v>122</v>
      </c>
    </row>
    <row r="133" spans="1:1" x14ac:dyDescent="0.2">
      <c r="A133" s="175">
        <v>243</v>
      </c>
    </row>
    <row r="134" spans="1:1" x14ac:dyDescent="0.2">
      <c r="A134" s="175">
        <v>670</v>
      </c>
    </row>
    <row r="135" spans="1:1" x14ac:dyDescent="0.2">
      <c r="A135" s="175">
        <v>120</v>
      </c>
    </row>
    <row r="136" spans="1:1" x14ac:dyDescent="0.2">
      <c r="A136" s="175">
        <v>167</v>
      </c>
    </row>
    <row r="137" spans="1:1" x14ac:dyDescent="0.2">
      <c r="A137" s="175">
        <v>396</v>
      </c>
    </row>
    <row r="138" spans="1:1" x14ac:dyDescent="0.2">
      <c r="A138" s="175">
        <v>63</v>
      </c>
    </row>
    <row r="139" spans="1:1" x14ac:dyDescent="0.2">
      <c r="A139" s="175">
        <v>95</v>
      </c>
    </row>
    <row r="140" spans="1:1" x14ac:dyDescent="0.2">
      <c r="A140" s="175">
        <v>999</v>
      </c>
    </row>
    <row r="141" spans="1:1" x14ac:dyDescent="0.2">
      <c r="A141" s="175">
        <v>1016</v>
      </c>
    </row>
    <row r="142" spans="1:1" x14ac:dyDescent="0.2">
      <c r="A142" s="175">
        <v>122</v>
      </c>
    </row>
    <row r="143" spans="1:1" x14ac:dyDescent="0.2">
      <c r="A143" s="175">
        <v>243</v>
      </c>
    </row>
    <row r="144" spans="1:1" x14ac:dyDescent="0.2">
      <c r="A144" s="175">
        <v>625</v>
      </c>
    </row>
    <row r="145" spans="1:1" x14ac:dyDescent="0.2">
      <c r="A145" s="175">
        <v>120</v>
      </c>
    </row>
    <row r="146" spans="1:1" x14ac:dyDescent="0.2">
      <c r="A146" s="175">
        <v>150</v>
      </c>
    </row>
    <row r="147" spans="1:1" x14ac:dyDescent="0.2">
      <c r="A147" s="175">
        <v>384</v>
      </c>
    </row>
    <row r="148" spans="1:1" x14ac:dyDescent="0.2">
      <c r="A148" s="175">
        <v>63</v>
      </c>
    </row>
    <row r="149" spans="1:1" x14ac:dyDescent="0.2">
      <c r="A149" s="175">
        <v>95</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22</v>
      </c>
    </row>
    <row r="155" spans="1:1" x14ac:dyDescent="0.2">
      <c r="A155" s="175">
        <v>0</v>
      </c>
    </row>
    <row r="156" spans="1:1" x14ac:dyDescent="0.2">
      <c r="A156" s="175">
        <v>0</v>
      </c>
    </row>
    <row r="157" spans="1:1" x14ac:dyDescent="0.2">
      <c r="A157" s="175">
        <v>6</v>
      </c>
    </row>
    <row r="158" spans="1:1" x14ac:dyDescent="0.2">
      <c r="A158" s="175">
        <v>0</v>
      </c>
    </row>
    <row r="159" spans="1:1" x14ac:dyDescent="0.2">
      <c r="A159" s="175">
        <v>0</v>
      </c>
    </row>
    <row r="160" spans="1:1" x14ac:dyDescent="0.2">
      <c r="A160" s="175">
        <v>999</v>
      </c>
    </row>
    <row r="161" spans="1:2" x14ac:dyDescent="0.2">
      <c r="A161" s="175">
        <v>119</v>
      </c>
    </row>
    <row r="162" spans="1:2" x14ac:dyDescent="0.2">
      <c r="A162" s="175">
        <v>56</v>
      </c>
    </row>
    <row r="163" spans="1:2" x14ac:dyDescent="0.2">
      <c r="A163" s="175">
        <v>7</v>
      </c>
    </row>
    <row r="164" spans="1:2" x14ac:dyDescent="0.2">
      <c r="A164" s="175">
        <v>0</v>
      </c>
    </row>
    <row r="165" spans="1:2" x14ac:dyDescent="0.2">
      <c r="A165" s="175">
        <v>30</v>
      </c>
    </row>
    <row r="166" spans="1:2" x14ac:dyDescent="0.2">
      <c r="A166" s="175">
        <v>0</v>
      </c>
    </row>
    <row r="167" spans="1:2" x14ac:dyDescent="0.2">
      <c r="A167" s="175">
        <v>0</v>
      </c>
    </row>
    <row r="168" spans="1:2" x14ac:dyDescent="0.2">
      <c r="A168" s="175">
        <v>12</v>
      </c>
    </row>
    <row r="169" spans="1:2" x14ac:dyDescent="0.2">
      <c r="A169" s="175">
        <v>5</v>
      </c>
    </row>
    <row r="170" spans="1:2" x14ac:dyDescent="0.2">
      <c r="A170" s="175">
        <v>999</v>
      </c>
    </row>
    <row r="171" spans="1:2" x14ac:dyDescent="0.2">
      <c r="A171" s="175">
        <v>101</v>
      </c>
      <c r="B171" s="175" t="s">
        <v>7</v>
      </c>
    </row>
    <row r="172" spans="1:2" x14ac:dyDescent="0.2">
      <c r="A172" s="175">
        <v>19</v>
      </c>
    </row>
    <row r="173" spans="1:2" x14ac:dyDescent="0.2">
      <c r="A173" s="175">
        <v>12</v>
      </c>
    </row>
    <row r="174" spans="1:2" x14ac:dyDescent="0.2">
      <c r="A174" s="175">
        <v>999</v>
      </c>
    </row>
    <row r="175" spans="1:2" x14ac:dyDescent="0.2">
      <c r="A175" s="175">
        <v>999</v>
      </c>
    </row>
    <row r="176" spans="1:2" x14ac:dyDescent="0.2">
      <c r="A176" s="175">
        <v>999</v>
      </c>
    </row>
    <row r="177" spans="1:1" x14ac:dyDescent="0.2">
      <c r="A177" s="175" t="s">
        <v>11</v>
      </c>
    </row>
    <row r="178" spans="1:1" x14ac:dyDescent="0.2">
      <c r="A178" s="175" t="s">
        <v>10</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17</v>
      </c>
    </row>
    <row r="192" spans="1:1" x14ac:dyDescent="0.2">
      <c r="A192" s="175">
        <v>31</v>
      </c>
    </row>
    <row r="193" spans="1:1" x14ac:dyDescent="0.2">
      <c r="A193" s="175">
        <v>4</v>
      </c>
    </row>
    <row r="194" spans="1:1" x14ac:dyDescent="0.2">
      <c r="A194" s="175">
        <v>1</v>
      </c>
    </row>
    <row r="195" spans="1:1" x14ac:dyDescent="0.2">
      <c r="A195" s="175">
        <v>0</v>
      </c>
    </row>
    <row r="196" spans="1:1" x14ac:dyDescent="0.2">
      <c r="A196" s="175">
        <v>0</v>
      </c>
    </row>
    <row r="197" spans="1:1" x14ac:dyDescent="0.2">
      <c r="A197" s="175">
        <v>21</v>
      </c>
    </row>
    <row r="198" spans="1:1" x14ac:dyDescent="0.2">
      <c r="A198" s="175">
        <v>27</v>
      </c>
    </row>
    <row r="199" spans="1:1" x14ac:dyDescent="0.2">
      <c r="A199" s="175">
        <v>999</v>
      </c>
    </row>
    <row r="200" spans="1:1" x14ac:dyDescent="0.2">
      <c r="A200" s="175">
        <v>999</v>
      </c>
    </row>
    <row r="201" spans="1:1" x14ac:dyDescent="0.2">
      <c r="A201" s="175">
        <v>75000</v>
      </c>
    </row>
    <row r="202" spans="1:1" x14ac:dyDescent="0.2">
      <c r="A202" s="175">
        <v>22018</v>
      </c>
    </row>
    <row r="203" spans="1:1" x14ac:dyDescent="0.2">
      <c r="A203" s="175">
        <v>12810</v>
      </c>
    </row>
    <row r="204" spans="1:1" x14ac:dyDescent="0.2">
      <c r="A204" s="175">
        <v>112219</v>
      </c>
    </row>
    <row r="205" spans="1:1" x14ac:dyDescent="0.2">
      <c r="A205" s="175">
        <v>13514</v>
      </c>
    </row>
    <row r="206" spans="1:1" x14ac:dyDescent="0.2">
      <c r="A206" s="175">
        <v>10890</v>
      </c>
    </row>
    <row r="207" spans="1:1" x14ac:dyDescent="0.2">
      <c r="A207" s="175">
        <v>55000</v>
      </c>
    </row>
    <row r="208" spans="1:1" x14ac:dyDescent="0.2">
      <c r="A208" s="175">
        <v>15000</v>
      </c>
    </row>
    <row r="209" spans="1:1" x14ac:dyDescent="0.2">
      <c r="A209" s="175">
        <v>9000</v>
      </c>
    </row>
    <row r="210" spans="1:1" x14ac:dyDescent="0.2">
      <c r="A210" s="175">
        <v>6800</v>
      </c>
    </row>
    <row r="211" spans="1:1" x14ac:dyDescent="0.2">
      <c r="A211" s="175">
        <v>8366</v>
      </c>
    </row>
    <row r="212" spans="1:1" x14ac:dyDescent="0.2">
      <c r="A212" s="175">
        <v>7500</v>
      </c>
    </row>
    <row r="213" spans="1:1" x14ac:dyDescent="0.2">
      <c r="A213" s="175">
        <v>2818</v>
      </c>
    </row>
    <row r="214" spans="1:1" x14ac:dyDescent="0.2">
      <c r="A214" s="175">
        <v>9250</v>
      </c>
    </row>
    <row r="215" spans="1:1" x14ac:dyDescent="0.2">
      <c r="A215" s="175">
        <v>70000</v>
      </c>
    </row>
    <row r="216" spans="1:1" x14ac:dyDescent="0.2">
      <c r="A216" s="175">
        <v>10841</v>
      </c>
    </row>
    <row r="217" spans="1:1" x14ac:dyDescent="0.2">
      <c r="A217" s="175">
        <v>441026</v>
      </c>
    </row>
    <row r="218" spans="1:1" x14ac:dyDescent="0.2">
      <c r="A218" s="175">
        <v>1307307</v>
      </c>
    </row>
    <row r="219" spans="1:1" x14ac:dyDescent="0.2">
      <c r="A219" s="175">
        <v>3660</v>
      </c>
    </row>
    <row r="220" spans="1:1" x14ac:dyDescent="0.2">
      <c r="A220" s="175">
        <v>1541</v>
      </c>
    </row>
    <row r="221" spans="1:1" x14ac:dyDescent="0.2">
      <c r="A221" s="175">
        <v>1307307</v>
      </c>
    </row>
    <row r="222" spans="1:1" x14ac:dyDescent="0.2">
      <c r="A222" s="175">
        <v>2119</v>
      </c>
    </row>
    <row r="223" spans="1:1" x14ac:dyDescent="0.2">
      <c r="A223" s="175">
        <v>1116323</v>
      </c>
    </row>
    <row r="224" spans="1:1" x14ac:dyDescent="0.2">
      <c r="A224" s="175">
        <v>0</v>
      </c>
    </row>
    <row r="225" spans="1:1" x14ac:dyDescent="0.2">
      <c r="A225" s="175">
        <v>1437</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194540</v>
      </c>
    </row>
    <row r="234" spans="1:1" x14ac:dyDescent="0.2">
      <c r="A234" s="175">
        <v>1634465</v>
      </c>
    </row>
    <row r="235" spans="1:1" x14ac:dyDescent="0.2">
      <c r="A235" s="175">
        <v>999</v>
      </c>
    </row>
    <row r="236" spans="1:1" x14ac:dyDescent="0.2">
      <c r="A236" s="175">
        <v>999</v>
      </c>
    </row>
    <row r="237" spans="1:1" x14ac:dyDescent="0.2">
      <c r="A237" s="175">
        <v>999</v>
      </c>
    </row>
    <row r="238" spans="1:1" x14ac:dyDescent="0.2">
      <c r="A238" s="175">
        <v>619000</v>
      </c>
    </row>
    <row r="239" spans="1:1" x14ac:dyDescent="0.2">
      <c r="A239" s="175">
        <v>1468000</v>
      </c>
    </row>
    <row r="240" spans="1:1" x14ac:dyDescent="0.2">
      <c r="A240" s="175">
        <v>-307504</v>
      </c>
    </row>
    <row r="241" spans="1:1" x14ac:dyDescent="0.2">
      <c r="A241" s="175">
        <v>1329434</v>
      </c>
    </row>
    <row r="242" spans="1:1" x14ac:dyDescent="0.2">
      <c r="A242" s="175">
        <v>143405</v>
      </c>
    </row>
    <row r="243" spans="1:1" x14ac:dyDescent="0.2">
      <c r="A243" s="175">
        <v>0</v>
      </c>
    </row>
    <row r="244" spans="1:1" x14ac:dyDescent="0.2">
      <c r="A244" s="175">
        <v>329690</v>
      </c>
    </row>
    <row r="245" spans="1:1" x14ac:dyDescent="0.2">
      <c r="A245" s="175">
        <v>72665</v>
      </c>
    </row>
    <row r="246" spans="1:1" x14ac:dyDescent="0.2">
      <c r="A246" s="175">
        <v>178634</v>
      </c>
    </row>
    <row r="247" spans="1:1" x14ac:dyDescent="0.2">
      <c r="A247" s="175">
        <v>104417</v>
      </c>
    </row>
    <row r="248" spans="1:1" x14ac:dyDescent="0.2">
      <c r="A248" s="175">
        <v>2912</v>
      </c>
    </row>
    <row r="249" spans="1:1" x14ac:dyDescent="0.2">
      <c r="A249" s="175">
        <v>40700</v>
      </c>
    </row>
    <row r="250" spans="1:1" x14ac:dyDescent="0.2">
      <c r="A250" s="175">
        <v>129336</v>
      </c>
    </row>
    <row r="251" spans="1:1" x14ac:dyDescent="0.2">
      <c r="A251" s="175">
        <v>743087</v>
      </c>
    </row>
    <row r="252" spans="1:1" x14ac:dyDescent="0.2">
      <c r="A252" s="175">
        <v>586347</v>
      </c>
    </row>
    <row r="253" spans="1:1" x14ac:dyDescent="0.2">
      <c r="A253" s="175">
        <v>0</v>
      </c>
    </row>
    <row r="254" spans="1:1" x14ac:dyDescent="0.2">
      <c r="A254" s="175">
        <v>27458</v>
      </c>
    </row>
    <row r="255" spans="1:1" x14ac:dyDescent="0.2">
      <c r="A255" s="175">
        <v>0</v>
      </c>
    </row>
    <row r="256" spans="1:1" x14ac:dyDescent="0.2">
      <c r="A256" s="175">
        <v>121419</v>
      </c>
    </row>
    <row r="257" spans="1:1" x14ac:dyDescent="0.2">
      <c r="A257" s="175">
        <v>-186085</v>
      </c>
    </row>
    <row r="258" spans="1:1" x14ac:dyDescent="0.2">
      <c r="A258" s="175">
        <v>999</v>
      </c>
    </row>
    <row r="259" spans="1:1" x14ac:dyDescent="0.2">
      <c r="A259" s="175">
        <v>999</v>
      </c>
    </row>
    <row r="260" spans="1:1" x14ac:dyDescent="0.2">
      <c r="A260" s="175">
        <v>-307504</v>
      </c>
    </row>
    <row r="261" spans="1:1" x14ac:dyDescent="0.2">
      <c r="A261" s="175">
        <v>50000</v>
      </c>
    </row>
    <row r="262" spans="1:1" x14ac:dyDescent="0.2">
      <c r="A262" s="175">
        <v>250000</v>
      </c>
    </row>
    <row r="263" spans="1:1" x14ac:dyDescent="0.2">
      <c r="A263" s="175">
        <v>1070870</v>
      </c>
    </row>
    <row r="264" spans="1:1" x14ac:dyDescent="0.2">
      <c r="A264" s="175">
        <v>0</v>
      </c>
    </row>
    <row r="265" spans="1:1" x14ac:dyDescent="0.2">
      <c r="A265" s="175">
        <v>37575</v>
      </c>
    </row>
    <row r="266" spans="1:1" x14ac:dyDescent="0.2">
      <c r="A266" s="175">
        <v>0</v>
      </c>
    </row>
    <row r="267" spans="1:1" x14ac:dyDescent="0.2">
      <c r="A267" s="175">
        <v>91761</v>
      </c>
    </row>
    <row r="268" spans="1:1" x14ac:dyDescent="0.2">
      <c r="A268" s="175">
        <v>806305</v>
      </c>
    </row>
    <row r="269" spans="1:1" x14ac:dyDescent="0.2">
      <c r="A269" s="175">
        <v>1829005</v>
      </c>
    </row>
    <row r="270" spans="1:1" x14ac:dyDescent="0.2">
      <c r="A270" s="175">
        <v>1150000</v>
      </c>
    </row>
    <row r="271" spans="1:1" x14ac:dyDescent="0.2">
      <c r="A271" s="175">
        <v>0</v>
      </c>
    </row>
    <row r="272" spans="1:1" x14ac:dyDescent="0.2">
      <c r="A272" s="175">
        <v>321601</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3813915</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210</v>
      </c>
    </row>
    <row r="287" spans="1:1" x14ac:dyDescent="0.2">
      <c r="A287" s="175">
        <v>8</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8</v>
      </c>
    </row>
    <row r="297" spans="1:1" x14ac:dyDescent="0.2">
      <c r="A297" s="175">
        <v>500</v>
      </c>
    </row>
    <row r="298" spans="1:1" x14ac:dyDescent="0.2">
      <c r="A298" s="175">
        <v>2</v>
      </c>
    </row>
    <row r="299" spans="1:1" x14ac:dyDescent="0.2">
      <c r="A299" s="175">
        <v>300</v>
      </c>
    </row>
    <row r="300" spans="1:1" x14ac:dyDescent="0.2">
      <c r="A300" s="175">
        <v>2</v>
      </c>
    </row>
    <row r="301" spans="1:1" x14ac:dyDescent="0.2">
      <c r="A301" s="175">
        <v>4272</v>
      </c>
    </row>
    <row r="302" spans="1:1" x14ac:dyDescent="0.2">
      <c r="A302" s="175">
        <v>56</v>
      </c>
    </row>
    <row r="303" spans="1:1" x14ac:dyDescent="0.2">
      <c r="A303" s="175">
        <v>3855</v>
      </c>
    </row>
    <row r="304" spans="1:1" x14ac:dyDescent="0.2">
      <c r="A304" s="175">
        <v>95</v>
      </c>
    </row>
    <row r="305" spans="1:2" x14ac:dyDescent="0.2">
      <c r="A305" s="175">
        <v>9792</v>
      </c>
    </row>
    <row r="306" spans="1:2" x14ac:dyDescent="0.2">
      <c r="A306" s="175">
        <v>227</v>
      </c>
      <c r="B306" s="175" t="s">
        <v>7</v>
      </c>
    </row>
    <row r="307" spans="1:2" x14ac:dyDescent="0.2">
      <c r="A307" s="175">
        <v>8181</v>
      </c>
    </row>
    <row r="308" spans="1:2" x14ac:dyDescent="0.2">
      <c r="A308" s="175">
        <v>0</v>
      </c>
    </row>
    <row r="309" spans="1:2" x14ac:dyDescent="0.2">
      <c r="A309" s="175">
        <v>999</v>
      </c>
    </row>
    <row r="310" spans="1:2" x14ac:dyDescent="0.2">
      <c r="A310" s="175">
        <v>999</v>
      </c>
    </row>
    <row r="311" spans="1:2" x14ac:dyDescent="0.2">
      <c r="A311" s="175">
        <v>1618</v>
      </c>
    </row>
    <row r="312" spans="1:2" x14ac:dyDescent="0.2">
      <c r="A312" s="175">
        <v>0</v>
      </c>
    </row>
    <row r="313" spans="1:2" x14ac:dyDescent="0.2">
      <c r="A313" s="175">
        <v>0</v>
      </c>
    </row>
    <row r="314" spans="1:2" x14ac:dyDescent="0.2">
      <c r="A314" s="175">
        <v>0</v>
      </c>
    </row>
    <row r="315" spans="1:2" x14ac:dyDescent="0.2">
      <c r="A315" s="175">
        <v>4898</v>
      </c>
    </row>
    <row r="316" spans="1:2" x14ac:dyDescent="0.2">
      <c r="A316" s="175">
        <v>1720</v>
      </c>
    </row>
    <row r="317" spans="1:2" x14ac:dyDescent="0.2">
      <c r="A317" s="175">
        <v>0</v>
      </c>
    </row>
    <row r="318" spans="1:2" x14ac:dyDescent="0.2">
      <c r="A318" s="175">
        <v>5</v>
      </c>
    </row>
    <row r="319" spans="1:2" x14ac:dyDescent="0.2">
      <c r="A319" s="175">
        <v>6897</v>
      </c>
    </row>
    <row r="320" spans="1:2" x14ac:dyDescent="0.2">
      <c r="A320" s="175">
        <v>999</v>
      </c>
    </row>
    <row r="321" spans="1:1" x14ac:dyDescent="0.2">
      <c r="A321" s="175">
        <v>3</v>
      </c>
    </row>
    <row r="322" spans="1:1" x14ac:dyDescent="0.2">
      <c r="A322" s="175">
        <v>1</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5</v>
      </c>
    </row>
    <row r="328" spans="1:1" x14ac:dyDescent="0.2">
      <c r="A328" s="175">
        <v>5</v>
      </c>
    </row>
    <row r="329" spans="1:1" x14ac:dyDescent="0.2">
      <c r="A329" s="175">
        <v>67</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75000</v>
      </c>
    </row>
    <row r="423" spans="1:1" x14ac:dyDescent="0.2">
      <c r="A423" s="175">
        <v>55000</v>
      </c>
    </row>
    <row r="424" spans="1:1" x14ac:dyDescent="0.2">
      <c r="A424" s="175" t="s">
        <v>602</v>
      </c>
    </row>
    <row r="425" spans="1:1" x14ac:dyDescent="0.2">
      <c r="A425" s="175" t="s">
        <v>601</v>
      </c>
    </row>
    <row r="426" spans="1:1" x14ac:dyDescent="0.2">
      <c r="A426" s="175" t="s">
        <v>602</v>
      </c>
    </row>
    <row r="427" spans="1:1" x14ac:dyDescent="0.2">
      <c r="A427" s="175" t="s">
        <v>602</v>
      </c>
    </row>
    <row r="428" spans="1:1" x14ac:dyDescent="0.2">
      <c r="A428" s="175">
        <v>2</v>
      </c>
    </row>
    <row r="429" spans="1:1" x14ac:dyDescent="0.2">
      <c r="A429" s="175">
        <v>75000</v>
      </c>
    </row>
    <row r="430" spans="1:1" x14ac:dyDescent="0.2">
      <c r="A430" s="175">
        <v>55000</v>
      </c>
    </row>
    <row r="431" spans="1:1" x14ac:dyDescent="0.2">
      <c r="A431" s="175" t="s">
        <v>602</v>
      </c>
    </row>
    <row r="432" spans="1:1" x14ac:dyDescent="0.2">
      <c r="A432" s="175" t="s">
        <v>601</v>
      </c>
    </row>
    <row r="433" spans="1:1" x14ac:dyDescent="0.2">
      <c r="A433" s="175" t="s">
        <v>602</v>
      </c>
    </row>
    <row r="434" spans="1:1" x14ac:dyDescent="0.2">
      <c r="A434" s="175" t="s">
        <v>602</v>
      </c>
    </row>
    <row r="435" spans="1:1" x14ac:dyDescent="0.2">
      <c r="A435" s="175">
        <v>3</v>
      </c>
    </row>
    <row r="436" spans="1:1" x14ac:dyDescent="0.2">
      <c r="A436" s="175">
        <v>75000</v>
      </c>
    </row>
    <row r="437" spans="1:1" x14ac:dyDescent="0.2">
      <c r="A437" s="175">
        <v>55000</v>
      </c>
    </row>
    <row r="438" spans="1:1" x14ac:dyDescent="0.2">
      <c r="A438" s="175" t="s">
        <v>602</v>
      </c>
    </row>
    <row r="439" spans="1:1" x14ac:dyDescent="0.2">
      <c r="A439" s="175" t="s">
        <v>601</v>
      </c>
    </row>
    <row r="440" spans="1:1" x14ac:dyDescent="0.2">
      <c r="A440" s="175" t="s">
        <v>602</v>
      </c>
    </row>
    <row r="441" spans="1:1" x14ac:dyDescent="0.2">
      <c r="A441" s="175" t="s">
        <v>602</v>
      </c>
    </row>
    <row r="442" spans="1:1" x14ac:dyDescent="0.2">
      <c r="A442" s="175">
        <v>4</v>
      </c>
    </row>
    <row r="443" spans="1:1" x14ac:dyDescent="0.2">
      <c r="A443" s="175">
        <v>75000</v>
      </c>
    </row>
    <row r="444" spans="1:1" x14ac:dyDescent="0.2">
      <c r="A444" s="175">
        <v>55000</v>
      </c>
    </row>
    <row r="445" spans="1:1" x14ac:dyDescent="0.2">
      <c r="A445" s="175" t="s">
        <v>602</v>
      </c>
    </row>
    <row r="446" spans="1:1" x14ac:dyDescent="0.2">
      <c r="A446" s="175" t="s">
        <v>601</v>
      </c>
    </row>
    <row r="447" spans="1:1" x14ac:dyDescent="0.2">
      <c r="A447" s="175" t="s">
        <v>602</v>
      </c>
    </row>
    <row r="448" spans="1:1" x14ac:dyDescent="0.2">
      <c r="A448" s="175" t="s">
        <v>602</v>
      </c>
    </row>
    <row r="449" spans="1:1" x14ac:dyDescent="0.2">
      <c r="A449" s="175">
        <v>5</v>
      </c>
    </row>
    <row r="450" spans="1:1" x14ac:dyDescent="0.2">
      <c r="A450" s="175">
        <v>75000</v>
      </c>
    </row>
    <row r="451" spans="1:1" x14ac:dyDescent="0.2">
      <c r="A451" s="175">
        <v>55000</v>
      </c>
    </row>
    <row r="452" spans="1:1" x14ac:dyDescent="0.2">
      <c r="A452" s="175" t="s">
        <v>602</v>
      </c>
    </row>
    <row r="453" spans="1:1" x14ac:dyDescent="0.2">
      <c r="A453" s="175" t="s">
        <v>601</v>
      </c>
    </row>
    <row r="454" spans="1:1" x14ac:dyDescent="0.2">
      <c r="A454" s="175" t="s">
        <v>602</v>
      </c>
    </row>
    <row r="455" spans="1:1" x14ac:dyDescent="0.2">
      <c r="A455" s="175" t="s">
        <v>602</v>
      </c>
    </row>
    <row r="456" spans="1:1" x14ac:dyDescent="0.2">
      <c r="A456" s="175">
        <v>6</v>
      </c>
    </row>
    <row r="457" spans="1:1" x14ac:dyDescent="0.2">
      <c r="A457" s="175">
        <v>75000</v>
      </c>
    </row>
    <row r="458" spans="1:1" x14ac:dyDescent="0.2">
      <c r="A458" s="175">
        <v>55000</v>
      </c>
    </row>
    <row r="459" spans="1:1" x14ac:dyDescent="0.2">
      <c r="A459" s="175" t="s">
        <v>602</v>
      </c>
    </row>
    <row r="460" spans="1:1" x14ac:dyDescent="0.2">
      <c r="A460" s="175" t="s">
        <v>601</v>
      </c>
    </row>
    <row r="461" spans="1:1" x14ac:dyDescent="0.2">
      <c r="A461" s="175" t="s">
        <v>602</v>
      </c>
    </row>
    <row r="462" spans="1:1" x14ac:dyDescent="0.2">
      <c r="A462" s="175" t="s">
        <v>602</v>
      </c>
    </row>
    <row r="463" spans="1:1" x14ac:dyDescent="0.2">
      <c r="A463" s="175">
        <v>7</v>
      </c>
    </row>
    <row r="464" spans="1:1" x14ac:dyDescent="0.2">
      <c r="A464" s="175">
        <v>75000</v>
      </c>
    </row>
    <row r="465" spans="1:1" x14ac:dyDescent="0.2">
      <c r="A465" s="175">
        <v>55000</v>
      </c>
    </row>
    <row r="466" spans="1:1" x14ac:dyDescent="0.2">
      <c r="A466" s="175" t="s">
        <v>602</v>
      </c>
    </row>
    <row r="467" spans="1:1" x14ac:dyDescent="0.2">
      <c r="A467" s="175" t="s">
        <v>601</v>
      </c>
    </row>
    <row r="468" spans="1:1" x14ac:dyDescent="0.2">
      <c r="A468" s="175" t="s">
        <v>602</v>
      </c>
    </row>
    <row r="469" spans="1:1" x14ac:dyDescent="0.2">
      <c r="A469" s="175" t="s">
        <v>602</v>
      </c>
    </row>
    <row r="470" spans="1:1" x14ac:dyDescent="0.2">
      <c r="A470" s="175">
        <v>8</v>
      </c>
    </row>
    <row r="471" spans="1:1" x14ac:dyDescent="0.2">
      <c r="A471" s="175">
        <v>75000</v>
      </c>
    </row>
    <row r="472" spans="1:1" x14ac:dyDescent="0.2">
      <c r="A472" s="175">
        <v>55000</v>
      </c>
    </row>
    <row r="473" spans="1:1" x14ac:dyDescent="0.2">
      <c r="A473" s="175" t="s">
        <v>602</v>
      </c>
    </row>
    <row r="474" spans="1:1" x14ac:dyDescent="0.2">
      <c r="A474" s="175" t="s">
        <v>601</v>
      </c>
    </row>
    <row r="475" spans="1:1" x14ac:dyDescent="0.2">
      <c r="A475" s="175" t="s">
        <v>602</v>
      </c>
    </row>
    <row r="476" spans="1:1" x14ac:dyDescent="0.2">
      <c r="A476" s="175" t="s">
        <v>602</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6038</v>
      </c>
    </row>
    <row r="505" spans="1:1" x14ac:dyDescent="0.2">
      <c r="A505" s="175">
        <v>4155</v>
      </c>
    </row>
    <row r="506" spans="1:1" x14ac:dyDescent="0.2">
      <c r="A506" s="175">
        <v>4285</v>
      </c>
    </row>
    <row r="507" spans="1:1" x14ac:dyDescent="0.2">
      <c r="A507" s="175">
        <v>84</v>
      </c>
    </row>
    <row r="508" spans="1:1" x14ac:dyDescent="0.2">
      <c r="A508" s="175">
        <v>44</v>
      </c>
    </row>
    <row r="509" spans="1:1" x14ac:dyDescent="0.2">
      <c r="A509" s="175">
        <v>1895</v>
      </c>
    </row>
    <row r="510" spans="1:1" x14ac:dyDescent="0.2">
      <c r="A510" s="175">
        <v>1897</v>
      </c>
    </row>
    <row r="511" spans="1:1" x14ac:dyDescent="0.2">
      <c r="A511" s="175">
        <v>83</v>
      </c>
    </row>
    <row r="512" spans="1:1" x14ac:dyDescent="0.2">
      <c r="A512" s="175">
        <v>999</v>
      </c>
    </row>
    <row r="513" spans="1:1" x14ac:dyDescent="0.2">
      <c r="A513" s="175">
        <v>999</v>
      </c>
    </row>
    <row r="514" spans="1:1" x14ac:dyDescent="0.2">
      <c r="A514" s="175">
        <v>65153</v>
      </c>
    </row>
    <row r="515" spans="1:1" x14ac:dyDescent="0.2">
      <c r="A515" s="175">
        <v>78498</v>
      </c>
    </row>
    <row r="516" spans="1:1" x14ac:dyDescent="0.2">
      <c r="A516" s="175">
        <v>75387</v>
      </c>
    </row>
    <row r="517" spans="1:1" x14ac:dyDescent="0.2">
      <c r="A517" s="175">
        <v>71419</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10437</v>
      </c>
    </row>
    <row r="523" spans="1:1" x14ac:dyDescent="0.2">
      <c r="A523" s="175">
        <v>4174800</v>
      </c>
    </row>
    <row r="524" spans="1:1" x14ac:dyDescent="0.2">
      <c r="A524" s="175">
        <v>0</v>
      </c>
    </row>
    <row r="525" spans="1:1" x14ac:dyDescent="0.2">
      <c r="A525" s="175">
        <v>4174800</v>
      </c>
    </row>
    <row r="526" spans="1:1" x14ac:dyDescent="0.2">
      <c r="A526" s="175">
        <v>325</v>
      </c>
    </row>
    <row r="527" spans="1:1" x14ac:dyDescent="0.2">
      <c r="A527" s="175">
        <v>335</v>
      </c>
    </row>
    <row r="528" spans="1:1" x14ac:dyDescent="0.2">
      <c r="A528" s="175">
        <v>375</v>
      </c>
    </row>
    <row r="529" spans="1:1" x14ac:dyDescent="0.2">
      <c r="A529" s="175">
        <v>490</v>
      </c>
    </row>
    <row r="530" spans="1:1" x14ac:dyDescent="0.2">
      <c r="A530" s="175">
        <v>490</v>
      </c>
    </row>
    <row r="531" spans="1:1" x14ac:dyDescent="0.2">
      <c r="A531" s="175">
        <v>590</v>
      </c>
    </row>
    <row r="532" spans="1:1" x14ac:dyDescent="0.2">
      <c r="A532" s="175">
        <v>700</v>
      </c>
    </row>
    <row r="533" spans="1:1" x14ac:dyDescent="0.2">
      <c r="A533" s="175">
        <v>725</v>
      </c>
    </row>
    <row r="534" spans="1:1" x14ac:dyDescent="0.2">
      <c r="A534" s="175">
        <v>850</v>
      </c>
    </row>
    <row r="535" spans="1:1" x14ac:dyDescent="0.2">
      <c r="A535" s="175">
        <v>49</v>
      </c>
    </row>
    <row r="536" spans="1:1" x14ac:dyDescent="0.2">
      <c r="A536" s="175">
        <v>1200</v>
      </c>
    </row>
    <row r="537" spans="1:1" x14ac:dyDescent="0.2">
      <c r="A537" s="175">
        <v>4</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10437</v>
      </c>
    </row>
    <row r="543" spans="1:1" x14ac:dyDescent="0.2">
      <c r="A543" s="175">
        <v>4174800</v>
      </c>
    </row>
    <row r="544" spans="1:1" x14ac:dyDescent="0.2">
      <c r="A544" s="175">
        <v>0</v>
      </c>
    </row>
    <row r="545" spans="1:1" x14ac:dyDescent="0.2">
      <c r="A545" s="175">
        <v>4174800</v>
      </c>
    </row>
    <row r="546" spans="1:1" x14ac:dyDescent="0.2">
      <c r="A546" s="175">
        <v>325</v>
      </c>
    </row>
    <row r="547" spans="1:1" x14ac:dyDescent="0.2">
      <c r="A547" s="175">
        <v>335</v>
      </c>
    </row>
    <row r="548" spans="1:1" x14ac:dyDescent="0.2">
      <c r="A548" s="175">
        <v>375</v>
      </c>
    </row>
    <row r="549" spans="1:1" x14ac:dyDescent="0.2">
      <c r="A549" s="175">
        <v>490</v>
      </c>
    </row>
    <row r="550" spans="1:1" x14ac:dyDescent="0.2">
      <c r="A550" s="175">
        <v>490</v>
      </c>
    </row>
    <row r="551" spans="1:1" x14ac:dyDescent="0.2">
      <c r="A551" s="175">
        <v>590</v>
      </c>
    </row>
    <row r="552" spans="1:1" x14ac:dyDescent="0.2">
      <c r="A552" s="175">
        <v>700</v>
      </c>
    </row>
    <row r="553" spans="1:1" x14ac:dyDescent="0.2">
      <c r="A553" s="175">
        <v>725</v>
      </c>
    </row>
    <row r="554" spans="1:1" x14ac:dyDescent="0.2">
      <c r="A554" s="175">
        <v>850</v>
      </c>
    </row>
    <row r="555" spans="1:1" x14ac:dyDescent="0.2">
      <c r="A555" s="175">
        <v>49</v>
      </c>
    </row>
    <row r="556" spans="1:1" x14ac:dyDescent="0.2">
      <c r="A556" s="175">
        <v>1200</v>
      </c>
    </row>
    <row r="557" spans="1:1" x14ac:dyDescent="0.2">
      <c r="A557" s="175">
        <v>4</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10437</v>
      </c>
    </row>
    <row r="563" spans="1:1" x14ac:dyDescent="0.2">
      <c r="A563" s="175">
        <v>4174800</v>
      </c>
    </row>
    <row r="564" spans="1:1" x14ac:dyDescent="0.2">
      <c r="A564" s="175">
        <v>0</v>
      </c>
    </row>
    <row r="565" spans="1:1" x14ac:dyDescent="0.2">
      <c r="A565" s="175">
        <v>4174800</v>
      </c>
    </row>
    <row r="566" spans="1:1" x14ac:dyDescent="0.2">
      <c r="A566" s="175">
        <v>325</v>
      </c>
    </row>
    <row r="567" spans="1:1" x14ac:dyDescent="0.2">
      <c r="A567" s="175">
        <v>335</v>
      </c>
    </row>
    <row r="568" spans="1:1" x14ac:dyDescent="0.2">
      <c r="A568" s="175">
        <v>375</v>
      </c>
    </row>
    <row r="569" spans="1:1" x14ac:dyDescent="0.2">
      <c r="A569" s="175">
        <v>490</v>
      </c>
    </row>
    <row r="570" spans="1:1" x14ac:dyDescent="0.2">
      <c r="A570" s="175">
        <v>490</v>
      </c>
    </row>
    <row r="571" spans="1:1" x14ac:dyDescent="0.2">
      <c r="A571" s="175">
        <v>590</v>
      </c>
    </row>
    <row r="572" spans="1:1" x14ac:dyDescent="0.2">
      <c r="A572" s="175">
        <v>700</v>
      </c>
    </row>
    <row r="573" spans="1:1" x14ac:dyDescent="0.2">
      <c r="A573" s="175">
        <v>725</v>
      </c>
    </row>
    <row r="574" spans="1:1" x14ac:dyDescent="0.2">
      <c r="A574" s="175">
        <v>850</v>
      </c>
    </row>
    <row r="575" spans="1:1" x14ac:dyDescent="0.2">
      <c r="A575" s="175">
        <v>49</v>
      </c>
    </row>
    <row r="576" spans="1:1" x14ac:dyDescent="0.2">
      <c r="A576" s="175">
        <v>1200</v>
      </c>
    </row>
    <row r="577" spans="1:1" x14ac:dyDescent="0.2">
      <c r="A577" s="175">
        <v>4</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10437</v>
      </c>
    </row>
    <row r="583" spans="1:1" x14ac:dyDescent="0.2">
      <c r="A583" s="175">
        <v>4174800</v>
      </c>
    </row>
    <row r="584" spans="1:1" x14ac:dyDescent="0.2">
      <c r="A584" s="175">
        <v>0</v>
      </c>
    </row>
    <row r="585" spans="1:1" x14ac:dyDescent="0.2">
      <c r="A585" s="175">
        <v>4174800</v>
      </c>
    </row>
    <row r="586" spans="1:1" x14ac:dyDescent="0.2">
      <c r="A586" s="175">
        <v>325</v>
      </c>
    </row>
    <row r="587" spans="1:1" x14ac:dyDescent="0.2">
      <c r="A587" s="175">
        <v>335</v>
      </c>
    </row>
    <row r="588" spans="1:1" x14ac:dyDescent="0.2">
      <c r="A588" s="175">
        <v>375</v>
      </c>
    </row>
    <row r="589" spans="1:1" x14ac:dyDescent="0.2">
      <c r="A589" s="175">
        <v>490</v>
      </c>
    </row>
    <row r="590" spans="1:1" x14ac:dyDescent="0.2">
      <c r="A590" s="175">
        <v>490</v>
      </c>
    </row>
    <row r="591" spans="1:1" x14ac:dyDescent="0.2">
      <c r="A591" s="175">
        <v>590</v>
      </c>
    </row>
    <row r="592" spans="1:1" x14ac:dyDescent="0.2">
      <c r="A592" s="175">
        <v>700</v>
      </c>
    </row>
    <row r="593" spans="1:1" x14ac:dyDescent="0.2">
      <c r="A593" s="175">
        <v>725</v>
      </c>
    </row>
    <row r="594" spans="1:1" x14ac:dyDescent="0.2">
      <c r="A594" s="175">
        <v>850</v>
      </c>
    </row>
    <row r="595" spans="1:1" x14ac:dyDescent="0.2">
      <c r="A595" s="175">
        <v>49</v>
      </c>
    </row>
    <row r="596" spans="1:1" x14ac:dyDescent="0.2">
      <c r="A596" s="175">
        <v>1200</v>
      </c>
    </row>
    <row r="597" spans="1:1" x14ac:dyDescent="0.2">
      <c r="A597" s="175">
        <v>4</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10437</v>
      </c>
    </row>
    <row r="603" spans="1:1" x14ac:dyDescent="0.2">
      <c r="A603" s="175">
        <v>4174800</v>
      </c>
    </row>
    <row r="604" spans="1:1" x14ac:dyDescent="0.2">
      <c r="A604" s="175">
        <v>0</v>
      </c>
    </row>
    <row r="605" spans="1:1" x14ac:dyDescent="0.2">
      <c r="A605" s="175">
        <v>4174800</v>
      </c>
    </row>
    <row r="606" spans="1:1" x14ac:dyDescent="0.2">
      <c r="A606" s="175">
        <v>325</v>
      </c>
    </row>
    <row r="607" spans="1:1" x14ac:dyDescent="0.2">
      <c r="A607" s="175">
        <v>335</v>
      </c>
    </row>
    <row r="608" spans="1:1" x14ac:dyDescent="0.2">
      <c r="A608" s="175">
        <v>375</v>
      </c>
    </row>
    <row r="609" spans="1:1" x14ac:dyDescent="0.2">
      <c r="A609" s="175">
        <v>490</v>
      </c>
    </row>
    <row r="610" spans="1:1" x14ac:dyDescent="0.2">
      <c r="A610" s="175">
        <v>490</v>
      </c>
    </row>
    <row r="611" spans="1:1" x14ac:dyDescent="0.2">
      <c r="A611" s="175">
        <v>590</v>
      </c>
    </row>
    <row r="612" spans="1:1" x14ac:dyDescent="0.2">
      <c r="A612" s="175">
        <v>700</v>
      </c>
    </row>
    <row r="613" spans="1:1" x14ac:dyDescent="0.2">
      <c r="A613" s="175">
        <v>725</v>
      </c>
    </row>
    <row r="614" spans="1:1" x14ac:dyDescent="0.2">
      <c r="A614" s="175">
        <v>850</v>
      </c>
    </row>
    <row r="615" spans="1:1" x14ac:dyDescent="0.2">
      <c r="A615" s="175">
        <v>49</v>
      </c>
    </row>
    <row r="616" spans="1:1" x14ac:dyDescent="0.2">
      <c r="A616" s="175">
        <v>1200</v>
      </c>
    </row>
    <row r="617" spans="1:1" x14ac:dyDescent="0.2">
      <c r="A617" s="175">
        <v>4</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10437</v>
      </c>
    </row>
    <row r="623" spans="1:1" x14ac:dyDescent="0.2">
      <c r="A623" s="175">
        <v>4174800</v>
      </c>
    </row>
    <row r="624" spans="1:1" x14ac:dyDescent="0.2">
      <c r="A624" s="175">
        <v>0</v>
      </c>
    </row>
    <row r="625" spans="1:1" x14ac:dyDescent="0.2">
      <c r="A625" s="175">
        <v>4174800</v>
      </c>
    </row>
    <row r="626" spans="1:1" x14ac:dyDescent="0.2">
      <c r="A626" s="175">
        <v>325</v>
      </c>
    </row>
    <row r="627" spans="1:1" x14ac:dyDescent="0.2">
      <c r="A627" s="175">
        <v>335</v>
      </c>
    </row>
    <row r="628" spans="1:1" x14ac:dyDescent="0.2">
      <c r="A628" s="175">
        <v>375</v>
      </c>
    </row>
    <row r="629" spans="1:1" x14ac:dyDescent="0.2">
      <c r="A629" s="175">
        <v>490</v>
      </c>
    </row>
    <row r="630" spans="1:1" x14ac:dyDescent="0.2">
      <c r="A630" s="175">
        <v>490</v>
      </c>
    </row>
    <row r="631" spans="1:1" x14ac:dyDescent="0.2">
      <c r="A631" s="175">
        <v>590</v>
      </c>
    </row>
    <row r="632" spans="1:1" x14ac:dyDescent="0.2">
      <c r="A632" s="175">
        <v>700</v>
      </c>
    </row>
    <row r="633" spans="1:1" x14ac:dyDescent="0.2">
      <c r="A633" s="175">
        <v>725</v>
      </c>
    </row>
    <row r="634" spans="1:1" x14ac:dyDescent="0.2">
      <c r="A634" s="175">
        <v>850</v>
      </c>
    </row>
    <row r="635" spans="1:1" x14ac:dyDescent="0.2">
      <c r="A635" s="175">
        <v>49</v>
      </c>
    </row>
    <row r="636" spans="1:1" x14ac:dyDescent="0.2">
      <c r="A636" s="175">
        <v>1200</v>
      </c>
    </row>
    <row r="637" spans="1:1" x14ac:dyDescent="0.2">
      <c r="A637" s="175">
        <v>4</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10437</v>
      </c>
    </row>
    <row r="643" spans="1:1" x14ac:dyDescent="0.2">
      <c r="A643" s="175">
        <v>4174800</v>
      </c>
    </row>
    <row r="644" spans="1:1" x14ac:dyDescent="0.2">
      <c r="A644" s="175">
        <v>0</v>
      </c>
    </row>
    <row r="645" spans="1:1" x14ac:dyDescent="0.2">
      <c r="A645" s="175">
        <v>4174800</v>
      </c>
    </row>
    <row r="646" spans="1:1" x14ac:dyDescent="0.2">
      <c r="A646" s="175">
        <v>325</v>
      </c>
    </row>
    <row r="647" spans="1:1" x14ac:dyDescent="0.2">
      <c r="A647" s="175">
        <v>335</v>
      </c>
    </row>
    <row r="648" spans="1:1" x14ac:dyDescent="0.2">
      <c r="A648" s="175">
        <v>375</v>
      </c>
    </row>
    <row r="649" spans="1:1" x14ac:dyDescent="0.2">
      <c r="A649" s="175">
        <v>490</v>
      </c>
    </row>
    <row r="650" spans="1:1" x14ac:dyDescent="0.2">
      <c r="A650" s="175">
        <v>490</v>
      </c>
    </row>
    <row r="651" spans="1:1" x14ac:dyDescent="0.2">
      <c r="A651" s="175">
        <v>590</v>
      </c>
    </row>
    <row r="652" spans="1:1" x14ac:dyDescent="0.2">
      <c r="A652" s="175">
        <v>700</v>
      </c>
    </row>
    <row r="653" spans="1:1" x14ac:dyDescent="0.2">
      <c r="A653" s="175">
        <v>725</v>
      </c>
    </row>
    <row r="654" spans="1:1" x14ac:dyDescent="0.2">
      <c r="A654" s="175">
        <v>850</v>
      </c>
    </row>
    <row r="655" spans="1:1" x14ac:dyDescent="0.2">
      <c r="A655" s="175">
        <v>49</v>
      </c>
    </row>
    <row r="656" spans="1:1" x14ac:dyDescent="0.2">
      <c r="A656" s="175">
        <v>1200</v>
      </c>
    </row>
    <row r="657" spans="1:1" x14ac:dyDescent="0.2">
      <c r="A657" s="175">
        <v>4</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10437</v>
      </c>
    </row>
    <row r="663" spans="1:1" x14ac:dyDescent="0.2">
      <c r="A663" s="175">
        <v>4174800</v>
      </c>
    </row>
    <row r="664" spans="1:1" x14ac:dyDescent="0.2">
      <c r="A664" s="175">
        <v>0</v>
      </c>
    </row>
    <row r="665" spans="1:1" x14ac:dyDescent="0.2">
      <c r="A665" s="175">
        <v>4174800</v>
      </c>
    </row>
    <row r="666" spans="1:1" x14ac:dyDescent="0.2">
      <c r="A666" s="175">
        <v>325</v>
      </c>
    </row>
    <row r="667" spans="1:1" x14ac:dyDescent="0.2">
      <c r="A667" s="175">
        <v>335</v>
      </c>
    </row>
    <row r="668" spans="1:1" x14ac:dyDescent="0.2">
      <c r="A668" s="175">
        <v>375</v>
      </c>
    </row>
    <row r="669" spans="1:1" x14ac:dyDescent="0.2">
      <c r="A669" s="175">
        <v>490</v>
      </c>
    </row>
    <row r="670" spans="1:1" x14ac:dyDescent="0.2">
      <c r="A670" s="175">
        <v>490</v>
      </c>
    </row>
    <row r="671" spans="1:1" x14ac:dyDescent="0.2">
      <c r="A671" s="175">
        <v>590</v>
      </c>
    </row>
    <row r="672" spans="1:1" x14ac:dyDescent="0.2">
      <c r="A672" s="175">
        <v>700</v>
      </c>
    </row>
    <row r="673" spans="1:1" x14ac:dyDescent="0.2">
      <c r="A673" s="175">
        <v>725</v>
      </c>
    </row>
    <row r="674" spans="1:1" x14ac:dyDescent="0.2">
      <c r="A674" s="175">
        <v>850</v>
      </c>
    </row>
    <row r="675" spans="1:1" x14ac:dyDescent="0.2">
      <c r="A675" s="175">
        <v>49</v>
      </c>
    </row>
    <row r="676" spans="1:1" x14ac:dyDescent="0.2">
      <c r="A676" s="175">
        <v>1200</v>
      </c>
    </row>
    <row r="677" spans="1:1" x14ac:dyDescent="0.2">
      <c r="A677" s="175">
        <v>4</v>
      </c>
    </row>
    <row r="678" spans="1:1" x14ac:dyDescent="0.2">
      <c r="A678" s="175">
        <v>999</v>
      </c>
    </row>
    <row r="679" spans="1:1" x14ac:dyDescent="0.2">
      <c r="A679" s="175">
        <v>999</v>
      </c>
    </row>
    <row r="680" spans="1:1" x14ac:dyDescent="0.2">
      <c r="A680" s="175">
        <v>999</v>
      </c>
    </row>
    <row r="681" spans="1:1" x14ac:dyDescent="0.2">
      <c r="A681" s="175" t="s">
        <v>697</v>
      </c>
    </row>
    <row r="682" spans="1:1" x14ac:dyDescent="0.2">
      <c r="A682" s="175" t="s">
        <v>698</v>
      </c>
    </row>
    <row r="683" spans="1:1" x14ac:dyDescent="0.2">
      <c r="A683" s="175" t="s">
        <v>699</v>
      </c>
    </row>
    <row r="684" spans="1:1" x14ac:dyDescent="0.2">
      <c r="A684" s="175" t="s">
        <v>0</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1370870</v>
      </c>
    </row>
    <row r="703" spans="1:1" x14ac:dyDescent="0.2">
      <c r="A703" s="175">
        <v>129336</v>
      </c>
    </row>
    <row r="704" spans="1:1" x14ac:dyDescent="0.2">
      <c r="A704" s="175">
        <v>806305</v>
      </c>
    </row>
    <row r="705" spans="1:1" x14ac:dyDescent="0.2">
      <c r="A705" s="175">
        <v>1829005</v>
      </c>
    </row>
    <row r="706" spans="1:1" x14ac:dyDescent="0.2">
      <c r="A706" s="175">
        <v>999</v>
      </c>
    </row>
    <row r="707" spans="1:1" x14ac:dyDescent="0.2">
      <c r="A707" s="175">
        <v>999</v>
      </c>
    </row>
    <row r="708" spans="1:1" x14ac:dyDescent="0.2">
      <c r="A708" s="175">
        <v>0</v>
      </c>
    </row>
    <row r="709" spans="1:1" x14ac:dyDescent="0.2">
      <c r="A709" s="175">
        <v>321601</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-186085</v>
      </c>
    </row>
    <row r="717" spans="1:1" x14ac:dyDescent="0.2">
      <c r="A717" s="175">
        <v>3813915</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1370870</v>
      </c>
    </row>
    <row r="723" spans="1:1" x14ac:dyDescent="0.2">
      <c r="A723" s="175">
        <v>129336</v>
      </c>
    </row>
    <row r="724" spans="1:1" x14ac:dyDescent="0.2">
      <c r="A724" s="175">
        <v>806305</v>
      </c>
    </row>
    <row r="725" spans="1:1" x14ac:dyDescent="0.2">
      <c r="A725" s="175">
        <v>1829005</v>
      </c>
    </row>
    <row r="726" spans="1:1" x14ac:dyDescent="0.2">
      <c r="A726" s="175">
        <v>999</v>
      </c>
    </row>
    <row r="727" spans="1:1" x14ac:dyDescent="0.2">
      <c r="A727" s="175">
        <v>999</v>
      </c>
    </row>
    <row r="728" spans="1:1" x14ac:dyDescent="0.2">
      <c r="A728" s="175">
        <v>0</v>
      </c>
    </row>
    <row r="729" spans="1:1" x14ac:dyDescent="0.2">
      <c r="A729" s="175">
        <v>321601</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-186085</v>
      </c>
    </row>
    <row r="737" spans="1:1" x14ac:dyDescent="0.2">
      <c r="A737" s="175">
        <v>3813915</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1370870</v>
      </c>
    </row>
    <row r="743" spans="1:1" x14ac:dyDescent="0.2">
      <c r="A743" s="175">
        <v>129336</v>
      </c>
    </row>
    <row r="744" spans="1:1" x14ac:dyDescent="0.2">
      <c r="A744" s="175">
        <v>806305</v>
      </c>
    </row>
    <row r="745" spans="1:1" x14ac:dyDescent="0.2">
      <c r="A745" s="175">
        <v>1829005</v>
      </c>
    </row>
    <row r="746" spans="1:1" x14ac:dyDescent="0.2">
      <c r="A746" s="175">
        <v>999</v>
      </c>
    </row>
    <row r="747" spans="1:1" x14ac:dyDescent="0.2">
      <c r="A747" s="175">
        <v>999</v>
      </c>
    </row>
    <row r="748" spans="1:1" x14ac:dyDescent="0.2">
      <c r="A748" s="175">
        <v>0</v>
      </c>
    </row>
    <row r="749" spans="1:1" x14ac:dyDescent="0.2">
      <c r="A749" s="175">
        <v>321601</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-186085</v>
      </c>
    </row>
    <row r="757" spans="1:1" x14ac:dyDescent="0.2">
      <c r="A757" s="175">
        <v>3813915</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1370870</v>
      </c>
    </row>
    <row r="763" spans="1:1" x14ac:dyDescent="0.2">
      <c r="A763" s="175">
        <v>129336</v>
      </c>
    </row>
    <row r="764" spans="1:1" x14ac:dyDescent="0.2">
      <c r="A764" s="175">
        <v>806305</v>
      </c>
    </row>
    <row r="765" spans="1:1" x14ac:dyDescent="0.2">
      <c r="A765" s="175">
        <v>1829005</v>
      </c>
    </row>
    <row r="766" spans="1:1" x14ac:dyDescent="0.2">
      <c r="A766" s="175">
        <v>999</v>
      </c>
    </row>
    <row r="767" spans="1:1" x14ac:dyDescent="0.2">
      <c r="A767" s="175">
        <v>999</v>
      </c>
    </row>
    <row r="768" spans="1:1" x14ac:dyDescent="0.2">
      <c r="A768" s="175">
        <v>0</v>
      </c>
    </row>
    <row r="769" spans="1:1" x14ac:dyDescent="0.2">
      <c r="A769" s="175">
        <v>321601</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-186085</v>
      </c>
    </row>
    <row r="777" spans="1:1" x14ac:dyDescent="0.2">
      <c r="A777" s="175">
        <v>3813915</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1370870</v>
      </c>
    </row>
    <row r="783" spans="1:1" x14ac:dyDescent="0.2">
      <c r="A783" s="175">
        <v>129336</v>
      </c>
    </row>
    <row r="784" spans="1:1" x14ac:dyDescent="0.2">
      <c r="A784" s="175">
        <v>806305</v>
      </c>
    </row>
    <row r="785" spans="1:1" x14ac:dyDescent="0.2">
      <c r="A785" s="175">
        <v>1829005</v>
      </c>
    </row>
    <row r="786" spans="1:1" x14ac:dyDescent="0.2">
      <c r="A786" s="175">
        <v>999</v>
      </c>
    </row>
    <row r="787" spans="1:1" x14ac:dyDescent="0.2">
      <c r="A787" s="175">
        <v>999</v>
      </c>
    </row>
    <row r="788" spans="1:1" x14ac:dyDescent="0.2">
      <c r="A788" s="175">
        <v>0</v>
      </c>
    </row>
    <row r="789" spans="1:1" x14ac:dyDescent="0.2">
      <c r="A789" s="175">
        <v>321601</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-186085</v>
      </c>
    </row>
    <row r="797" spans="1:1" x14ac:dyDescent="0.2">
      <c r="A797" s="175">
        <v>3813915</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1370870</v>
      </c>
    </row>
    <row r="803" spans="1:1" x14ac:dyDescent="0.2">
      <c r="A803" s="175">
        <v>129336</v>
      </c>
    </row>
    <row r="804" spans="1:1" x14ac:dyDescent="0.2">
      <c r="A804" s="175">
        <v>806305</v>
      </c>
    </row>
    <row r="805" spans="1:1" x14ac:dyDescent="0.2">
      <c r="A805" s="175">
        <v>1829005</v>
      </c>
    </row>
    <row r="806" spans="1:1" x14ac:dyDescent="0.2">
      <c r="A806" s="175">
        <v>999</v>
      </c>
    </row>
    <row r="807" spans="1:1" x14ac:dyDescent="0.2">
      <c r="A807" s="175">
        <v>999</v>
      </c>
    </row>
    <row r="808" spans="1:1" x14ac:dyDescent="0.2">
      <c r="A808" s="175">
        <v>0</v>
      </c>
    </row>
    <row r="809" spans="1:1" x14ac:dyDescent="0.2">
      <c r="A809" s="175">
        <v>321601</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-186085</v>
      </c>
    </row>
    <row r="817" spans="1:1" x14ac:dyDescent="0.2">
      <c r="A817" s="175">
        <v>3813915</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1370870</v>
      </c>
    </row>
    <row r="823" spans="1:1" x14ac:dyDescent="0.2">
      <c r="A823" s="175">
        <v>129336</v>
      </c>
    </row>
    <row r="824" spans="1:1" x14ac:dyDescent="0.2">
      <c r="A824" s="175">
        <v>806305</v>
      </c>
    </row>
    <row r="825" spans="1:1" x14ac:dyDescent="0.2">
      <c r="A825" s="175">
        <v>1829005</v>
      </c>
    </row>
    <row r="826" spans="1:1" x14ac:dyDescent="0.2">
      <c r="A826" s="175">
        <v>999</v>
      </c>
    </row>
    <row r="827" spans="1:1" x14ac:dyDescent="0.2">
      <c r="A827" s="175">
        <v>999</v>
      </c>
    </row>
    <row r="828" spans="1:1" x14ac:dyDescent="0.2">
      <c r="A828" s="175">
        <v>0</v>
      </c>
    </row>
    <row r="829" spans="1:1" x14ac:dyDescent="0.2">
      <c r="A829" s="175">
        <v>321601</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-186085</v>
      </c>
    </row>
    <row r="837" spans="1:1" x14ac:dyDescent="0.2">
      <c r="A837" s="175">
        <v>3813915</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1370870</v>
      </c>
    </row>
    <row r="843" spans="1:1" x14ac:dyDescent="0.2">
      <c r="A843" s="175">
        <v>129336</v>
      </c>
    </row>
    <row r="844" spans="1:1" x14ac:dyDescent="0.2">
      <c r="A844" s="175">
        <v>806305</v>
      </c>
    </row>
    <row r="845" spans="1:1" x14ac:dyDescent="0.2">
      <c r="A845" s="175">
        <v>1829005</v>
      </c>
    </row>
    <row r="846" spans="1:1" x14ac:dyDescent="0.2">
      <c r="A846" s="175">
        <v>999</v>
      </c>
    </row>
    <row r="847" spans="1:1" x14ac:dyDescent="0.2">
      <c r="A847" s="175">
        <v>999</v>
      </c>
    </row>
    <row r="848" spans="1:1" x14ac:dyDescent="0.2">
      <c r="A848" s="175">
        <v>0</v>
      </c>
    </row>
    <row r="849" spans="1:1" x14ac:dyDescent="0.2">
      <c r="A849" s="175">
        <v>321601</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-186085</v>
      </c>
    </row>
    <row r="857" spans="1:1" x14ac:dyDescent="0.2">
      <c r="A857" s="175">
        <v>3813915</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
    <tabColor theme="5" tint="0.79998168889431442"/>
    <pageSetUpPr fitToPage="1"/>
  </sheetPr>
  <dimension ref="B1:Y55"/>
  <sheetViews>
    <sheetView workbookViewId="0">
      <selection activeCell="AB27" sqref="AB27"/>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LEFT(TRIM('65'!A699),4)</f>
        <v xml:space="preserve">032 </v>
      </c>
      <c r="W1" t="str">
        <f>RIGHT(TRIM('65'!A699),10)</f>
        <v>20/10/2017</v>
      </c>
    </row>
    <row r="2" spans="2:25" ht="33" x14ac:dyDescent="0.6">
      <c r="G2" s="157" t="s">
        <v>82</v>
      </c>
      <c r="H2" s="156"/>
    </row>
    <row r="3" spans="2:25" x14ac:dyDescent="0.25">
      <c r="B3" t="str">
        <f>'65'!A861</f>
        <v>Carlos  Sanz Garz≤n</v>
      </c>
      <c r="C3" s="506"/>
      <c r="V3" s="158" t="s">
        <v>83</v>
      </c>
      <c r="W3" s="159" t="str">
        <f>'65'!A6</f>
        <v xml:space="preserve">  17C1</v>
      </c>
    </row>
    <row r="4" spans="2:25" x14ac:dyDescent="0.25">
      <c r="B4" t="str">
        <f>'65'!A862</f>
        <v>Acme</v>
      </c>
      <c r="C4" s="506"/>
    </row>
    <row r="5" spans="2:25" ht="17.399999999999999" x14ac:dyDescent="0.3">
      <c r="B5">
        <f>'65'!A863</f>
        <v>0</v>
      </c>
      <c r="H5" s="160" t="s">
        <v>85</v>
      </c>
      <c r="J5" s="161"/>
      <c r="K5" s="161"/>
      <c r="L5" s="162">
        <f>'65'!$A1</f>
        <v>8</v>
      </c>
      <c r="M5" s="160" t="s">
        <v>84</v>
      </c>
      <c r="N5" s="160"/>
      <c r="O5" s="162">
        <f>'65'!$A2</f>
        <v>2</v>
      </c>
      <c r="P5" s="161"/>
      <c r="Q5" s="161"/>
      <c r="S5" s="163"/>
      <c r="T5" s="164"/>
      <c r="U5" s="163"/>
      <c r="V5" s="163"/>
    </row>
    <row r="6" spans="2:25" x14ac:dyDescent="0.25">
      <c r="B6">
        <f>'65'!A864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'65'!$A4</f>
        <v>2017</v>
      </c>
      <c r="Q9" s="164"/>
      <c r="R9" s="171" t="s">
        <v>80</v>
      </c>
      <c r="S9" s="172">
        <f>'65'!$A5</f>
        <v>3</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'65'!A7</f>
        <v>15</v>
      </c>
      <c r="F14" s="196">
        <f>'65'!A11</f>
        <v>6</v>
      </c>
      <c r="G14" s="197"/>
      <c r="H14" s="196">
        <f>'65'!A14</f>
        <v>5</v>
      </c>
      <c r="I14" s="198"/>
      <c r="J14" s="196">
        <f>'65'!A17</f>
        <v>10</v>
      </c>
      <c r="K14" s="198"/>
      <c r="L14" s="40"/>
      <c r="M14" s="182"/>
      <c r="N14" s="182" t="s">
        <v>36</v>
      </c>
      <c r="O14" s="182"/>
      <c r="P14" s="201">
        <f>'65'!A61</f>
        <v>3</v>
      </c>
      <c r="Q14" s="200">
        <f>'65'!B61</f>
        <v>0</v>
      </c>
      <c r="R14" s="190"/>
      <c r="S14" s="175"/>
      <c r="T14" s="201">
        <f>'65'!A62</f>
        <v>10</v>
      </c>
      <c r="U14" s="200">
        <f>'65'!B62</f>
        <v>0</v>
      </c>
      <c r="V14" s="175"/>
      <c r="W14" s="201">
        <f>'65'!A63</f>
        <v>7</v>
      </c>
      <c r="X14" s="202"/>
      <c r="Y14" s="179"/>
    </row>
    <row r="15" spans="2:25" x14ac:dyDescent="0.25">
      <c r="B15" s="168"/>
      <c r="C15" s="40"/>
      <c r="D15" s="40" t="s">
        <v>5</v>
      </c>
      <c r="E15" s="203">
        <f>'65'!A8</f>
        <v>10</v>
      </c>
      <c r="F15" s="196">
        <f>'65'!A12</f>
        <v>6</v>
      </c>
      <c r="G15" s="204"/>
      <c r="H15" s="196">
        <f>'65'!A15</f>
        <v>5</v>
      </c>
      <c r="I15" s="205"/>
      <c r="J15" s="196">
        <f>'65'!A18</f>
        <v>5</v>
      </c>
      <c r="K15" s="205"/>
      <c r="L15" s="40"/>
      <c r="M15" s="182"/>
      <c r="N15" s="182" t="s">
        <v>38</v>
      </c>
      <c r="O15" s="182"/>
      <c r="P15" s="193">
        <f>'65'!A64</f>
        <v>1</v>
      </c>
      <c r="Q15" s="189">
        <f>'65'!B64</f>
        <v>0</v>
      </c>
      <c r="R15" s="190"/>
      <c r="S15" s="175"/>
      <c r="T15" s="199">
        <f>'65'!A65</f>
        <v>8</v>
      </c>
      <c r="U15" s="206">
        <f>'65'!B65</f>
        <v>0</v>
      </c>
      <c r="V15" s="175"/>
      <c r="W15" s="207">
        <f>'65'!A66</f>
        <v>6</v>
      </c>
      <c r="X15" s="206"/>
      <c r="Y15" s="179"/>
    </row>
    <row r="16" spans="2:25" x14ac:dyDescent="0.25">
      <c r="B16" s="168"/>
      <c r="C16" s="40"/>
      <c r="D16" s="40" t="s">
        <v>6</v>
      </c>
      <c r="E16" s="208">
        <f>'65'!A9</f>
        <v>15</v>
      </c>
      <c r="F16" s="209">
        <f>'65'!A13</f>
        <v>6</v>
      </c>
      <c r="G16" s="210"/>
      <c r="H16" s="209">
        <f>'65'!A16</f>
        <v>5</v>
      </c>
      <c r="I16" s="189"/>
      <c r="J16" s="209">
        <f>'65'!A19</f>
        <v>5</v>
      </c>
      <c r="K16" s="189"/>
      <c r="L16" s="40"/>
      <c r="M16" s="182"/>
      <c r="N16" s="182" t="s">
        <v>40</v>
      </c>
      <c r="O16" s="182"/>
      <c r="P16" s="187"/>
      <c r="Q16" s="182"/>
      <c r="R16" s="182"/>
      <c r="S16" s="175"/>
      <c r="T16" s="193">
        <f>'65'!A68</f>
        <v>10</v>
      </c>
      <c r="U16" s="211">
        <f>'65'!B68</f>
        <v>0</v>
      </c>
      <c r="V16" s="175"/>
      <c r="W16" s="212">
        <f>'65'!A69</f>
        <v>7</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'65'!A21</f>
        <v>328</v>
      </c>
      <c r="G19" s="206">
        <f>'65'!B21</f>
        <v>0</v>
      </c>
      <c r="H19" s="218">
        <f>'65'!A24</f>
        <v>490</v>
      </c>
      <c r="I19" s="200">
        <f>'65'!B24</f>
        <v>0</v>
      </c>
      <c r="J19" s="218">
        <f>'65'!A27</f>
        <v>700</v>
      </c>
      <c r="K19" s="200">
        <f>'65'!B27</f>
        <v>0</v>
      </c>
      <c r="L19" s="40"/>
      <c r="M19" s="182" t="s">
        <v>50</v>
      </c>
      <c r="N19" s="182"/>
      <c r="O19" s="187" t="s">
        <v>51</v>
      </c>
      <c r="P19" s="219">
        <f>'65'!A57</f>
        <v>5</v>
      </c>
      <c r="Q19" s="220"/>
      <c r="R19" s="182"/>
      <c r="S19" s="216" t="s">
        <v>74</v>
      </c>
      <c r="T19" s="221">
        <f>'65'!A58</f>
        <v>0</v>
      </c>
      <c r="U19" s="220"/>
      <c r="V19" s="217" t="s">
        <v>75</v>
      </c>
      <c r="W19" s="219">
        <f>'65'!A59</f>
        <v>0</v>
      </c>
      <c r="X19" s="222"/>
      <c r="Y19" s="179"/>
    </row>
    <row r="20" spans="2:25" x14ac:dyDescent="0.25">
      <c r="B20" s="168"/>
      <c r="C20" s="40"/>
      <c r="D20" s="40" t="s">
        <v>5</v>
      </c>
      <c r="E20" s="40"/>
      <c r="F20" s="199">
        <f>'65'!A22</f>
        <v>340</v>
      </c>
      <c r="G20" s="206">
        <f>'65'!B22</f>
        <v>0</v>
      </c>
      <c r="H20" s="196">
        <f>'65'!A25</f>
        <v>490</v>
      </c>
      <c r="I20" s="206">
        <f>'65'!B25</f>
        <v>0</v>
      </c>
      <c r="J20" s="196">
        <f>'65'!A28</f>
        <v>730</v>
      </c>
      <c r="K20" s="206">
        <f>'65'!B28</f>
        <v>0</v>
      </c>
      <c r="L20" s="40"/>
      <c r="M20" s="224" t="s">
        <v>52</v>
      </c>
      <c r="N20" s="223"/>
      <c r="O20" s="224"/>
      <c r="P20" s="199">
        <f>'65'!A75</f>
        <v>20</v>
      </c>
      <c r="Q20" s="225"/>
      <c r="R20" s="224"/>
      <c r="S20" s="182" t="s">
        <v>65</v>
      </c>
      <c r="T20" s="226"/>
      <c r="U20" s="227"/>
      <c r="V20" s="226"/>
      <c r="W20" s="199">
        <f>'65'!A76</f>
        <v>2</v>
      </c>
      <c r="X20" s="202"/>
      <c r="Y20" s="179"/>
    </row>
    <row r="21" spans="2:25" x14ac:dyDescent="0.25">
      <c r="B21" s="168"/>
      <c r="C21" s="40"/>
      <c r="D21" s="40" t="s">
        <v>6</v>
      </c>
      <c r="E21" s="40"/>
      <c r="F21" s="193">
        <f>'65'!A23</f>
        <v>380</v>
      </c>
      <c r="G21" s="211">
        <f>'65'!B23</f>
        <v>0</v>
      </c>
      <c r="H21" s="209">
        <f>'65'!A26</f>
        <v>590</v>
      </c>
      <c r="I21" s="211">
        <f>'65'!B26</f>
        <v>0</v>
      </c>
      <c r="J21" s="209">
        <f>'65'!A29</f>
        <v>850</v>
      </c>
      <c r="K21" s="211">
        <f>'65'!B29</f>
        <v>0</v>
      </c>
      <c r="L21" s="40"/>
      <c r="M21" s="182" t="s">
        <v>53</v>
      </c>
      <c r="N21" s="175"/>
      <c r="O21" s="182"/>
      <c r="P21" s="193">
        <f>'65'!A77</f>
        <v>5</v>
      </c>
      <c r="Q21" s="228"/>
      <c r="R21" s="196"/>
      <c r="S21" s="182" t="s">
        <v>66</v>
      </c>
      <c r="T21" s="182"/>
      <c r="U21" s="182"/>
      <c r="V21" s="182"/>
      <c r="W21" s="193">
        <f>'65'!A78</f>
        <v>17</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'65'!A31</f>
        <v>1000</v>
      </c>
      <c r="G24" s="200">
        <f>'65'!B31</f>
        <v>0</v>
      </c>
      <c r="H24" s="218">
        <f>'65'!A34</f>
        <v>625</v>
      </c>
      <c r="I24" s="200">
        <f>'65'!B34</f>
        <v>0</v>
      </c>
      <c r="J24" s="218">
        <f>'65'!A37</f>
        <v>325</v>
      </c>
      <c r="K24" s="200">
        <f>'65'!B37</f>
        <v>0</v>
      </c>
      <c r="L24" s="40"/>
      <c r="M24" s="182" t="s">
        <v>55</v>
      </c>
      <c r="N24" s="182"/>
      <c r="O24" s="182"/>
      <c r="P24" s="201">
        <f>'65'!A81</f>
        <v>3</v>
      </c>
      <c r="Q24" s="206">
        <f>'65'!B81</f>
        <v>0</v>
      </c>
      <c r="R24" s="196"/>
      <c r="S24" s="182" t="s">
        <v>67</v>
      </c>
      <c r="T24" s="182"/>
      <c r="U24" s="182"/>
      <c r="V24" s="182"/>
      <c r="W24" s="219">
        <f>'65'!A82</f>
        <v>0</v>
      </c>
      <c r="X24" s="222">
        <f>'65'!B82</f>
        <v>0</v>
      </c>
      <c r="Y24" s="179"/>
    </row>
    <row r="25" spans="2:25" x14ac:dyDescent="0.25">
      <c r="B25" s="168"/>
      <c r="C25" s="40" t="s">
        <v>37</v>
      </c>
      <c r="D25" s="40" t="s">
        <v>38</v>
      </c>
      <c r="E25" s="40"/>
      <c r="F25" s="199">
        <f>'65'!A32</f>
        <v>150</v>
      </c>
      <c r="G25" s="206">
        <f>'65'!B32</f>
        <v>0</v>
      </c>
      <c r="H25" s="196">
        <f>'65'!A35</f>
        <v>150</v>
      </c>
      <c r="I25" s="206">
        <f>'65'!B35</f>
        <v>0</v>
      </c>
      <c r="J25" s="196">
        <f>'65'!A38</f>
        <v>75</v>
      </c>
      <c r="K25" s="206">
        <f>'65'!B38</f>
        <v>0</v>
      </c>
      <c r="L25" s="40"/>
      <c r="M25" s="182" t="s">
        <v>56</v>
      </c>
      <c r="N25" s="182"/>
      <c r="O25" s="182"/>
      <c r="P25" s="230">
        <f>'65'!A83/100</f>
        <v>12.2</v>
      </c>
      <c r="Q25" s="206">
        <f>'65'!B83</f>
        <v>0</v>
      </c>
      <c r="R25" s="196"/>
      <c r="S25" s="175"/>
      <c r="T25" s="182"/>
      <c r="U25" s="182"/>
      <c r="V25" s="182"/>
      <c r="W25" s="196"/>
      <c r="X25" s="184"/>
      <c r="Y25" s="179"/>
    </row>
    <row r="26" spans="2:25" x14ac:dyDescent="0.25">
      <c r="B26" s="168"/>
      <c r="C26" s="40" t="s">
        <v>39</v>
      </c>
      <c r="D26" s="40" t="s">
        <v>40</v>
      </c>
      <c r="E26" s="40"/>
      <c r="F26" s="193">
        <f>'65'!A33</f>
        <v>250</v>
      </c>
      <c r="G26" s="211">
        <f>'65'!B33</f>
        <v>0</v>
      </c>
      <c r="H26" s="209">
        <f>'65'!A36</f>
        <v>150</v>
      </c>
      <c r="I26" s="211">
        <f>'65'!B36</f>
        <v>0</v>
      </c>
      <c r="J26" s="193">
        <f>'65'!A39</f>
        <v>100</v>
      </c>
      <c r="K26" s="211">
        <f>'65'!B39</f>
        <v>0</v>
      </c>
      <c r="L26" s="40"/>
      <c r="M26" s="182" t="s">
        <v>57</v>
      </c>
      <c r="N26" s="182"/>
      <c r="O26" s="182"/>
      <c r="P26" s="193">
        <f>'65'!A85</f>
        <v>80</v>
      </c>
      <c r="Q26" s="211">
        <f>'65'!B85</f>
        <v>0</v>
      </c>
      <c r="R26" s="231"/>
      <c r="S26" s="182" t="s">
        <v>515</v>
      </c>
      <c r="T26" s="175"/>
      <c r="U26" s="182"/>
      <c r="V26" s="182"/>
      <c r="W26" s="219">
        <f>'65'!A86</f>
        <v>3</v>
      </c>
      <c r="X26" s="232">
        <f>'65'!B86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'65'!A41</f>
        <v>0</v>
      </c>
      <c r="G29" s="198"/>
      <c r="H29" s="218">
        <f>'65'!A42</f>
        <v>0</v>
      </c>
      <c r="I29" s="198"/>
      <c r="J29" s="218">
        <f>'65'!A43</f>
        <v>0</v>
      </c>
      <c r="K29" s="237"/>
      <c r="L29" s="40"/>
      <c r="M29" s="182" t="s">
        <v>59</v>
      </c>
      <c r="N29" s="182"/>
      <c r="O29" s="182"/>
      <c r="P29" s="201">
        <f>'65'!A91</f>
        <v>0</v>
      </c>
      <c r="Q29" s="206">
        <f>'65'!B91</f>
        <v>0</v>
      </c>
      <c r="R29" s="196"/>
      <c r="S29" s="182" t="s">
        <v>69</v>
      </c>
      <c r="T29" s="182"/>
      <c r="U29" s="182"/>
      <c r="V29" s="182"/>
      <c r="W29" s="201">
        <f>'65'!A92</f>
        <v>0</v>
      </c>
      <c r="X29" s="200">
        <f>'65'!B92</f>
        <v>0</v>
      </c>
      <c r="Y29" s="179"/>
    </row>
    <row r="30" spans="2:25" x14ac:dyDescent="0.25">
      <c r="B30" s="168"/>
      <c r="C30" s="40" t="s">
        <v>43</v>
      </c>
      <c r="D30" s="40"/>
      <c r="E30" s="196"/>
      <c r="F30" s="199">
        <f>'65'!A44</f>
        <v>20</v>
      </c>
      <c r="G30" s="205"/>
      <c r="H30" s="196">
        <f>'65'!A45</f>
        <v>20</v>
      </c>
      <c r="I30" s="205"/>
      <c r="J30" s="196">
        <f>'65'!A46</f>
        <v>25</v>
      </c>
      <c r="K30" s="179"/>
      <c r="L30" s="40"/>
      <c r="M30" s="182" t="s">
        <v>60</v>
      </c>
      <c r="N30" s="182"/>
      <c r="O30" s="182"/>
      <c r="P30" s="199">
        <f>'65'!A93</f>
        <v>0</v>
      </c>
      <c r="Q30" s="206">
        <f>'65'!B93</f>
        <v>0</v>
      </c>
      <c r="R30" s="196"/>
      <c r="S30" s="175" t="s">
        <v>70</v>
      </c>
      <c r="T30" s="182"/>
      <c r="U30" s="182"/>
      <c r="V30" s="182"/>
      <c r="W30" s="199">
        <f>'65'!A94</f>
        <v>0</v>
      </c>
      <c r="X30" s="206">
        <f>'65'!B94</f>
        <v>0</v>
      </c>
      <c r="Y30" s="179"/>
    </row>
    <row r="31" spans="2:25" x14ac:dyDescent="0.25">
      <c r="B31" s="168"/>
      <c r="C31" s="40" t="s">
        <v>44</v>
      </c>
      <c r="D31" s="175"/>
      <c r="E31" s="175"/>
      <c r="F31" s="199">
        <f>'65'!A47</f>
        <v>115</v>
      </c>
      <c r="G31" s="202"/>
      <c r="H31" s="199">
        <f>'65'!A48</f>
        <v>165</v>
      </c>
      <c r="I31" s="202"/>
      <c r="J31" s="199">
        <f>'65'!A49</f>
        <v>325</v>
      </c>
      <c r="K31" s="202"/>
      <c r="L31" s="40"/>
      <c r="M31" s="182" t="s">
        <v>61</v>
      </c>
      <c r="N31" s="182"/>
      <c r="O31" s="182"/>
      <c r="P31" s="199">
        <f>'65'!A73</f>
        <v>1</v>
      </c>
      <c r="Q31" s="206">
        <f>'65'!B73</f>
        <v>0</v>
      </c>
      <c r="R31" s="196"/>
      <c r="S31" s="182" t="s">
        <v>71</v>
      </c>
      <c r="T31" s="182"/>
      <c r="U31" s="182"/>
      <c r="V31" s="182"/>
      <c r="W31" s="199">
        <f>'65'!A74</f>
        <v>0</v>
      </c>
      <c r="X31" s="206">
        <f>'65'!B74</f>
        <v>0</v>
      </c>
      <c r="Y31" s="179"/>
    </row>
    <row r="32" spans="2:25" x14ac:dyDescent="0.25">
      <c r="B32" s="168"/>
      <c r="C32" s="269" t="s">
        <v>45</v>
      </c>
      <c r="D32" s="40"/>
      <c r="E32" s="196"/>
      <c r="F32" s="193">
        <f>'65'!A51</f>
        <v>0</v>
      </c>
      <c r="G32" s="211">
        <f>'65'!B51</f>
        <v>0</v>
      </c>
      <c r="H32" s="209">
        <f>'65'!A52</f>
        <v>0</v>
      </c>
      <c r="I32" s="211">
        <f>'65'!B52</f>
        <v>0</v>
      </c>
      <c r="J32" s="209">
        <f>'65'!A53</f>
        <v>10</v>
      </c>
      <c r="K32" s="211">
        <f>'65'!B53</f>
        <v>0</v>
      </c>
      <c r="L32" s="40"/>
      <c r="M32" s="44" t="s">
        <v>62</v>
      </c>
      <c r="N32" s="182"/>
      <c r="O32" s="182"/>
      <c r="P32" s="193">
        <f>'65'!A72</f>
        <v>50</v>
      </c>
      <c r="Q32" s="211">
        <f>'65'!B72</f>
        <v>0</v>
      </c>
      <c r="R32" s="196"/>
      <c r="S32" s="182" t="s">
        <v>72</v>
      </c>
      <c r="T32" s="182"/>
      <c r="U32" s="182"/>
      <c r="V32" s="182"/>
      <c r="W32" s="193">
        <f>'65'!A99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'65'!A54</f>
        <v>500</v>
      </c>
      <c r="G35" s="238">
        <f>'65'!B54</f>
        <v>0</v>
      </c>
      <c r="H35" s="188">
        <f>'65'!A55</f>
        <v>500</v>
      </c>
      <c r="I35" s="238">
        <f>'65'!B55</f>
        <v>0</v>
      </c>
      <c r="J35" s="188">
        <f>'65'!A56</f>
        <v>0</v>
      </c>
      <c r="K35" s="238">
        <f>'65'!B56</f>
        <v>0</v>
      </c>
      <c r="L35" s="40"/>
      <c r="M35" s="182" t="s">
        <v>64</v>
      </c>
      <c r="N35" s="182"/>
      <c r="O35" s="182"/>
      <c r="P35" s="219">
        <f>'65'!A97</f>
        <v>1</v>
      </c>
      <c r="Q35" s="239"/>
      <c r="R35" s="182"/>
      <c r="S35" s="182" t="s">
        <v>73</v>
      </c>
      <c r="T35" s="182"/>
      <c r="U35" s="182"/>
      <c r="V35" s="182"/>
      <c r="W35" s="219">
        <f>'65'!A98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honeticPr fontId="0" type="noConversion"/>
  <pageMargins left="0.5" right="0.5" top="0.5" bottom="0.5" header="0.5" footer="0.5"/>
  <pageSetup paperSize="9" scale="70" orientation="landscape" horizontalDpi="300" verticalDpi="300"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
    <tabColor theme="5" tint="0.79998168889431442"/>
    <pageSetUpPr fitToPage="1"/>
  </sheetPr>
  <dimension ref="A1:AL65"/>
  <sheetViews>
    <sheetView topLeftCell="G1" workbookViewId="0">
      <selection activeCell="U17" sqref="U17"/>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'65'!A1</f>
        <v>8</v>
      </c>
      <c r="F1" s="512" t="s">
        <v>87</v>
      </c>
      <c r="H1" s="172">
        <f>'65'!A2</f>
        <v>2</v>
      </c>
      <c r="M1" s="513" t="s">
        <v>88</v>
      </c>
      <c r="T1" s="170" t="s">
        <v>81</v>
      </c>
      <c r="U1" s="172">
        <f>'65'!A4</f>
        <v>2017</v>
      </c>
      <c r="V1" s="164"/>
      <c r="W1" s="171" t="s">
        <v>80</v>
      </c>
      <c r="X1" s="172">
        <f>'65'!A5</f>
        <v>3</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'65'!A108</f>
        <v>1400</v>
      </c>
      <c r="V6" s="251"/>
      <c r="W6" s="196">
        <f>'65'!A109</f>
        <v>925</v>
      </c>
      <c r="X6" s="182"/>
      <c r="Y6" s="199">
        <f>'65'!A110</f>
        <v>500</v>
      </c>
      <c r="Z6" s="182"/>
      <c r="AA6" s="179"/>
      <c r="AC6" s="40"/>
      <c r="AD6" s="40"/>
      <c r="AE6" s="40"/>
      <c r="AF6" s="196"/>
      <c r="AG6" s="182"/>
      <c r="AH6" s="196"/>
      <c r="AI6" s="182"/>
      <c r="AJ6" s="196"/>
      <c r="AK6" s="182"/>
      <c r="AL6" s="40"/>
    </row>
    <row r="7" spans="2:38" x14ac:dyDescent="0.2">
      <c r="B7" s="244"/>
      <c r="C7" s="175" t="s">
        <v>91</v>
      </c>
      <c r="F7" s="40"/>
      <c r="G7" s="252">
        <f>'65'!A281</f>
        <v>1000</v>
      </c>
      <c r="H7" s="179"/>
      <c r="I7" s="40"/>
      <c r="J7" s="244"/>
      <c r="K7" s="40" t="s">
        <v>129</v>
      </c>
      <c r="L7" s="40"/>
      <c r="M7" s="40"/>
      <c r="N7" s="253">
        <f>'65'!A191</f>
        <v>21</v>
      </c>
      <c r="O7" s="253">
        <f>'65'!A192</f>
        <v>27</v>
      </c>
      <c r="P7" s="179"/>
      <c r="R7" s="244"/>
      <c r="S7" s="40" t="s">
        <v>161</v>
      </c>
      <c r="T7" s="40"/>
      <c r="U7" s="199">
        <f>'65'!A111</f>
        <v>1440</v>
      </c>
      <c r="V7" s="251"/>
      <c r="W7" s="196">
        <f>'65'!A112</f>
        <v>953</v>
      </c>
      <c r="X7" s="182"/>
      <c r="Y7" s="199">
        <f>'65'!A113</f>
        <v>515</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'65'!A193</f>
        <v>3</v>
      </c>
      <c r="O8" s="253">
        <f>'65'!A194</f>
        <v>5</v>
      </c>
      <c r="P8" s="179"/>
      <c r="R8" s="244"/>
      <c r="S8" s="40" t="s">
        <v>162</v>
      </c>
      <c r="T8" s="40"/>
      <c r="U8" s="199">
        <f>'65'!A114</f>
        <v>40</v>
      </c>
      <c r="V8" s="251"/>
      <c r="W8" s="196">
        <f>'65'!A115</f>
        <v>28</v>
      </c>
      <c r="X8" s="182"/>
      <c r="Y8" s="199">
        <f>'65'!A116</f>
        <v>15</v>
      </c>
      <c r="Z8" s="182"/>
      <c r="AA8" s="179"/>
      <c r="AC8" s="40"/>
      <c r="AD8" s="40"/>
      <c r="AE8" s="40"/>
      <c r="AF8" s="196"/>
      <c r="AG8" s="182"/>
      <c r="AH8" s="196"/>
      <c r="AI8" s="182"/>
      <c r="AJ8" s="196"/>
      <c r="AK8" s="182"/>
      <c r="AL8" s="40"/>
    </row>
    <row r="9" spans="2:38" x14ac:dyDescent="0.2">
      <c r="B9" s="244"/>
      <c r="C9" s="175" t="s">
        <v>93</v>
      </c>
      <c r="F9" s="40"/>
      <c r="G9" s="252">
        <f>G7-G8-G10</f>
        <v>250</v>
      </c>
      <c r="H9" s="179"/>
      <c r="I9" s="40"/>
      <c r="J9" s="244"/>
      <c r="K9" s="40" t="s">
        <v>131</v>
      </c>
      <c r="L9" s="40"/>
      <c r="M9" s="40"/>
      <c r="N9" s="253">
        <f>'65'!A82</f>
        <v>0</v>
      </c>
      <c r="O9" s="253"/>
      <c r="P9" s="179"/>
      <c r="R9" s="244"/>
      <c r="S9" s="40" t="s">
        <v>163</v>
      </c>
      <c r="T9" s="40"/>
      <c r="U9" s="199">
        <f>'65'!A117</f>
        <v>0</v>
      </c>
      <c r="V9" s="254">
        <f>'65'!B117</f>
        <v>0</v>
      </c>
      <c r="W9" s="196">
        <f>'65'!A118</f>
        <v>0</v>
      </c>
      <c r="X9" s="184">
        <f>'65'!B118</f>
        <v>0</v>
      </c>
      <c r="Y9" s="199">
        <f>'65'!A119</f>
        <v>0</v>
      </c>
      <c r="Z9" s="184">
        <f>'65'!B119</f>
        <v>0</v>
      </c>
      <c r="AA9" s="179"/>
      <c r="AC9" s="40"/>
      <c r="AD9" s="40"/>
      <c r="AE9" s="40"/>
      <c r="AF9" s="196"/>
      <c r="AG9" s="184"/>
      <c r="AH9" s="196"/>
      <c r="AI9" s="184"/>
      <c r="AJ9" s="196"/>
      <c r="AK9" s="184"/>
      <c r="AL9" s="40"/>
    </row>
    <row r="10" spans="2:38" x14ac:dyDescent="0.2">
      <c r="B10" s="244"/>
      <c r="C10" s="175" t="s">
        <v>94</v>
      </c>
      <c r="F10" s="40"/>
      <c r="G10" s="252">
        <f>'65'!A284</f>
        <v>550</v>
      </c>
      <c r="H10" s="179"/>
      <c r="I10" s="40"/>
      <c r="J10" s="244"/>
      <c r="K10" s="182" t="s">
        <v>132</v>
      </c>
      <c r="L10" s="40"/>
      <c r="M10" s="40"/>
      <c r="N10" s="253">
        <f>'65'!A195</f>
        <v>0</v>
      </c>
      <c r="O10" s="253">
        <f>'65'!A196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137.5</v>
      </c>
      <c r="H11" s="179"/>
      <c r="I11" s="40"/>
      <c r="J11" s="244"/>
      <c r="K11" s="182" t="s">
        <v>133</v>
      </c>
      <c r="L11" s="40"/>
      <c r="M11" s="40"/>
      <c r="N11" s="253">
        <f>N7+N8+N9-N10-N12</f>
        <v>3</v>
      </c>
      <c r="O11" s="253">
        <f>O7+O8+O9-O10-O12</f>
        <v>4</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'65'!A285</f>
        <v>125</v>
      </c>
      <c r="H12" s="179"/>
      <c r="I12" s="40"/>
      <c r="J12" s="244"/>
      <c r="K12" s="40" t="s">
        <v>134</v>
      </c>
      <c r="L12" s="40"/>
      <c r="M12" s="40"/>
      <c r="N12" s="255">
        <f>'65'!A197</f>
        <v>21</v>
      </c>
      <c r="O12" s="255">
        <f>'65'!A198</f>
        <v>28</v>
      </c>
      <c r="P12" s="179"/>
      <c r="R12" s="244"/>
      <c r="S12" s="182" t="s">
        <v>165</v>
      </c>
      <c r="T12" s="40"/>
      <c r="U12" s="199">
        <f>'65'!A121</f>
        <v>1000</v>
      </c>
      <c r="V12" s="251"/>
      <c r="W12" s="199">
        <f>'65'!A124</f>
        <v>625</v>
      </c>
      <c r="X12" s="182"/>
      <c r="Y12" s="199">
        <f>'65'!A127</f>
        <v>325</v>
      </c>
      <c r="Z12" s="182"/>
      <c r="AA12" s="179"/>
      <c r="AC12" s="40"/>
      <c r="AD12" s="182"/>
      <c r="AE12" s="40"/>
      <c r="AF12" s="196"/>
      <c r="AG12" s="182"/>
      <c r="AH12" s="196"/>
      <c r="AI12" s="182"/>
      <c r="AJ12" s="196"/>
      <c r="AK12" s="182"/>
      <c r="AL12" s="40"/>
    </row>
    <row r="13" spans="2:38" ht="13.2" x14ac:dyDescent="0.3">
      <c r="B13" s="244"/>
      <c r="C13" s="175" t="s">
        <v>97</v>
      </c>
      <c r="F13" s="40"/>
      <c r="G13" s="252">
        <f>'65'!A286</f>
        <v>210</v>
      </c>
      <c r="H13" s="179"/>
      <c r="I13" s="40"/>
      <c r="J13" s="245"/>
      <c r="K13" s="214"/>
      <c r="L13" s="214"/>
      <c r="M13" s="214"/>
      <c r="N13" s="214"/>
      <c r="O13" s="214"/>
      <c r="P13" s="229"/>
      <c r="R13" s="244"/>
      <c r="S13" s="256" t="s">
        <v>166</v>
      </c>
      <c r="T13" s="40"/>
      <c r="U13" s="199">
        <f>'65'!A122</f>
        <v>150</v>
      </c>
      <c r="V13" s="251"/>
      <c r="W13" s="199">
        <f>'65'!A125</f>
        <v>150</v>
      </c>
      <c r="X13" s="182"/>
      <c r="Y13" s="199">
        <f>'65'!A128</f>
        <v>75</v>
      </c>
      <c r="Z13" s="182"/>
      <c r="AA13" s="179"/>
      <c r="AC13" s="40"/>
      <c r="AD13" s="256"/>
      <c r="AE13" s="40"/>
      <c r="AF13" s="196"/>
      <c r="AG13" s="182"/>
      <c r="AH13" s="196"/>
      <c r="AI13" s="182"/>
      <c r="AJ13" s="196"/>
      <c r="AK13" s="182"/>
      <c r="AL13" s="40"/>
    </row>
    <row r="14" spans="2:38" x14ac:dyDescent="0.2">
      <c r="B14" s="244"/>
      <c r="C14" s="175" t="s">
        <v>98</v>
      </c>
      <c r="F14" s="40"/>
      <c r="G14" s="257">
        <f>'65'!A287</f>
        <v>70</v>
      </c>
      <c r="H14" s="179"/>
      <c r="I14" s="40"/>
      <c r="J14" s="244"/>
      <c r="K14" s="40"/>
      <c r="L14" s="40"/>
      <c r="M14" s="40"/>
      <c r="N14" s="40"/>
      <c r="O14" s="213"/>
      <c r="P14" s="179"/>
      <c r="R14" s="244"/>
      <c r="S14" s="182" t="s">
        <v>167</v>
      </c>
      <c r="T14" s="40"/>
      <c r="U14" s="199">
        <f>'65'!A123</f>
        <v>250</v>
      </c>
      <c r="V14" s="251"/>
      <c r="W14" s="199">
        <f>'65'!A126</f>
        <v>150</v>
      </c>
      <c r="X14" s="182"/>
      <c r="Y14" s="199">
        <f>'65'!A129</f>
        <v>100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7.5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'65'!A305</f>
        <v>12096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'65'!A306</f>
        <v>165</v>
      </c>
      <c r="P17" s="254">
        <f>'65'!B307</f>
        <v>0</v>
      </c>
      <c r="R17" s="244"/>
      <c r="S17" s="40" t="s">
        <v>169</v>
      </c>
      <c r="T17" s="40"/>
      <c r="U17" s="199">
        <f>'65'!A131</f>
        <v>970</v>
      </c>
      <c r="V17" s="251"/>
      <c r="W17" s="199">
        <f>'65'!A134</f>
        <v>663</v>
      </c>
      <c r="X17" s="182"/>
      <c r="Y17" s="199">
        <f>'65'!A137</f>
        <v>399</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'65'!A291</f>
        <v>0</v>
      </c>
      <c r="H18" s="179"/>
      <c r="I18" s="40"/>
      <c r="J18" s="244"/>
      <c r="K18" s="182" t="s">
        <v>107</v>
      </c>
      <c r="L18" s="40"/>
      <c r="M18" s="40"/>
      <c r="N18" s="40"/>
      <c r="O18" s="252">
        <f>'65'!A307</f>
        <v>8169</v>
      </c>
      <c r="P18" s="179"/>
      <c r="R18" s="244"/>
      <c r="S18" s="259" t="s">
        <v>170</v>
      </c>
      <c r="T18" s="40"/>
      <c r="U18" s="199">
        <f>'65'!A132</f>
        <v>155</v>
      </c>
      <c r="V18" s="251"/>
      <c r="W18" s="199">
        <f>'65'!A135</f>
        <v>152</v>
      </c>
      <c r="X18" s="182"/>
      <c r="Y18" s="199">
        <f>'65'!A138</f>
        <v>77</v>
      </c>
      <c r="Z18" s="182"/>
      <c r="AA18" s="179"/>
      <c r="AC18" s="40"/>
      <c r="AD18" s="259"/>
      <c r="AE18" s="40"/>
      <c r="AF18" s="196"/>
      <c r="AG18" s="182"/>
      <c r="AH18" s="196"/>
      <c r="AI18" s="182"/>
      <c r="AJ18" s="196"/>
      <c r="AK18" s="182"/>
      <c r="AL18" s="40"/>
    </row>
    <row r="19" spans="2:38" x14ac:dyDescent="0.2">
      <c r="B19" s="244"/>
      <c r="C19" s="40" t="s">
        <v>102</v>
      </c>
      <c r="D19" s="40"/>
      <c r="E19" s="40"/>
      <c r="F19" s="40"/>
      <c r="G19" s="196">
        <f>'65'!A292</f>
        <v>4</v>
      </c>
      <c r="H19" s="179"/>
      <c r="I19" s="40"/>
      <c r="J19" s="244"/>
      <c r="P19" s="179"/>
      <c r="R19" s="244"/>
      <c r="S19" s="40" t="s">
        <v>18</v>
      </c>
      <c r="T19" s="40"/>
      <c r="U19" s="199">
        <f>'65'!A133</f>
        <v>464</v>
      </c>
      <c r="V19" s="251"/>
      <c r="W19" s="199">
        <f>'65'!A136</f>
        <v>318</v>
      </c>
      <c r="X19" s="182"/>
      <c r="Y19" s="199">
        <f>'65'!A139</f>
        <v>178</v>
      </c>
      <c r="Z19" s="182"/>
      <c r="AA19" s="179"/>
      <c r="AC19" s="40"/>
      <c r="AD19" s="40"/>
      <c r="AE19" s="40"/>
      <c r="AF19" s="196"/>
      <c r="AG19" s="182"/>
      <c r="AH19" s="196"/>
      <c r="AI19" s="182"/>
      <c r="AJ19" s="196"/>
      <c r="AK19" s="182"/>
      <c r="AL19" s="40"/>
    </row>
    <row r="20" spans="2:38" x14ac:dyDescent="0.2">
      <c r="B20" s="244"/>
      <c r="C20" s="40" t="s">
        <v>103</v>
      </c>
      <c r="D20" s="40"/>
      <c r="E20" s="40"/>
      <c r="F20" s="196"/>
      <c r="G20" s="196">
        <f>'65'!A293</f>
        <v>1</v>
      </c>
      <c r="H20" s="179"/>
      <c r="I20" s="40"/>
      <c r="J20" s="244"/>
      <c r="K20" s="40" t="s">
        <v>138</v>
      </c>
      <c r="L20" s="40"/>
      <c r="M20" s="40"/>
      <c r="N20" s="40"/>
      <c r="O20" s="196">
        <f>'65'!A308</f>
        <v>1</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'65'!A294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'65'!A141</f>
        <v>970</v>
      </c>
      <c r="V22" s="251"/>
      <c r="W22" s="199">
        <f>'65'!A144</f>
        <v>625</v>
      </c>
      <c r="X22" s="182"/>
      <c r="Y22" s="199">
        <f>'65'!A147</f>
        <v>325</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'65'!A301</f>
        <v>4272</v>
      </c>
      <c r="H23" s="205"/>
      <c r="I23" s="40"/>
      <c r="R23" s="244"/>
      <c r="S23" s="259" t="s">
        <v>170</v>
      </c>
      <c r="T23" s="40"/>
      <c r="U23" s="199">
        <f>'65'!A142</f>
        <v>155</v>
      </c>
      <c r="V23" s="251"/>
      <c r="W23" s="199">
        <f>'65'!A145</f>
        <v>152</v>
      </c>
      <c r="X23" s="182"/>
      <c r="Y23" s="199">
        <f>'65'!A148</f>
        <v>77</v>
      </c>
      <c r="Z23" s="182"/>
      <c r="AA23" s="179"/>
      <c r="AC23" s="40"/>
      <c r="AD23" s="259"/>
      <c r="AE23" s="40"/>
      <c r="AF23" s="196"/>
      <c r="AG23" s="182"/>
      <c r="AH23" s="196"/>
      <c r="AI23" s="182"/>
      <c r="AJ23" s="196"/>
      <c r="AK23" s="182"/>
      <c r="AL23" s="40"/>
    </row>
    <row r="24" spans="2:38" x14ac:dyDescent="0.2">
      <c r="B24" s="244"/>
      <c r="C24" s="40" t="s">
        <v>106</v>
      </c>
      <c r="D24" s="40"/>
      <c r="E24" s="40"/>
      <c r="F24" s="40"/>
      <c r="G24" s="196">
        <f>'65'!A302</f>
        <v>60</v>
      </c>
      <c r="H24" s="260">
        <f>'65'!B302</f>
        <v>0</v>
      </c>
      <c r="I24" s="40"/>
      <c r="J24" s="243"/>
      <c r="K24" s="227"/>
      <c r="L24" s="227"/>
      <c r="M24" s="227"/>
      <c r="N24" s="188"/>
      <c r="O24" s="188"/>
      <c r="P24" s="237"/>
      <c r="R24" s="244"/>
      <c r="S24" s="40" t="s">
        <v>18</v>
      </c>
      <c r="T24" s="40"/>
      <c r="U24" s="199">
        <f>'65'!A143</f>
        <v>257</v>
      </c>
      <c r="V24" s="251"/>
      <c r="W24" s="199">
        <f>'65'!A146</f>
        <v>150</v>
      </c>
      <c r="X24" s="182"/>
      <c r="Y24" s="199">
        <f>'65'!A149</f>
        <v>105</v>
      </c>
      <c r="Z24" s="182"/>
      <c r="AA24" s="179"/>
      <c r="AC24" s="40"/>
      <c r="AD24" s="40"/>
      <c r="AE24" s="40"/>
      <c r="AF24" s="196"/>
      <c r="AG24" s="182"/>
      <c r="AH24" s="196"/>
      <c r="AI24" s="182"/>
      <c r="AJ24" s="196"/>
      <c r="AK24" s="182"/>
      <c r="AL24" s="40"/>
    </row>
    <row r="25" spans="2:38" ht="12" x14ac:dyDescent="0.25">
      <c r="B25" s="244"/>
      <c r="C25" s="182" t="s">
        <v>107</v>
      </c>
      <c r="G25" s="196">
        <f>'65'!A303</f>
        <v>3920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G19*'65'!A75-G24</f>
        <v>20</v>
      </c>
      <c r="H26" s="179"/>
      <c r="I26" s="40"/>
      <c r="J26" s="244"/>
      <c r="K26" s="182" t="s">
        <v>142</v>
      </c>
      <c r="L26" s="40"/>
      <c r="M26" s="253">
        <f>'65'!A321</f>
        <v>3</v>
      </c>
      <c r="N26" s="253">
        <f>'65'!A322</f>
        <v>1</v>
      </c>
      <c r="O26" s="196">
        <f>IF('65'!A327&gt;0,1,0)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'65'!A304</f>
        <v>93</v>
      </c>
      <c r="H27" s="179"/>
      <c r="I27" s="40"/>
      <c r="J27" s="244"/>
      <c r="K27" s="182" t="s">
        <v>143</v>
      </c>
      <c r="L27" s="40"/>
      <c r="M27" s="253">
        <f>'65'!A323</f>
        <v>0</v>
      </c>
      <c r="N27" s="253">
        <f>'65'!A324</f>
        <v>0</v>
      </c>
      <c r="O27" s="196"/>
      <c r="P27" s="261"/>
      <c r="R27" s="244"/>
      <c r="S27" s="40" t="s">
        <v>169</v>
      </c>
      <c r="T27" s="40"/>
      <c r="U27" s="199">
        <f>'65'!A151</f>
        <v>0</v>
      </c>
      <c r="V27" s="251"/>
      <c r="W27" s="199">
        <f>'65'!A154</f>
        <v>30</v>
      </c>
      <c r="X27" s="182"/>
      <c r="Y27" s="199">
        <f>'65'!A157</f>
        <v>40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'65'!A152</f>
        <v>0</v>
      </c>
      <c r="V28" s="251"/>
      <c r="W28" s="199">
        <f>'65'!A155</f>
        <v>0</v>
      </c>
      <c r="X28" s="182"/>
      <c r="Y28" s="199">
        <f>'65'!A158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'65'!A311</f>
        <v>1720</v>
      </c>
      <c r="H30" s="179"/>
      <c r="I30" s="40"/>
      <c r="J30" s="244"/>
      <c r="K30" s="182" t="s">
        <v>146</v>
      </c>
      <c r="L30" s="40"/>
      <c r="M30" s="255">
        <f>'65'!A325</f>
        <v>3</v>
      </c>
      <c r="N30" s="255">
        <f>'65'!A326</f>
        <v>1</v>
      </c>
      <c r="O30" s="193">
        <f>IF('65'!A328&gt;0,1,0)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1000*'65'!A57+'65'!A312</f>
        <v>5154</v>
      </c>
      <c r="H31" s="179"/>
      <c r="I31" s="40"/>
      <c r="J31" s="245"/>
      <c r="K31" s="214"/>
      <c r="L31" s="214"/>
      <c r="M31" s="214"/>
      <c r="N31" s="214"/>
      <c r="O31" s="214"/>
      <c r="P31" s="229"/>
      <c r="R31" s="244"/>
      <c r="S31" s="40" t="s">
        <v>169</v>
      </c>
      <c r="T31" s="40"/>
      <c r="U31" s="199">
        <f>'65'!A161</f>
        <v>149</v>
      </c>
      <c r="V31" s="251"/>
      <c r="W31" s="199">
        <f>'65'!A164</f>
        <v>0</v>
      </c>
      <c r="X31" s="182"/>
      <c r="Y31" s="199">
        <f>'65'!A167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'65'!A313</f>
        <v>0</v>
      </c>
      <c r="H32" s="179"/>
      <c r="I32" s="40"/>
      <c r="M32" s="175" t="s">
        <v>0</v>
      </c>
      <c r="R32" s="244"/>
      <c r="S32" s="259" t="s">
        <v>170</v>
      </c>
      <c r="T32" s="40"/>
      <c r="U32" s="199">
        <f>'65'!A162</f>
        <v>51</v>
      </c>
      <c r="V32" s="251"/>
      <c r="W32" s="199">
        <f>'65'!A165</f>
        <v>28</v>
      </c>
      <c r="X32" s="182"/>
      <c r="Y32" s="199">
        <f>'65'!A168</f>
        <v>10</v>
      </c>
      <c r="Z32" s="182"/>
      <c r="AA32" s="179"/>
      <c r="AC32" s="40"/>
      <c r="AD32" s="259"/>
      <c r="AE32" s="40"/>
      <c r="AF32" s="196"/>
      <c r="AG32" s="182"/>
      <c r="AH32" s="196"/>
      <c r="AI32" s="182"/>
      <c r="AJ32" s="196"/>
      <c r="AK32" s="182"/>
      <c r="AL32" s="40"/>
    </row>
    <row r="33" spans="2:38" x14ac:dyDescent="0.2">
      <c r="B33" s="244"/>
      <c r="C33" s="40" t="s">
        <v>114</v>
      </c>
      <c r="D33" s="40"/>
      <c r="E33" s="40"/>
      <c r="F33" s="40"/>
      <c r="G33" s="196">
        <f>'65'!A314</f>
        <v>0</v>
      </c>
      <c r="H33" s="263">
        <f>'65'!B313</f>
        <v>0</v>
      </c>
      <c r="I33" s="40"/>
      <c r="M33" s="40"/>
      <c r="R33" s="244"/>
      <c r="S33" s="40" t="s">
        <v>18</v>
      </c>
      <c r="T33" s="40"/>
      <c r="U33" s="199">
        <f>'65'!A163</f>
        <v>0</v>
      </c>
      <c r="V33" s="251"/>
      <c r="W33" s="199">
        <f>'65'!A166</f>
        <v>0</v>
      </c>
      <c r="X33" s="182"/>
      <c r="Y33" s="199">
        <f>'65'!A169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'65'!A315</f>
        <v>4891</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'65'!A316</f>
        <v>1983</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'65'!A295</f>
        <v>1381</v>
      </c>
      <c r="N36" s="199">
        <f>'65'!A297</f>
        <v>500</v>
      </c>
      <c r="O36" s="253">
        <f>'65'!A299</f>
        <v>300</v>
      </c>
      <c r="P36" s="179"/>
      <c r="R36" s="244"/>
      <c r="S36" s="247" t="s">
        <v>174</v>
      </c>
      <c r="T36" s="264"/>
      <c r="U36" s="196">
        <f>'65'!A171</f>
        <v>41</v>
      </c>
      <c r="V36" s="254">
        <f>'65'!B171</f>
        <v>0</v>
      </c>
      <c r="W36" s="196">
        <f>'65'!A172</f>
        <v>26</v>
      </c>
      <c r="X36" s="254">
        <f>'65'!B172</f>
        <v>0</v>
      </c>
      <c r="Y36" s="196">
        <f>'65'!A173</f>
        <v>15</v>
      </c>
      <c r="Z36" s="184">
        <f>'65'!B173</f>
        <v>0</v>
      </c>
      <c r="AA36" s="179"/>
      <c r="AC36" s="40"/>
      <c r="AD36" s="247"/>
      <c r="AE36" s="247"/>
      <c r="AF36" s="196"/>
      <c r="AG36" s="184"/>
      <c r="AH36" s="196"/>
      <c r="AI36" s="184"/>
      <c r="AJ36" s="196"/>
      <c r="AK36" s="184"/>
      <c r="AL36" s="40"/>
    </row>
    <row r="37" spans="2:38" x14ac:dyDescent="0.2">
      <c r="B37" s="244"/>
      <c r="C37" s="40" t="s">
        <v>118</v>
      </c>
      <c r="D37" s="40"/>
      <c r="E37" s="40"/>
      <c r="F37" s="40"/>
      <c r="G37" s="196">
        <f>1000*'65'!A58</f>
        <v>0</v>
      </c>
      <c r="H37" s="179"/>
      <c r="I37" s="40"/>
      <c r="J37" s="244"/>
      <c r="K37" s="40" t="s">
        <v>149</v>
      </c>
      <c r="L37" s="40"/>
      <c r="M37" s="255">
        <f>'65'!A296</f>
        <v>8</v>
      </c>
      <c r="N37" s="255">
        <f>'65'!A298</f>
        <v>2</v>
      </c>
      <c r="O37" s="255">
        <f>'65'!A300</f>
        <v>2</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'65'!A317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1000*'65'!A59</f>
        <v>0</v>
      </c>
      <c r="H39" s="179"/>
      <c r="I39" s="40"/>
      <c r="R39" s="244"/>
      <c r="S39" s="247" t="s">
        <v>175</v>
      </c>
      <c r="T39" s="247"/>
      <c r="U39" s="266" t="str">
        <f>'65'!A177</f>
        <v>None</v>
      </c>
      <c r="V39" s="251"/>
      <c r="W39" s="266" t="str">
        <f>'65'!A178</f>
        <v>Minor</v>
      </c>
      <c r="X39" s="182"/>
      <c r="Y39" s="266" t="str">
        <f>'65'!A179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'65'!A318</f>
        <v>5</v>
      </c>
      <c r="H42" s="179"/>
      <c r="I42" s="40"/>
      <c r="J42" s="244"/>
      <c r="K42" s="215" t="s">
        <v>150</v>
      </c>
      <c r="N42" s="177" t="s">
        <v>154</v>
      </c>
      <c r="P42" s="179"/>
      <c r="R42" s="244"/>
      <c r="S42" s="269" t="s">
        <v>177</v>
      </c>
      <c r="T42" s="40"/>
      <c r="U42" s="199">
        <f>'65'!A181</f>
        <v>0</v>
      </c>
      <c r="V42" s="251"/>
      <c r="W42" s="196">
        <f>'65'!A182</f>
        <v>0</v>
      </c>
      <c r="X42" s="182"/>
      <c r="Y42" s="199">
        <f>'65'!A183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'65'!A319</f>
        <v>11617</v>
      </c>
      <c r="H43" s="179"/>
      <c r="I43" s="40"/>
      <c r="J43" s="244"/>
      <c r="K43" s="175" t="s">
        <v>151</v>
      </c>
      <c r="N43" s="271">
        <f>0.00019*50*G10</f>
        <v>5.2249999999999996</v>
      </c>
      <c r="P43" s="179"/>
      <c r="R43" s="244"/>
      <c r="S43" s="269" t="s">
        <v>178</v>
      </c>
      <c r="T43" s="40"/>
      <c r="U43" s="199">
        <f>'65'!A54</f>
        <v>500</v>
      </c>
      <c r="V43" s="251"/>
      <c r="W43" s="199">
        <f>'65'!A55</f>
        <v>500</v>
      </c>
      <c r="X43" s="182"/>
      <c r="Y43" s="199">
        <f>'65'!A56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100-'65'!A320/10</f>
        <v>0.20000000000000284</v>
      </c>
      <c r="H44" s="179"/>
      <c r="I44" s="40"/>
      <c r="J44" s="244"/>
      <c r="K44" s="175" t="s">
        <v>152</v>
      </c>
      <c r="N44" s="272">
        <f>0.00052*(6*G25+O18)</f>
        <v>16.478279999999998</v>
      </c>
      <c r="P44" s="179"/>
      <c r="R44" s="244"/>
      <c r="S44" s="269" t="s">
        <v>179</v>
      </c>
      <c r="T44" s="40"/>
      <c r="U44" s="199">
        <f>'65'!A184</f>
        <v>0</v>
      </c>
      <c r="V44" s="251"/>
      <c r="W44" s="196">
        <f>'65'!A185</f>
        <v>0</v>
      </c>
      <c r="X44" s="182"/>
      <c r="Y44" s="199">
        <f>'65'!A186</f>
        <v>0</v>
      </c>
      <c r="Z44" s="182"/>
      <c r="AA44" s="179"/>
      <c r="AC44" s="40"/>
      <c r="AD44" s="269"/>
      <c r="AE44" s="40"/>
      <c r="AF44" s="196"/>
      <c r="AG44" s="182"/>
      <c r="AH44" s="196"/>
      <c r="AI44" s="182"/>
      <c r="AJ44" s="196"/>
      <c r="AK44" s="182"/>
      <c r="AL44" s="40"/>
    </row>
    <row r="45" spans="2:38" x14ac:dyDescent="0.2">
      <c r="B45" s="244"/>
      <c r="C45" s="44" t="s">
        <v>125</v>
      </c>
      <c r="G45" s="175">
        <f>'65'!A329</f>
        <v>49</v>
      </c>
      <c r="H45" s="179"/>
      <c r="I45" s="40"/>
      <c r="J45" s="244"/>
      <c r="K45" s="175" t="s">
        <v>153</v>
      </c>
      <c r="N45" s="271">
        <f>N43+N44</f>
        <v>21.703279999999999</v>
      </c>
      <c r="P45" s="179"/>
      <c r="R45" s="244"/>
      <c r="S45" s="269" t="s">
        <v>180</v>
      </c>
      <c r="T45" s="40"/>
      <c r="U45" s="199">
        <f>'65'!A187</f>
        <v>500</v>
      </c>
      <c r="V45" s="251"/>
      <c r="W45" s="196">
        <f>'65'!A188</f>
        <v>500</v>
      </c>
      <c r="X45" s="182"/>
      <c r="Y45" s="199">
        <f>'65'!A189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honeticPr fontId="0"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1">
    <tabColor theme="5" tint="0.79998168889431442"/>
    <pageSetUpPr fitToPage="1"/>
  </sheetPr>
  <dimension ref="A1:Z59"/>
  <sheetViews>
    <sheetView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'65'!A1</f>
        <v>8</v>
      </c>
      <c r="F1" s="512" t="s">
        <v>285</v>
      </c>
      <c r="G1" s="175"/>
      <c r="I1" s="172">
        <f>'65'!A2</f>
        <v>2</v>
      </c>
      <c r="J1" s="175"/>
      <c r="K1" s="175"/>
      <c r="L1" s="175"/>
      <c r="M1" s="513" t="s">
        <v>284</v>
      </c>
      <c r="N1" s="175"/>
      <c r="O1" s="175"/>
      <c r="P1" s="175"/>
      <c r="Q1" s="175"/>
      <c r="S1" s="175"/>
      <c r="U1" s="170" t="s">
        <v>81</v>
      </c>
      <c r="V1" s="172">
        <f>'65'!A4</f>
        <v>2017</v>
      </c>
      <c r="W1" s="171" t="s">
        <v>80</v>
      </c>
      <c r="X1" s="172">
        <f>'65'!A5</f>
        <v>3</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'65'!A201</f>
        <v>93000</v>
      </c>
      <c r="G8" s="283"/>
      <c r="H8" s="45"/>
      <c r="I8" s="45" t="s">
        <v>207</v>
      </c>
      <c r="J8" s="45"/>
      <c r="K8" s="45"/>
      <c r="L8" s="286">
        <f>'65'!A241</f>
        <v>1316350</v>
      </c>
      <c r="M8" s="283"/>
      <c r="N8" s="45"/>
      <c r="O8" s="268" t="s">
        <v>234</v>
      </c>
      <c r="P8" s="268"/>
      <c r="Q8" s="45"/>
      <c r="R8" s="45"/>
      <c r="S8" s="283"/>
      <c r="T8" s="45"/>
      <c r="U8" s="290" t="s">
        <v>260</v>
      </c>
      <c r="Y8" s="283"/>
    </row>
    <row r="9" spans="2:26" ht="12" x14ac:dyDescent="0.3">
      <c r="B9" s="281"/>
      <c r="C9" s="325" t="s">
        <v>184</v>
      </c>
      <c r="D9" s="45"/>
      <c r="E9" s="45"/>
      <c r="F9" s="286">
        <f>'65'!A202</f>
        <v>29278</v>
      </c>
      <c r="G9" s="283"/>
      <c r="H9" s="45"/>
      <c r="I9" s="45"/>
      <c r="J9" s="45"/>
      <c r="K9" s="45"/>
      <c r="L9" s="286"/>
      <c r="M9" s="283"/>
      <c r="N9" s="45"/>
      <c r="O9" s="242" t="s">
        <v>235</v>
      </c>
      <c r="Q9" s="289"/>
      <c r="R9" s="289">
        <f>'65'!A261</f>
        <v>50000</v>
      </c>
      <c r="S9" s="283"/>
      <c r="T9" s="45"/>
      <c r="U9" s="45" t="s">
        <v>261</v>
      </c>
      <c r="V9" s="45"/>
      <c r="W9" s="45"/>
      <c r="X9" s="286">
        <f>'65'!A221</f>
        <v>1327524</v>
      </c>
      <c r="Y9" s="283"/>
    </row>
    <row r="10" spans="2:26" x14ac:dyDescent="0.2">
      <c r="B10" s="281"/>
      <c r="C10" s="45" t="s">
        <v>185</v>
      </c>
      <c r="D10" s="45"/>
      <c r="E10" s="45"/>
      <c r="F10" s="286">
        <f>'65'!A203</f>
        <v>13261</v>
      </c>
      <c r="G10" s="283"/>
      <c r="H10" s="45"/>
      <c r="I10" s="45" t="s">
        <v>208</v>
      </c>
      <c r="J10" s="45"/>
      <c r="K10" s="45"/>
      <c r="L10" s="286">
        <f>'65'!A242</f>
        <v>129336</v>
      </c>
      <c r="M10" s="283"/>
      <c r="N10" s="45"/>
      <c r="O10" s="45" t="s">
        <v>236</v>
      </c>
      <c r="P10" s="45"/>
      <c r="Q10" s="289"/>
      <c r="R10" s="289">
        <f>'65'!A262</f>
        <v>275000</v>
      </c>
      <c r="S10" s="283"/>
      <c r="T10" s="45"/>
      <c r="U10" s="45" t="s">
        <v>220</v>
      </c>
      <c r="V10" s="45"/>
      <c r="W10" s="45"/>
      <c r="X10" s="286">
        <f>'65'!A222</f>
        <v>0</v>
      </c>
      <c r="Y10" s="283"/>
    </row>
    <row r="11" spans="2:26" x14ac:dyDescent="0.2">
      <c r="B11" s="281"/>
      <c r="C11" s="45" t="s">
        <v>186</v>
      </c>
      <c r="D11" s="45"/>
      <c r="E11" s="45"/>
      <c r="F11" s="286">
        <f>'65'!A204</f>
        <v>113564</v>
      </c>
      <c r="G11" s="283"/>
      <c r="H11" s="45"/>
      <c r="I11" s="287" t="s">
        <v>209</v>
      </c>
      <c r="L11" s="286">
        <f>'65'!A243</f>
        <v>164000</v>
      </c>
      <c r="M11" s="283"/>
      <c r="N11" s="45"/>
      <c r="O11" s="45" t="s">
        <v>237</v>
      </c>
      <c r="P11" s="45"/>
      <c r="Q11" s="45"/>
      <c r="R11" s="292">
        <f>'65'!A263</f>
        <v>1336600</v>
      </c>
      <c r="S11" s="283"/>
      <c r="T11" s="45"/>
      <c r="U11" s="45" t="s">
        <v>262</v>
      </c>
      <c r="V11" s="45"/>
      <c r="W11" s="45"/>
      <c r="X11" s="286">
        <f>'65'!A223</f>
        <v>1320961</v>
      </c>
      <c r="Y11" s="283"/>
    </row>
    <row r="12" spans="2:26" x14ac:dyDescent="0.2">
      <c r="B12" s="281"/>
      <c r="C12" s="45" t="s">
        <v>187</v>
      </c>
      <c r="D12" s="45"/>
      <c r="E12" s="45"/>
      <c r="F12" s="286">
        <f>'65'!A205</f>
        <v>16209</v>
      </c>
      <c r="G12" s="283"/>
      <c r="H12" s="45"/>
      <c r="I12" s="45" t="s">
        <v>210</v>
      </c>
      <c r="J12" s="45"/>
      <c r="K12" s="45"/>
      <c r="L12" s="286">
        <f>'65'!A244</f>
        <v>338586</v>
      </c>
      <c r="M12" s="283"/>
      <c r="N12" s="45"/>
      <c r="O12" s="45" t="s">
        <v>238</v>
      </c>
      <c r="P12" s="45"/>
      <c r="Q12" s="45"/>
      <c r="R12" s="286">
        <f>SUM(R9:R11)</f>
        <v>1661600</v>
      </c>
      <c r="S12" s="283"/>
      <c r="T12" s="45"/>
      <c r="U12" s="45" t="s">
        <v>263</v>
      </c>
      <c r="V12" s="45"/>
      <c r="W12" s="45"/>
      <c r="X12" s="288">
        <f>'65'!A224</f>
        <v>0</v>
      </c>
      <c r="Y12" s="283"/>
    </row>
    <row r="13" spans="2:26" x14ac:dyDescent="0.2">
      <c r="B13" s="281"/>
      <c r="C13" s="45" t="s">
        <v>188</v>
      </c>
      <c r="D13" s="45"/>
      <c r="E13" s="45"/>
      <c r="F13" s="286">
        <f>'65'!A206</f>
        <v>10110</v>
      </c>
      <c r="G13" s="283"/>
      <c r="H13" s="45"/>
      <c r="I13" s="45" t="s">
        <v>211</v>
      </c>
      <c r="J13" s="45"/>
      <c r="K13" s="45"/>
      <c r="L13" s="286">
        <f>'65'!A245</f>
        <v>73185</v>
      </c>
      <c r="M13" s="283"/>
      <c r="N13" s="45"/>
      <c r="S13" s="283"/>
      <c r="T13" s="45"/>
      <c r="U13" s="287" t="s">
        <v>264</v>
      </c>
      <c r="X13" s="289">
        <f>X9+X10-X11-X12</f>
        <v>6563</v>
      </c>
      <c r="Y13" s="283"/>
    </row>
    <row r="14" spans="2:26" x14ac:dyDescent="0.2">
      <c r="B14" s="281"/>
      <c r="C14" s="45" t="s">
        <v>189</v>
      </c>
      <c r="D14" s="45"/>
      <c r="E14" s="45"/>
      <c r="F14" s="286">
        <f>'65'!A207</f>
        <v>65000</v>
      </c>
      <c r="G14" s="283"/>
      <c r="H14" s="45"/>
      <c r="I14" s="45" t="s">
        <v>212</v>
      </c>
      <c r="J14" s="45"/>
      <c r="K14" s="45"/>
      <c r="L14" s="286">
        <f>'65'!A246</f>
        <v>187458</v>
      </c>
      <c r="M14" s="283"/>
      <c r="N14" s="45"/>
      <c r="O14" s="290" t="s">
        <v>239</v>
      </c>
      <c r="S14" s="283"/>
      <c r="T14" s="45"/>
      <c r="Y14" s="283"/>
    </row>
    <row r="15" spans="2:26" ht="12" x14ac:dyDescent="0.3">
      <c r="B15" s="281"/>
      <c r="C15" s="325" t="s">
        <v>190</v>
      </c>
      <c r="D15" s="45"/>
      <c r="E15" s="45"/>
      <c r="F15" s="286">
        <f>'65'!A208</f>
        <v>17000</v>
      </c>
      <c r="G15" s="283"/>
      <c r="H15" s="45"/>
      <c r="I15" s="45" t="s">
        <v>213</v>
      </c>
      <c r="J15" s="45"/>
      <c r="K15" s="45"/>
      <c r="L15" s="286">
        <f>'65'!A247</f>
        <v>123019</v>
      </c>
      <c r="M15" s="283"/>
      <c r="N15" s="45"/>
      <c r="O15" s="45" t="s">
        <v>240</v>
      </c>
      <c r="P15" s="45"/>
      <c r="Q15" s="45"/>
      <c r="R15" s="286">
        <f>'65'!A265</f>
        <v>37410</v>
      </c>
      <c r="S15" s="283"/>
      <c r="T15" s="45"/>
      <c r="U15" s="290" t="s">
        <v>265</v>
      </c>
      <c r="Y15" s="283"/>
    </row>
    <row r="16" spans="2:26" x14ac:dyDescent="0.2">
      <c r="B16" s="281"/>
      <c r="C16" s="45" t="s">
        <v>191</v>
      </c>
      <c r="D16" s="45"/>
      <c r="E16" s="45"/>
      <c r="F16" s="286">
        <f>'65'!A209</f>
        <v>14000</v>
      </c>
      <c r="G16" s="283"/>
      <c r="H16" s="45"/>
      <c r="I16" s="45" t="s">
        <v>214</v>
      </c>
      <c r="J16" s="45"/>
      <c r="K16" s="45"/>
      <c r="L16" s="286">
        <f>'65'!A248</f>
        <v>2908</v>
      </c>
      <c r="M16" s="283"/>
      <c r="N16" s="45"/>
      <c r="O16" s="287" t="s">
        <v>241</v>
      </c>
      <c r="R16" s="286">
        <f>'65'!A266</f>
        <v>164000</v>
      </c>
      <c r="S16" s="283"/>
      <c r="T16" s="45"/>
      <c r="U16" s="45" t="s">
        <v>266</v>
      </c>
      <c r="V16" s="45"/>
      <c r="W16" s="45"/>
      <c r="X16" s="286">
        <f>'65'!A225</f>
        <v>2875</v>
      </c>
      <c r="Y16" s="283"/>
    </row>
    <row r="17" spans="2:25" x14ac:dyDescent="0.2">
      <c r="B17" s="281"/>
      <c r="C17" s="45" t="s">
        <v>192</v>
      </c>
      <c r="D17" s="45"/>
      <c r="E17" s="45"/>
      <c r="F17" s="286">
        <f>'65'!A210</f>
        <v>6800</v>
      </c>
      <c r="G17" s="283"/>
      <c r="H17" s="45"/>
      <c r="I17" s="45" t="s">
        <v>215</v>
      </c>
      <c r="L17" s="286">
        <f>'65'!A249</f>
        <v>40700</v>
      </c>
      <c r="M17" s="283"/>
      <c r="N17" s="45"/>
      <c r="O17" s="45" t="s">
        <v>242</v>
      </c>
      <c r="P17" s="45"/>
      <c r="Q17" s="45"/>
      <c r="R17" s="286">
        <f>'65'!A267</f>
        <v>106077</v>
      </c>
      <c r="S17" s="283"/>
      <c r="T17" s="45"/>
      <c r="U17" s="45" t="s">
        <v>267</v>
      </c>
      <c r="X17" s="286">
        <f>'65'!A226</f>
        <v>0</v>
      </c>
      <c r="Y17" s="283"/>
    </row>
    <row r="18" spans="2:25" x14ac:dyDescent="0.2">
      <c r="B18" s="281"/>
      <c r="C18" s="45" t="s">
        <v>193</v>
      </c>
      <c r="D18" s="45"/>
      <c r="E18" s="45"/>
      <c r="F18" s="286">
        <f>'65'!A211</f>
        <v>8319</v>
      </c>
      <c r="G18" s="283"/>
      <c r="H18" s="45"/>
      <c r="I18" s="43" t="s">
        <v>216</v>
      </c>
      <c r="J18" s="45"/>
      <c r="K18" s="45"/>
      <c r="L18" s="288">
        <f>'65'!A250</f>
        <v>307487</v>
      </c>
      <c r="M18" s="283"/>
      <c r="N18" s="45"/>
      <c r="O18" s="45" t="s">
        <v>243</v>
      </c>
      <c r="P18" s="45"/>
      <c r="Q18" s="45"/>
      <c r="R18" s="286">
        <f>'65'!A268</f>
        <v>795131</v>
      </c>
      <c r="S18" s="283"/>
      <c r="T18" s="45"/>
      <c r="U18" s="45" t="s">
        <v>268</v>
      </c>
      <c r="V18" s="45"/>
      <c r="W18" s="45"/>
      <c r="X18" s="288">
        <f>'65'!A227</f>
        <v>325000</v>
      </c>
      <c r="Y18" s="283"/>
    </row>
    <row r="19" spans="2:25" x14ac:dyDescent="0.2">
      <c r="B19" s="281"/>
      <c r="C19" s="45" t="s">
        <v>194</v>
      </c>
      <c r="D19" s="45"/>
      <c r="E19" s="45"/>
      <c r="F19" s="286">
        <f>'65'!A212</f>
        <v>12500</v>
      </c>
      <c r="G19" s="283"/>
      <c r="H19" s="45"/>
      <c r="I19" s="45" t="s">
        <v>217</v>
      </c>
      <c r="J19" s="45"/>
      <c r="K19" s="45"/>
      <c r="L19" s="291">
        <f>'65'!A251</f>
        <v>751705</v>
      </c>
      <c r="M19" s="283"/>
      <c r="N19" s="45"/>
      <c r="O19" s="45" t="s">
        <v>244</v>
      </c>
      <c r="P19" s="45"/>
      <c r="Q19" s="45"/>
      <c r="R19" s="288">
        <f>'65'!A269</f>
        <v>1513443</v>
      </c>
      <c r="S19" s="283"/>
      <c r="T19" s="45"/>
      <c r="U19" s="287" t="s">
        <v>269</v>
      </c>
      <c r="X19" s="289">
        <f>X16+X17-X18</f>
        <v>-322125</v>
      </c>
      <c r="Y19" s="283"/>
    </row>
    <row r="20" spans="2:25" x14ac:dyDescent="0.2">
      <c r="B20" s="281"/>
      <c r="C20" s="45" t="s">
        <v>195</v>
      </c>
      <c r="D20" s="45"/>
      <c r="E20" s="45"/>
      <c r="F20" s="286">
        <f>'65'!A213</f>
        <v>2816</v>
      </c>
      <c r="G20" s="283"/>
      <c r="H20" s="45"/>
      <c r="I20" s="45" t="s">
        <v>218</v>
      </c>
      <c r="J20" s="45"/>
      <c r="K20" s="45"/>
      <c r="L20" s="286">
        <f>'65'!A252</f>
        <v>564645</v>
      </c>
      <c r="M20" s="283"/>
      <c r="N20" s="45"/>
      <c r="O20" s="287" t="s">
        <v>245</v>
      </c>
      <c r="R20" s="515">
        <f>SUM(R15:R19)</f>
        <v>2616061</v>
      </c>
      <c r="S20" s="283"/>
      <c r="T20" s="45"/>
      <c r="Y20" s="283"/>
    </row>
    <row r="21" spans="2:25" x14ac:dyDescent="0.2">
      <c r="B21" s="281"/>
      <c r="C21" s="45" t="s">
        <v>196</v>
      </c>
      <c r="D21" s="45"/>
      <c r="E21" s="45"/>
      <c r="F21" s="286">
        <f>'65'!A214</f>
        <v>9001</v>
      </c>
      <c r="G21" s="283"/>
      <c r="H21" s="45"/>
      <c r="I21" s="45" t="s">
        <v>219</v>
      </c>
      <c r="J21" s="45"/>
      <c r="K21" s="45"/>
      <c r="L21" s="286">
        <f>'65'!A217</f>
        <v>501726</v>
      </c>
      <c r="M21" s="283"/>
      <c r="N21" s="45"/>
      <c r="O21" s="45" t="s">
        <v>246</v>
      </c>
      <c r="P21" s="45"/>
      <c r="Q21" s="45"/>
      <c r="R21" s="286">
        <f>R12+R20</f>
        <v>4277661</v>
      </c>
      <c r="S21" s="283"/>
      <c r="T21" s="45"/>
      <c r="U21" s="290" t="s">
        <v>270</v>
      </c>
      <c r="Y21" s="283"/>
    </row>
    <row r="22" spans="2:25" x14ac:dyDescent="0.2">
      <c r="B22" s="281"/>
      <c r="C22" s="45" t="s">
        <v>197</v>
      </c>
      <c r="D22" s="45"/>
      <c r="E22" s="45"/>
      <c r="F22" s="286">
        <f>'65'!A215</f>
        <v>80000</v>
      </c>
      <c r="G22" s="283"/>
      <c r="H22" s="45"/>
      <c r="I22" s="45" t="s">
        <v>220</v>
      </c>
      <c r="J22" s="45"/>
      <c r="K22" s="45"/>
      <c r="L22" s="286">
        <f>'65'!A222</f>
        <v>0</v>
      </c>
      <c r="M22" s="283"/>
      <c r="N22" s="45"/>
      <c r="S22" s="283"/>
      <c r="T22" s="45"/>
      <c r="U22" s="242" t="s">
        <v>271</v>
      </c>
      <c r="X22" s="286">
        <f>'65'!A228</f>
        <v>0</v>
      </c>
      <c r="Y22" s="283"/>
    </row>
    <row r="23" spans="2:25" x14ac:dyDescent="0.2">
      <c r="B23" s="281"/>
      <c r="C23" s="45" t="s">
        <v>198</v>
      </c>
      <c r="D23" s="45"/>
      <c r="E23" s="45"/>
      <c r="F23" s="288">
        <f>'65'!A216</f>
        <v>10868</v>
      </c>
      <c r="G23" s="283"/>
      <c r="H23" s="45"/>
      <c r="I23" s="45" t="s">
        <v>221</v>
      </c>
      <c r="J23" s="45"/>
      <c r="K23" s="45"/>
      <c r="L23" s="292">
        <f>'65'!A254</f>
        <v>34270</v>
      </c>
      <c r="M23" s="283"/>
      <c r="N23" s="45"/>
      <c r="O23" s="268" t="s">
        <v>247</v>
      </c>
      <c r="P23" s="45"/>
      <c r="Q23" s="45"/>
      <c r="R23" s="286"/>
      <c r="S23" s="283"/>
      <c r="T23" s="45"/>
      <c r="U23" s="242" t="s">
        <v>272</v>
      </c>
      <c r="V23" s="45"/>
      <c r="W23" s="45"/>
      <c r="X23" s="286">
        <f>'65'!A229</f>
        <v>0</v>
      </c>
      <c r="Y23" s="283"/>
    </row>
    <row r="24" spans="2:25" x14ac:dyDescent="0.2">
      <c r="B24" s="281"/>
      <c r="C24" s="45" t="s">
        <v>199</v>
      </c>
      <c r="D24" s="268"/>
      <c r="E24" s="45"/>
      <c r="F24" s="288">
        <f>'65'!A217</f>
        <v>501726</v>
      </c>
      <c r="G24" s="283"/>
      <c r="H24" s="45"/>
      <c r="I24" s="287" t="s">
        <v>222</v>
      </c>
      <c r="L24" s="286">
        <f>L20-L21+L22-L23</f>
        <v>28649</v>
      </c>
      <c r="M24" s="283"/>
      <c r="N24" s="45"/>
      <c r="O24" s="45" t="s">
        <v>248</v>
      </c>
      <c r="P24" s="45"/>
      <c r="Q24" s="45"/>
      <c r="R24" s="286">
        <f>'65'!A271</f>
        <v>0</v>
      </c>
      <c r="S24" s="283"/>
      <c r="T24" s="45"/>
      <c r="U24" s="45" t="s">
        <v>273</v>
      </c>
      <c r="V24" s="45"/>
      <c r="W24" s="45"/>
      <c r="X24" s="286">
        <f>'65'!A230</f>
        <v>0</v>
      </c>
      <c r="Y24" s="283"/>
    </row>
    <row r="25" spans="2:25" ht="12" x14ac:dyDescent="0.3">
      <c r="B25" s="281"/>
      <c r="C25" s="45"/>
      <c r="F25" s="293"/>
      <c r="G25" s="283"/>
      <c r="H25" s="45"/>
      <c r="I25" s="45" t="s">
        <v>223</v>
      </c>
      <c r="J25" s="45"/>
      <c r="K25" s="45"/>
      <c r="L25" s="286">
        <f>'65'!A225</f>
        <v>2875</v>
      </c>
      <c r="M25" s="283"/>
      <c r="N25" s="45"/>
      <c r="O25" s="325" t="s">
        <v>249</v>
      </c>
      <c r="P25" s="45"/>
      <c r="Q25" s="45"/>
      <c r="R25" s="286">
        <f>'65'!A272</f>
        <v>432222</v>
      </c>
      <c r="S25" s="283"/>
      <c r="T25" s="45"/>
      <c r="U25" s="45" t="s">
        <v>274</v>
      </c>
      <c r="V25" s="45"/>
      <c r="W25" s="45"/>
      <c r="X25" s="286">
        <f>'65'!A231</f>
        <v>0</v>
      </c>
      <c r="Y25" s="283"/>
    </row>
    <row r="26" spans="2:25" x14ac:dyDescent="0.2">
      <c r="B26" s="281"/>
      <c r="C26" s="326" t="s">
        <v>200</v>
      </c>
      <c r="D26" s="45"/>
      <c r="E26" s="45"/>
      <c r="F26" s="286"/>
      <c r="G26" s="283"/>
      <c r="H26" s="45"/>
      <c r="I26" s="45" t="s">
        <v>224</v>
      </c>
      <c r="J26" s="45"/>
      <c r="K26" s="45"/>
      <c r="L26" s="288">
        <f>'65'!A232</f>
        <v>0</v>
      </c>
      <c r="M26" s="283"/>
      <c r="N26" s="45"/>
      <c r="O26" s="45" t="s">
        <v>250</v>
      </c>
      <c r="P26" s="45"/>
      <c r="Q26" s="45"/>
      <c r="R26" s="288">
        <f>'65'!A273</f>
        <v>0</v>
      </c>
      <c r="S26" s="283"/>
      <c r="T26" s="45"/>
      <c r="U26" s="45" t="s">
        <v>275</v>
      </c>
      <c r="V26" s="45"/>
      <c r="W26" s="45"/>
      <c r="X26" s="288">
        <f>'65'!A232</f>
        <v>0</v>
      </c>
      <c r="Y26" s="283"/>
    </row>
    <row r="27" spans="2:25" x14ac:dyDescent="0.2">
      <c r="B27" s="281"/>
      <c r="C27" s="287" t="s">
        <v>201</v>
      </c>
      <c r="D27" s="45"/>
      <c r="E27" s="45"/>
      <c r="F27" s="289">
        <f>L27</f>
        <v>31524</v>
      </c>
      <c r="G27" s="283"/>
      <c r="H27" s="45"/>
      <c r="I27" s="287" t="s">
        <v>225</v>
      </c>
      <c r="J27" s="45"/>
      <c r="K27" s="45"/>
      <c r="L27" s="289">
        <f>L24+L25-L26</f>
        <v>31524</v>
      </c>
      <c r="M27" s="283"/>
      <c r="N27" s="45"/>
      <c r="O27" s="43" t="s">
        <v>251</v>
      </c>
      <c r="P27" s="45"/>
      <c r="Q27" s="45"/>
      <c r="R27" s="286">
        <f>SUM(R24:R26)</f>
        <v>432222</v>
      </c>
      <c r="S27" s="283"/>
      <c r="T27" s="45"/>
      <c r="U27" s="287" t="s">
        <v>276</v>
      </c>
      <c r="X27" s="289">
        <f>X22-X23-X24+X25-X26</f>
        <v>0</v>
      </c>
      <c r="Y27" s="283"/>
    </row>
    <row r="28" spans="2:25" x14ac:dyDescent="0.2">
      <c r="B28" s="281"/>
      <c r="C28" s="287" t="s">
        <v>202</v>
      </c>
      <c r="D28" s="45"/>
      <c r="E28" s="45"/>
      <c r="F28" s="288">
        <f>'65'!A240</f>
        <v>-186085</v>
      </c>
      <c r="G28" s="283"/>
      <c r="H28" s="45"/>
      <c r="I28" s="45" t="s">
        <v>226</v>
      </c>
      <c r="J28" s="45"/>
      <c r="K28" s="45"/>
      <c r="L28" s="288">
        <f>'65'!A255</f>
        <v>0</v>
      </c>
      <c r="M28" s="283"/>
      <c r="N28" s="45"/>
      <c r="O28" s="45" t="s">
        <v>252</v>
      </c>
      <c r="P28" s="45"/>
      <c r="Q28" s="45"/>
      <c r="R28" s="286">
        <f>'65'!A274</f>
        <v>0</v>
      </c>
      <c r="S28" s="283"/>
      <c r="X28" s="294"/>
      <c r="Y28" s="283"/>
    </row>
    <row r="29" spans="2:25" x14ac:dyDescent="0.2">
      <c r="B29" s="281"/>
      <c r="C29" s="287" t="s">
        <v>203</v>
      </c>
      <c r="F29" s="289">
        <f>'65'!A257</f>
        <v>-154561</v>
      </c>
      <c r="G29" s="283"/>
      <c r="H29" s="45"/>
      <c r="I29" s="45" t="s">
        <v>227</v>
      </c>
      <c r="J29" s="45"/>
      <c r="K29" s="45"/>
      <c r="L29" s="286">
        <f>'65'!A256</f>
        <v>31524</v>
      </c>
      <c r="M29" s="283"/>
      <c r="N29" s="45"/>
      <c r="S29" s="283"/>
      <c r="U29" s="45" t="s">
        <v>277</v>
      </c>
      <c r="V29" s="45"/>
      <c r="W29" s="45"/>
      <c r="X29" s="289">
        <f>'65'!A233</f>
        <v>-315562</v>
      </c>
      <c r="Y29" s="283"/>
    </row>
    <row r="30" spans="2:25" x14ac:dyDescent="0.2">
      <c r="B30" s="281"/>
      <c r="C30" s="45"/>
      <c r="G30" s="283"/>
      <c r="H30" s="45"/>
      <c r="I30" s="287" t="s">
        <v>228</v>
      </c>
      <c r="L30" s="295">
        <f>IF(R33&gt;0,100*L29/R33,0)</f>
        <v>0.78810000000000002</v>
      </c>
      <c r="M30" s="283"/>
      <c r="N30" s="45"/>
      <c r="O30" s="45" t="s">
        <v>253</v>
      </c>
      <c r="P30" s="45"/>
      <c r="Q30" s="45"/>
      <c r="R30" s="286">
        <f>R21-R27-R28</f>
        <v>3845439</v>
      </c>
      <c r="S30" s="283"/>
      <c r="U30" s="287" t="s">
        <v>278</v>
      </c>
      <c r="V30" s="45"/>
      <c r="W30" s="45"/>
      <c r="X30" s="292">
        <f>'65'!A234</f>
        <v>1829005</v>
      </c>
      <c r="Y30" s="283"/>
    </row>
    <row r="31" spans="2:25" x14ac:dyDescent="0.2">
      <c r="B31" s="281"/>
      <c r="C31" s="45"/>
      <c r="G31" s="283"/>
      <c r="H31" s="45"/>
      <c r="M31" s="283"/>
      <c r="N31" s="45"/>
      <c r="S31" s="283"/>
      <c r="U31" s="287" t="s">
        <v>279</v>
      </c>
      <c r="X31" s="45">
        <f>R19-R26</f>
        <v>1513443</v>
      </c>
      <c r="Y31" s="283"/>
    </row>
    <row r="32" spans="2:25" x14ac:dyDescent="0.2">
      <c r="B32" s="281"/>
      <c r="G32" s="283"/>
      <c r="H32" s="45"/>
      <c r="I32" s="43" t="s">
        <v>229</v>
      </c>
      <c r="J32" s="45"/>
      <c r="K32" s="45"/>
      <c r="L32" s="288">
        <f>'65'!A230</f>
        <v>0</v>
      </c>
      <c r="M32" s="283"/>
      <c r="N32" s="45"/>
      <c r="O32" s="290" t="s">
        <v>254</v>
      </c>
      <c r="S32" s="283"/>
      <c r="U32" s="242" t="s">
        <v>280</v>
      </c>
      <c r="X32" s="289">
        <f>'65'!A270</f>
        <v>1150000</v>
      </c>
      <c r="Y32" s="296" t="s">
        <v>9</v>
      </c>
    </row>
    <row r="33" spans="1:25" x14ac:dyDescent="0.2">
      <c r="B33" s="281"/>
      <c r="C33" s="45" t="s">
        <v>204</v>
      </c>
      <c r="D33" s="45"/>
      <c r="E33" s="45"/>
      <c r="F33" s="286">
        <f>'65'!A219</f>
        <v>0</v>
      </c>
      <c r="G33" s="283"/>
      <c r="H33" s="45"/>
      <c r="I33" s="45" t="s">
        <v>230</v>
      </c>
      <c r="J33" s="45"/>
      <c r="K33" s="45"/>
      <c r="L33" s="286">
        <f>L29-L32</f>
        <v>31524</v>
      </c>
      <c r="M33" s="283"/>
      <c r="O33" s="43" t="s">
        <v>255</v>
      </c>
      <c r="P33" s="45"/>
      <c r="Q33" s="45"/>
      <c r="R33" s="286">
        <f>'65'!A275</f>
        <v>4000000</v>
      </c>
      <c r="S33" s="283"/>
      <c r="Y33" s="283"/>
    </row>
    <row r="34" spans="1:25" x14ac:dyDescent="0.2">
      <c r="B34" s="281"/>
      <c r="C34" s="45" t="s">
        <v>205</v>
      </c>
      <c r="D34" s="45"/>
      <c r="E34" s="45"/>
      <c r="F34" s="286">
        <f>'65'!A220</f>
        <v>1500</v>
      </c>
      <c r="G34" s="283"/>
      <c r="H34" s="45"/>
      <c r="I34" s="242" t="s">
        <v>231</v>
      </c>
      <c r="J34" s="45"/>
      <c r="K34" s="45"/>
      <c r="L34" s="288">
        <f>'65'!A260</f>
        <v>-186085</v>
      </c>
      <c r="M34" s="283"/>
      <c r="O34" s="242" t="s">
        <v>256</v>
      </c>
      <c r="R34" s="286">
        <f>'65'!A276</f>
        <v>0</v>
      </c>
      <c r="S34" s="283"/>
      <c r="U34" s="45" t="s">
        <v>281</v>
      </c>
      <c r="V34" s="45"/>
      <c r="W34" s="45"/>
      <c r="X34" s="289">
        <f>'65'!A238</f>
        <v>600000</v>
      </c>
      <c r="Y34" s="283"/>
    </row>
    <row r="35" spans="1:25" x14ac:dyDescent="0.2">
      <c r="B35" s="281"/>
      <c r="C35" s="45"/>
      <c r="G35" s="283"/>
      <c r="I35" s="242" t="s">
        <v>232</v>
      </c>
      <c r="L35" s="289">
        <f>L33+L34</f>
        <v>-154561</v>
      </c>
      <c r="M35" s="283"/>
      <c r="O35" s="45" t="s">
        <v>257</v>
      </c>
      <c r="P35" s="45"/>
      <c r="Q35" s="45"/>
      <c r="R35" s="288">
        <f>R36-R33-R34</f>
        <v>-154561</v>
      </c>
      <c r="S35" s="283"/>
      <c r="U35" s="45" t="s">
        <v>282</v>
      </c>
      <c r="V35" s="45"/>
      <c r="W35" s="45"/>
      <c r="X35" s="289">
        <f>'65'!A239</f>
        <v>1371000</v>
      </c>
      <c r="Y35" s="283"/>
    </row>
    <row r="36" spans="1:25" x14ac:dyDescent="0.2">
      <c r="B36" s="281"/>
      <c r="G36" s="283"/>
      <c r="M36" s="283"/>
      <c r="O36" s="45" t="s">
        <v>258</v>
      </c>
      <c r="P36" s="45"/>
      <c r="Q36" s="45"/>
      <c r="R36" s="286">
        <f>'65'!A277</f>
        <v>3845439</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2">
    <tabColor theme="5" tint="0.79998168889431442"/>
    <pageSetUpPr fitToPage="1"/>
  </sheetPr>
  <dimension ref="B1:Q122"/>
  <sheetViews>
    <sheetView workbookViewId="0">
      <selection activeCell="V36" sqref="V36"/>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'65'!$A1</f>
        <v>8</v>
      </c>
      <c r="K1" s="170" t="s">
        <v>81</v>
      </c>
      <c r="L1" s="172">
        <f>'65'!$A4</f>
        <v>2017</v>
      </c>
      <c r="M1" s="170" t="s">
        <v>289</v>
      </c>
      <c r="N1" s="517">
        <f>'65'!$A5</f>
        <v>3</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'65'!A505</f>
        <v>4798</v>
      </c>
      <c r="H5" s="187">
        <f>'65'!A506</f>
        <v>4298</v>
      </c>
      <c r="I5" s="187">
        <f>'65'!A504</f>
        <v>5975</v>
      </c>
      <c r="K5" s="182"/>
      <c r="M5" s="40"/>
      <c r="N5" s="179"/>
    </row>
    <row r="6" spans="2:14" ht="13.2" x14ac:dyDescent="0.3">
      <c r="B6" s="244"/>
      <c r="C6" s="259" t="s">
        <v>292</v>
      </c>
      <c r="D6" s="40"/>
      <c r="E6" s="40"/>
      <c r="F6" s="40"/>
      <c r="G6" s="301">
        <f>'65'!A507/10</f>
        <v>8.4</v>
      </c>
      <c r="H6" s="301">
        <f>'65'!A508/10</f>
        <v>4.4000000000000004</v>
      </c>
      <c r="I6" s="217"/>
      <c r="K6" s="182"/>
      <c r="L6" s="196"/>
      <c r="M6" s="40"/>
      <c r="N6" s="179"/>
    </row>
    <row r="7" spans="2:14" x14ac:dyDescent="0.2">
      <c r="B7" s="244"/>
      <c r="C7" s="182" t="s">
        <v>293</v>
      </c>
      <c r="D7" s="40"/>
      <c r="E7" s="40"/>
      <c r="F7" s="40"/>
      <c r="G7" s="187">
        <f>'65'!A509</f>
        <v>1753</v>
      </c>
      <c r="H7" s="187">
        <f>'65'!A510</f>
        <v>1501</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'65'!A501/10</f>
        <v>0.5</v>
      </c>
      <c r="H10" s="301">
        <f>'65'!A502/10</f>
        <v>1.1000000000000001</v>
      </c>
      <c r="I10" s="182" t="s">
        <v>302</v>
      </c>
      <c r="J10" s="182"/>
      <c r="K10" s="196"/>
      <c r="L10" s="302">
        <f>'65'!A511/100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'65'!A518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126</v>
      </c>
      <c r="H16" s="667">
        <f>INT(L10*2*G20/1000) + 75</f>
        <v>207</v>
      </c>
      <c r="I16" s="667">
        <f>INT(L10*3*G20/1000) + 120</f>
        <v>318</v>
      </c>
      <c r="K16" s="196"/>
      <c r="L16" s="196"/>
      <c r="M16" s="196"/>
      <c r="N16" s="179"/>
    </row>
    <row r="17" spans="2:14" x14ac:dyDescent="0.2">
      <c r="B17" s="244"/>
      <c r="C17" s="269" t="s">
        <v>299</v>
      </c>
      <c r="E17" s="40"/>
      <c r="F17" s="40"/>
      <c r="G17" s="667">
        <f>INT(L10*1.5*G20/1000) + 60</f>
        <v>159</v>
      </c>
      <c r="H17" s="667">
        <f>INT(L10*1.5*2*G20/1000) + 75</f>
        <v>273</v>
      </c>
      <c r="I17" s="667">
        <f>INT(L10*1.5*3*G20/1000) + 120</f>
        <v>417</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'65'!A515</f>
        <v>79567</v>
      </c>
      <c r="H20" s="304">
        <f>'65'!A516</f>
        <v>75192</v>
      </c>
      <c r="I20" s="304">
        <f>'65'!A517</f>
        <v>71611</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'65'!A681</f>
        <v>The International Monetory Fund is optimistic that</v>
      </c>
      <c r="G23" s="40"/>
      <c r="H23" s="40"/>
      <c r="I23" s="182"/>
      <c r="J23" s="40"/>
      <c r="K23" s="40"/>
      <c r="L23" s="40"/>
      <c r="M23" s="40"/>
      <c r="N23" s="179"/>
    </row>
    <row r="24" spans="2:14" ht="12" x14ac:dyDescent="0.25">
      <c r="B24" s="244"/>
      <c r="C24" s="247"/>
      <c r="F24" s="233" t="str">
        <f>'65'!A682</f>
        <v>the global economy has turned a corner. They think</v>
      </c>
      <c r="G24" s="40"/>
      <c r="H24" s="40"/>
      <c r="I24" s="182"/>
      <c r="J24" s="40"/>
      <c r="K24" s="40"/>
      <c r="L24" s="40"/>
      <c r="M24" s="40"/>
      <c r="N24" s="179"/>
    </row>
    <row r="25" spans="2:14" ht="12" x14ac:dyDescent="0.25">
      <c r="B25" s="244"/>
      <c r="C25" s="247"/>
      <c r="F25" s="233" t="str">
        <f>'65'!A683</f>
        <v>that growth is broad based with not only the eurozone</v>
      </c>
      <c r="G25" s="40"/>
      <c r="H25" s="40"/>
      <c r="I25" s="182"/>
      <c r="J25" s="40"/>
      <c r="K25" s="40"/>
      <c r="L25" s="40"/>
      <c r="M25" s="40"/>
      <c r="N25" s="179"/>
    </row>
    <row r="26" spans="2:14" x14ac:dyDescent="0.2">
      <c r="B26" s="244"/>
      <c r="C26" s="233"/>
      <c r="F26" s="233" t="str">
        <f>'65'!A684</f>
        <v>picking up but the global economy as well.</v>
      </c>
      <c r="G26" s="233"/>
      <c r="H26" s="233"/>
      <c r="I26" s="184"/>
      <c r="J26" s="233"/>
      <c r="K26" s="40"/>
      <c r="L26" s="40"/>
      <c r="M26" s="40"/>
      <c r="N26" s="179"/>
    </row>
    <row r="27" spans="2:14" x14ac:dyDescent="0.2">
      <c r="B27" s="244"/>
      <c r="C27" s="233"/>
      <c r="F27" s="233" t="str">
        <f>'65'!A685</f>
        <v xml:space="preserve"> </v>
      </c>
      <c r="G27" s="233"/>
      <c r="H27" s="233"/>
      <c r="I27" s="184"/>
      <c r="J27" s="233"/>
      <c r="K27" s="40"/>
      <c r="L27" s="40"/>
      <c r="M27" s="40"/>
      <c r="N27" s="179"/>
    </row>
    <row r="28" spans="2:14" x14ac:dyDescent="0.2">
      <c r="B28" s="244"/>
      <c r="C28" s="233"/>
      <c r="F28" s="233" t="str">
        <f>'65'!A686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'65'!A521</f>
        <v>1</v>
      </c>
      <c r="G33" s="309">
        <f>'65'!A541</f>
        <v>2</v>
      </c>
      <c r="H33" s="309">
        <f>'65'!A561</f>
        <v>3</v>
      </c>
      <c r="I33" s="309">
        <f>'65'!A581</f>
        <v>4</v>
      </c>
      <c r="J33" s="309">
        <f>'65'!A601</f>
        <v>5</v>
      </c>
      <c r="K33" s="309">
        <f>'65'!A621</f>
        <v>6</v>
      </c>
      <c r="L33" s="309">
        <f>'65'!A641</f>
        <v>7</v>
      </c>
      <c r="M33" s="309">
        <f>'65'!A661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'65'!A522/100</f>
        <v>95.4</v>
      </c>
      <c r="G35" s="310">
        <f>'65'!A542/100</f>
        <v>98.54</v>
      </c>
      <c r="H35" s="310">
        <f>'65'!A562/100</f>
        <v>97.86</v>
      </c>
      <c r="I35" s="310">
        <f>'65'!A582/100</f>
        <v>96.98</v>
      </c>
      <c r="J35" s="310">
        <f>'65'!A602/100</f>
        <v>100.3</v>
      </c>
      <c r="K35" s="310">
        <f>'65'!A622/100</f>
        <v>84.29</v>
      </c>
      <c r="L35" s="310">
        <f>'65'!A642/100</f>
        <v>98.53</v>
      </c>
      <c r="M35" s="310">
        <f>'65'!A662/100</f>
        <v>0</v>
      </c>
      <c r="N35" s="204"/>
    </row>
    <row r="36" spans="2:17" x14ac:dyDescent="0.2">
      <c r="B36" s="244"/>
      <c r="C36" s="40" t="s">
        <v>310</v>
      </c>
      <c r="D36" s="40"/>
      <c r="E36" s="40"/>
      <c r="F36" s="310">
        <f>'65'!A523</f>
        <v>3816000</v>
      </c>
      <c r="G36" s="310">
        <f>'65'!A543</f>
        <v>3941600</v>
      </c>
      <c r="H36" s="310">
        <f>'65'!A563</f>
        <v>3914400</v>
      </c>
      <c r="I36" s="310">
        <f>'65'!A583</f>
        <v>3879200</v>
      </c>
      <c r="J36" s="310">
        <f>'65'!A603</f>
        <v>4012000</v>
      </c>
      <c r="K36" s="310">
        <f>'65'!A623</f>
        <v>3371600</v>
      </c>
      <c r="L36" s="310">
        <f>'65'!A643</f>
        <v>3941200</v>
      </c>
      <c r="M36" s="310">
        <f>'65'!A663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'65'!A524</f>
        <v>0</v>
      </c>
      <c r="G38" s="310">
        <f>'65'!A544</f>
        <v>0</v>
      </c>
      <c r="H38" s="310">
        <f>'65'!A564</f>
        <v>0</v>
      </c>
      <c r="I38" s="310">
        <f>'65'!A584</f>
        <v>0</v>
      </c>
      <c r="J38" s="310">
        <f>'65'!A604</f>
        <v>0</v>
      </c>
      <c r="K38" s="310">
        <f>'65'!A624</f>
        <v>0</v>
      </c>
      <c r="L38" s="310">
        <f>'65'!A644</f>
        <v>0</v>
      </c>
      <c r="M38" s="310">
        <f>'65'!A664</f>
        <v>0</v>
      </c>
      <c r="N38" s="204"/>
    </row>
    <row r="39" spans="2:17" x14ac:dyDescent="0.2">
      <c r="B39" s="244"/>
      <c r="C39" s="40" t="s">
        <v>312</v>
      </c>
      <c r="D39" s="40"/>
      <c r="E39" s="40"/>
      <c r="F39" s="310">
        <f>'65'!A525</f>
        <v>3816000</v>
      </c>
      <c r="G39" s="310">
        <f>'65'!A545</f>
        <v>3941600</v>
      </c>
      <c r="H39" s="310">
        <f>'65'!A565</f>
        <v>3914400</v>
      </c>
      <c r="I39" s="310">
        <f>'65'!A585</f>
        <v>3879200</v>
      </c>
      <c r="J39" s="310">
        <f>'65'!A605</f>
        <v>4012000</v>
      </c>
      <c r="K39" s="310">
        <f>'65'!A625</f>
        <v>3371600</v>
      </c>
      <c r="L39" s="310">
        <f>'65'!A645</f>
        <v>3941200</v>
      </c>
      <c r="M39" s="310">
        <f>'65'!A665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'65'!A526</f>
        <v>325</v>
      </c>
      <c r="G43" s="310">
        <f>'65'!A546</f>
        <v>328</v>
      </c>
      <c r="H43" s="310">
        <f>'65'!A566</f>
        <v>325</v>
      </c>
      <c r="I43" s="310">
        <f>'65'!A586</f>
        <v>315</v>
      </c>
      <c r="J43" s="310">
        <f>'65'!A606</f>
        <v>325</v>
      </c>
      <c r="K43" s="310">
        <f>'65'!A626</f>
        <v>325</v>
      </c>
      <c r="L43" s="310">
        <f>'65'!A646</f>
        <v>335</v>
      </c>
      <c r="M43" s="310">
        <f>'65'!A666</f>
        <v>0</v>
      </c>
      <c r="N43" s="204"/>
    </row>
    <row r="44" spans="2:17" x14ac:dyDescent="0.2">
      <c r="B44" s="244"/>
      <c r="C44" s="40" t="s">
        <v>1</v>
      </c>
      <c r="D44" s="182" t="s">
        <v>19</v>
      </c>
      <c r="E44" s="40"/>
      <c r="F44" s="310">
        <f>'65'!A527</f>
        <v>335</v>
      </c>
      <c r="G44" s="310">
        <f>'65'!A547</f>
        <v>340</v>
      </c>
      <c r="H44" s="310">
        <f>'65'!A567</f>
        <v>335</v>
      </c>
      <c r="I44" s="310">
        <f>'65'!A587</f>
        <v>325</v>
      </c>
      <c r="J44" s="310">
        <f>'65'!A607</f>
        <v>335</v>
      </c>
      <c r="K44" s="310">
        <f>'65'!A627</f>
        <v>325</v>
      </c>
      <c r="L44" s="310">
        <f>'65'!A647</f>
        <v>345</v>
      </c>
      <c r="M44" s="310">
        <f>'65'!A667</f>
        <v>0</v>
      </c>
      <c r="N44" s="204"/>
    </row>
    <row r="45" spans="2:17" x14ac:dyDescent="0.2">
      <c r="B45" s="244"/>
      <c r="C45" s="40"/>
      <c r="D45" s="40" t="s">
        <v>18</v>
      </c>
      <c r="E45" s="40"/>
      <c r="F45" s="310">
        <f>'65'!A528</f>
        <v>375</v>
      </c>
      <c r="G45" s="310">
        <f>'65'!A548</f>
        <v>380</v>
      </c>
      <c r="H45" s="310">
        <f>'65'!A568</f>
        <v>355</v>
      </c>
      <c r="I45" s="310">
        <f>'65'!A588</f>
        <v>365</v>
      </c>
      <c r="J45" s="310">
        <f>'65'!A608</f>
        <v>355</v>
      </c>
      <c r="K45" s="310">
        <f>'65'!A628</f>
        <v>370</v>
      </c>
      <c r="L45" s="310">
        <f>'65'!A648</f>
        <v>375</v>
      </c>
      <c r="M45" s="310">
        <f>'65'!A668</f>
        <v>0</v>
      </c>
      <c r="N45" s="204"/>
    </row>
    <row r="46" spans="2:17" x14ac:dyDescent="0.2">
      <c r="B46" s="244"/>
      <c r="C46" s="40" t="s">
        <v>316</v>
      </c>
      <c r="D46" s="40"/>
      <c r="E46" s="40"/>
      <c r="F46" s="310">
        <f>'65'!A529</f>
        <v>500</v>
      </c>
      <c r="G46" s="310">
        <f>'65'!A549</f>
        <v>490</v>
      </c>
      <c r="H46" s="310">
        <f>'65'!A569</f>
        <v>490</v>
      </c>
      <c r="I46" s="310">
        <f>'65'!A589</f>
        <v>490</v>
      </c>
      <c r="J46" s="310">
        <f>'65'!A609</f>
        <v>490</v>
      </c>
      <c r="K46" s="310">
        <f>'65'!A629</f>
        <v>490</v>
      </c>
      <c r="L46" s="310">
        <f>'65'!A649</f>
        <v>490</v>
      </c>
      <c r="M46" s="310">
        <f>'65'!A669</f>
        <v>0</v>
      </c>
      <c r="N46" s="204"/>
    </row>
    <row r="47" spans="2:17" x14ac:dyDescent="0.2">
      <c r="B47" s="244"/>
      <c r="C47" s="40" t="s">
        <v>1</v>
      </c>
      <c r="D47" s="182" t="s">
        <v>19</v>
      </c>
      <c r="E47" s="40"/>
      <c r="F47" s="310">
        <f>'65'!A530</f>
        <v>500</v>
      </c>
      <c r="G47" s="310">
        <f>'65'!A550</f>
        <v>490</v>
      </c>
      <c r="H47" s="310">
        <f>'65'!A570</f>
        <v>490</v>
      </c>
      <c r="I47" s="310">
        <f>'65'!A590</f>
        <v>490</v>
      </c>
      <c r="J47" s="310">
        <f>'65'!A610</f>
        <v>490</v>
      </c>
      <c r="K47" s="310">
        <f>'65'!A630</f>
        <v>490</v>
      </c>
      <c r="L47" s="310">
        <f>'65'!A650</f>
        <v>490</v>
      </c>
      <c r="M47" s="310">
        <f>'65'!A670</f>
        <v>0</v>
      </c>
      <c r="N47" s="204"/>
    </row>
    <row r="48" spans="2:17" x14ac:dyDescent="0.2">
      <c r="B48" s="244"/>
      <c r="C48" s="40"/>
      <c r="D48" s="40" t="s">
        <v>20</v>
      </c>
      <c r="E48" s="40"/>
      <c r="F48" s="310">
        <f>'65'!A531</f>
        <v>600</v>
      </c>
      <c r="G48" s="310">
        <f>'65'!A551</f>
        <v>590</v>
      </c>
      <c r="H48" s="310">
        <f>'65'!A571</f>
        <v>570</v>
      </c>
      <c r="I48" s="310">
        <f>'65'!A591</f>
        <v>590</v>
      </c>
      <c r="J48" s="310">
        <f>'65'!A611</f>
        <v>550</v>
      </c>
      <c r="K48" s="310">
        <f>'65'!A631</f>
        <v>590</v>
      </c>
      <c r="L48" s="310">
        <f>'65'!A651</f>
        <v>590</v>
      </c>
      <c r="M48" s="310">
        <f>'65'!A671</f>
        <v>0</v>
      </c>
      <c r="N48" s="204"/>
    </row>
    <row r="49" spans="2:14" x14ac:dyDescent="0.2">
      <c r="B49" s="244"/>
      <c r="C49" s="40" t="s">
        <v>317</v>
      </c>
      <c r="D49" s="40"/>
      <c r="E49" s="40"/>
      <c r="F49" s="310">
        <f>'65'!A532</f>
        <v>690</v>
      </c>
      <c r="G49" s="310">
        <f>'65'!A552</f>
        <v>700</v>
      </c>
      <c r="H49" s="310">
        <f>'65'!A572</f>
        <v>700</v>
      </c>
      <c r="I49" s="310">
        <f>'65'!A592</f>
        <v>710</v>
      </c>
      <c r="J49" s="310">
        <f>'65'!A612</f>
        <v>700</v>
      </c>
      <c r="K49" s="310">
        <f>'65'!A632</f>
        <v>700</v>
      </c>
      <c r="L49" s="310">
        <f>'65'!A652</f>
        <v>700</v>
      </c>
      <c r="M49" s="310">
        <f>'65'!A672</f>
        <v>0</v>
      </c>
      <c r="N49" s="204"/>
    </row>
    <row r="50" spans="2:14" x14ac:dyDescent="0.2">
      <c r="B50" s="244"/>
      <c r="C50" s="40" t="s">
        <v>1</v>
      </c>
      <c r="D50" s="182" t="s">
        <v>19</v>
      </c>
      <c r="E50" s="40"/>
      <c r="F50" s="310">
        <f>'65'!A533</f>
        <v>700</v>
      </c>
      <c r="G50" s="310">
        <f>'65'!A553</f>
        <v>730</v>
      </c>
      <c r="H50" s="310">
        <f>'65'!A573</f>
        <v>725</v>
      </c>
      <c r="I50" s="310">
        <f>'65'!A593</f>
        <v>735</v>
      </c>
      <c r="J50" s="310">
        <f>'65'!A613</f>
        <v>725</v>
      </c>
      <c r="K50" s="310">
        <f>'65'!A633</f>
        <v>700</v>
      </c>
      <c r="L50" s="310">
        <f>'65'!A653</f>
        <v>725</v>
      </c>
      <c r="M50" s="310">
        <f>'65'!A673</f>
        <v>0</v>
      </c>
      <c r="N50" s="204"/>
    </row>
    <row r="51" spans="2:14" x14ac:dyDescent="0.2">
      <c r="B51" s="244"/>
      <c r="C51" s="40"/>
      <c r="D51" s="40" t="s">
        <v>18</v>
      </c>
      <c r="E51" s="40"/>
      <c r="F51" s="310">
        <f>'65'!A534</f>
        <v>800</v>
      </c>
      <c r="G51" s="310">
        <f>'65'!A554</f>
        <v>850</v>
      </c>
      <c r="H51" s="310">
        <f>'65'!A574</f>
        <v>830</v>
      </c>
      <c r="I51" s="310">
        <f>'65'!A594</f>
        <v>875</v>
      </c>
      <c r="J51" s="310">
        <f>'65'!A614</f>
        <v>780</v>
      </c>
      <c r="K51" s="310">
        <f>'65'!A634</f>
        <v>850</v>
      </c>
      <c r="L51" s="310">
        <f>'65'!A654</f>
        <v>850</v>
      </c>
      <c r="M51" s="310">
        <f>'65'!A674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'65'!A535</f>
        <v>53</v>
      </c>
      <c r="G53" s="310">
        <f>'65'!A555</f>
        <v>53</v>
      </c>
      <c r="H53" s="310">
        <f>'65'!A575</f>
        <v>53</v>
      </c>
      <c r="I53" s="310">
        <f>'65'!A595</f>
        <v>53</v>
      </c>
      <c r="J53" s="310">
        <f>'65'!A615</f>
        <v>53</v>
      </c>
      <c r="K53" s="310">
        <f>'65'!A635</f>
        <v>53</v>
      </c>
      <c r="L53" s="310">
        <f>'65'!A655</f>
        <v>53</v>
      </c>
      <c r="M53" s="310">
        <f>'65'!A675</f>
        <v>0</v>
      </c>
      <c r="N53" s="204"/>
    </row>
    <row r="54" spans="2:14" ht="13.2" x14ac:dyDescent="0.3">
      <c r="B54" s="244"/>
      <c r="C54" s="256" t="s">
        <v>319</v>
      </c>
      <c r="D54" s="40"/>
      <c r="E54" s="40"/>
      <c r="F54" s="310">
        <f>'65'!A536</f>
        <v>1200</v>
      </c>
      <c r="G54" s="310">
        <f>'65'!A556</f>
        <v>1220</v>
      </c>
      <c r="H54" s="310">
        <f>'65'!A576</f>
        <v>1200</v>
      </c>
      <c r="I54" s="310">
        <f>'65'!A596</f>
        <v>1200</v>
      </c>
      <c r="J54" s="310">
        <f>'65'!A616</f>
        <v>1250</v>
      </c>
      <c r="K54" s="310">
        <f>'65'!A636</f>
        <v>1210</v>
      </c>
      <c r="L54" s="310">
        <f>'65'!A656</f>
        <v>1250</v>
      </c>
      <c r="M54" s="310">
        <f>'65'!A676</f>
        <v>0</v>
      </c>
      <c r="N54" s="204"/>
    </row>
    <row r="55" spans="2:14" x14ac:dyDescent="0.2">
      <c r="B55" s="244"/>
      <c r="C55" s="40" t="s">
        <v>320</v>
      </c>
      <c r="D55" s="40"/>
      <c r="E55" s="40"/>
      <c r="F55" s="310">
        <f>'65'!A537</f>
        <v>4</v>
      </c>
      <c r="G55" s="310">
        <f>'65'!A557</f>
        <v>4</v>
      </c>
      <c r="H55" s="310">
        <f>'65'!A577</f>
        <v>4</v>
      </c>
      <c r="I55" s="310">
        <f>'65'!A597</f>
        <v>4</v>
      </c>
      <c r="J55" s="310">
        <f>'65'!A617</f>
        <v>4</v>
      </c>
      <c r="K55" s="310">
        <f>'65'!A637</f>
        <v>4</v>
      </c>
      <c r="L55" s="310">
        <f>'65'!A657</f>
        <v>4</v>
      </c>
      <c r="M55" s="310">
        <f>'65'!A677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'65'!$A59</f>
        <v>0</v>
      </c>
      <c r="K61" s="170" t="s">
        <v>81</v>
      </c>
      <c r="L61" s="172">
        <f>'65'!$A62</f>
        <v>10</v>
      </c>
      <c r="M61" s="170" t="s">
        <v>289</v>
      </c>
      <c r="N61" s="517">
        <f>'65'!$A63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'65'!A701</f>
        <v>1</v>
      </c>
      <c r="G65" s="319">
        <f>'65'!A721</f>
        <v>2</v>
      </c>
      <c r="H65" s="319">
        <f>'65'!A741</f>
        <v>3</v>
      </c>
      <c r="I65" s="319">
        <f>'65'!A761</f>
        <v>4</v>
      </c>
      <c r="J65" s="319">
        <f>'65'!A781</f>
        <v>5</v>
      </c>
      <c r="K65" s="319">
        <f>'65'!A801</f>
        <v>6</v>
      </c>
      <c r="L65" s="319">
        <f>'65'!A821</f>
        <v>7</v>
      </c>
      <c r="M65" s="319" t="str">
        <f>'65'!A841</f>
        <v xml:space="preserve"> </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'65'!A702</f>
        <v>1979100</v>
      </c>
      <c r="G67" s="310">
        <f>'65'!A722</f>
        <v>1661600</v>
      </c>
      <c r="H67" s="310">
        <f>'65'!A742</f>
        <v>1636600</v>
      </c>
      <c r="I67" s="310">
        <f>'65'!A762</f>
        <v>1344100</v>
      </c>
      <c r="J67" s="310">
        <f>'65'!A782</f>
        <v>1344100</v>
      </c>
      <c r="K67" s="310">
        <f>'65'!A802</f>
        <v>2029100</v>
      </c>
      <c r="L67" s="310">
        <f>'65'!A822</f>
        <v>1636600</v>
      </c>
      <c r="M67" s="310" t="str">
        <f>'65'!A842</f>
        <v xml:space="preserve"> </v>
      </c>
      <c r="N67" s="179"/>
    </row>
    <row r="68" spans="2:14" x14ac:dyDescent="0.2">
      <c r="B68" s="244"/>
      <c r="C68" s="40" t="s">
        <v>326</v>
      </c>
      <c r="D68" s="40"/>
      <c r="E68" s="40"/>
      <c r="F68" s="310">
        <f>'65'!A703</f>
        <v>195962</v>
      </c>
      <c r="G68" s="310">
        <f>'65'!A723</f>
        <v>307487</v>
      </c>
      <c r="H68" s="310">
        <f>'65'!A743</f>
        <v>274762</v>
      </c>
      <c r="I68" s="310">
        <f>'65'!A763</f>
        <v>508252</v>
      </c>
      <c r="J68" s="310">
        <f>'65'!A783</f>
        <v>393717</v>
      </c>
      <c r="K68" s="310">
        <f>'65'!A803</f>
        <v>755327</v>
      </c>
      <c r="L68" s="310">
        <f>'65'!A823</f>
        <v>101668</v>
      </c>
      <c r="M68" s="310" t="str">
        <f>'65'!A843</f>
        <v xml:space="preserve"> </v>
      </c>
      <c r="N68" s="179"/>
    </row>
    <row r="69" spans="2:14" x14ac:dyDescent="0.2">
      <c r="B69" s="244"/>
      <c r="C69" s="40" t="s">
        <v>327</v>
      </c>
      <c r="D69" s="40"/>
      <c r="E69" s="40"/>
      <c r="F69" s="310">
        <f>'65'!A704</f>
        <v>796102</v>
      </c>
      <c r="G69" s="310">
        <f>'65'!A724</f>
        <v>795131</v>
      </c>
      <c r="H69" s="310">
        <f>'65'!A744</f>
        <v>852808</v>
      </c>
      <c r="I69" s="310">
        <f>'65'!A764</f>
        <v>794571</v>
      </c>
      <c r="J69" s="310">
        <f>'65'!A784</f>
        <v>801570</v>
      </c>
      <c r="K69" s="310">
        <f>'65'!A804</f>
        <v>655811</v>
      </c>
      <c r="L69" s="310">
        <f>'65'!A824</f>
        <v>861172</v>
      </c>
      <c r="M69" s="310" t="str">
        <f>'65'!A844</f>
        <v xml:space="preserve"> </v>
      </c>
      <c r="N69" s="179"/>
    </row>
    <row r="70" spans="2:14" x14ac:dyDescent="0.2">
      <c r="B70" s="244"/>
      <c r="C70" s="40" t="s">
        <v>328</v>
      </c>
      <c r="D70" s="40"/>
      <c r="E70" s="40"/>
      <c r="F70" s="310">
        <f>'65'!A705</f>
        <v>1243934</v>
      </c>
      <c r="G70" s="310">
        <f>'65'!A725</f>
        <v>1513443</v>
      </c>
      <c r="H70" s="310">
        <f>'65'!A745</f>
        <v>1534565</v>
      </c>
      <c r="I70" s="310">
        <f>'65'!A765</f>
        <v>1760458</v>
      </c>
      <c r="J70" s="310">
        <f>'65'!A785</f>
        <v>1828871</v>
      </c>
      <c r="K70" s="310">
        <f>'65'!A805</f>
        <v>1150000</v>
      </c>
      <c r="L70" s="310">
        <f>'65'!A825</f>
        <v>1611098</v>
      </c>
      <c r="M70" s="310" t="str">
        <f>'65'!A845</f>
        <v xml:space="preserve"> </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'65'!A708</f>
        <v>0</v>
      </c>
      <c r="G73" s="310">
        <f>'65'!A728</f>
        <v>0</v>
      </c>
      <c r="H73" s="310">
        <f>'65'!A748</f>
        <v>0</v>
      </c>
      <c r="I73" s="310">
        <f>'65'!A768</f>
        <v>0</v>
      </c>
      <c r="J73" s="310">
        <f>'65'!A788</f>
        <v>0</v>
      </c>
      <c r="K73" s="310">
        <f>'65'!A808</f>
        <v>0</v>
      </c>
      <c r="L73" s="310">
        <f>'65'!A828</f>
        <v>0</v>
      </c>
      <c r="M73" s="310" t="str">
        <f>'65'!A848</f>
        <v xml:space="preserve"> </v>
      </c>
      <c r="N73" s="179"/>
    </row>
    <row r="74" spans="2:14" x14ac:dyDescent="0.2">
      <c r="B74" s="244"/>
      <c r="C74" s="321" t="s">
        <v>331</v>
      </c>
      <c r="D74" s="40"/>
      <c r="E74" s="40"/>
      <c r="F74" s="310">
        <f>'65'!A709</f>
        <v>360194</v>
      </c>
      <c r="G74" s="310">
        <f>'65'!A729</f>
        <v>432222</v>
      </c>
      <c r="H74" s="310">
        <f>'65'!A749</f>
        <v>430899</v>
      </c>
      <c r="I74" s="310">
        <f>'65'!A769</f>
        <v>566599</v>
      </c>
      <c r="J74" s="310">
        <f>'65'!A789</f>
        <v>523530</v>
      </c>
      <c r="K74" s="310">
        <f>'65'!A809</f>
        <v>683816</v>
      </c>
      <c r="L74" s="310">
        <f>'65'!A829</f>
        <v>330376</v>
      </c>
      <c r="M74" s="310" t="str">
        <f>'65'!A849</f>
        <v xml:space="preserve"> </v>
      </c>
      <c r="N74" s="179"/>
    </row>
    <row r="75" spans="2:14" x14ac:dyDescent="0.2">
      <c r="B75" s="244"/>
      <c r="C75" s="40" t="s">
        <v>332</v>
      </c>
      <c r="D75" s="40"/>
      <c r="E75" s="40"/>
      <c r="F75" s="310">
        <f>'65'!A710</f>
        <v>0</v>
      </c>
      <c r="G75" s="310">
        <f>'65'!A730</f>
        <v>0</v>
      </c>
      <c r="H75" s="310">
        <f>'65'!A750</f>
        <v>0</v>
      </c>
      <c r="I75" s="310">
        <f>'65'!A770</f>
        <v>0</v>
      </c>
      <c r="J75" s="310">
        <f>'65'!A790</f>
        <v>0</v>
      </c>
      <c r="K75" s="310">
        <f>'65'!A810</f>
        <v>420131</v>
      </c>
      <c r="L75" s="310">
        <f>'65'!A830</f>
        <v>0</v>
      </c>
      <c r="M75" s="310" t="str">
        <f>'65'!A850</f>
        <v xml:space="preserve"> </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'65'!A712</f>
        <v>0</v>
      </c>
      <c r="G77" s="310">
        <f>'65'!A732</f>
        <v>0</v>
      </c>
      <c r="H77" s="310">
        <f>'65'!A752</f>
        <v>0</v>
      </c>
      <c r="I77" s="310">
        <f>'65'!A772</f>
        <v>0</v>
      </c>
      <c r="J77" s="310">
        <f>'65'!A792</f>
        <v>0</v>
      </c>
      <c r="K77" s="310">
        <f>'65'!A812</f>
        <v>0</v>
      </c>
      <c r="L77" s="310">
        <f>'65'!A832</f>
        <v>0</v>
      </c>
      <c r="M77" s="310" t="str">
        <f>'65'!A852</f>
        <v xml:space="preserve"> </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'65'!A714</f>
        <v>4000000</v>
      </c>
      <c r="G80" s="310">
        <f>'65'!A734</f>
        <v>4000000</v>
      </c>
      <c r="H80" s="310">
        <f>'65'!A754</f>
        <v>4000000</v>
      </c>
      <c r="I80" s="310">
        <f>'65'!A774</f>
        <v>4000000</v>
      </c>
      <c r="J80" s="310">
        <f>'65'!A794</f>
        <v>4000000</v>
      </c>
      <c r="K80" s="310">
        <f>'65'!A814</f>
        <v>4000000</v>
      </c>
      <c r="L80" s="310">
        <f>'65'!A834</f>
        <v>4000000</v>
      </c>
      <c r="M80" s="310" t="str">
        <f>'65'!A854</f>
        <v xml:space="preserve"> </v>
      </c>
      <c r="N80" s="179"/>
    </row>
    <row r="81" spans="2:14" x14ac:dyDescent="0.2">
      <c r="B81" s="244"/>
      <c r="C81" s="40" t="s">
        <v>336</v>
      </c>
      <c r="D81" s="40"/>
      <c r="E81" s="40"/>
      <c r="F81" s="310">
        <f>'65'!A715</f>
        <v>0</v>
      </c>
      <c r="G81" s="310">
        <f>'65'!A735</f>
        <v>0</v>
      </c>
      <c r="H81" s="310">
        <f>'65'!A755</f>
        <v>0</v>
      </c>
      <c r="I81" s="310">
        <f>'65'!A775</f>
        <v>0</v>
      </c>
      <c r="J81" s="310">
        <f>'65'!A795</f>
        <v>0</v>
      </c>
      <c r="K81" s="310">
        <f>'65'!A815</f>
        <v>0</v>
      </c>
      <c r="L81" s="310">
        <f>'65'!A835</f>
        <v>0</v>
      </c>
      <c r="M81" s="310" t="str">
        <f>'65'!A855</f>
        <v xml:space="preserve"> </v>
      </c>
      <c r="N81" s="179"/>
    </row>
    <row r="82" spans="2:14" x14ac:dyDescent="0.2">
      <c r="B82" s="244"/>
      <c r="C82" s="40" t="s">
        <v>337</v>
      </c>
      <c r="D82" s="40"/>
      <c r="E82" s="40"/>
      <c r="F82" s="310">
        <f>'65'!A716</f>
        <v>-145096</v>
      </c>
      <c r="G82" s="310">
        <f>'65'!A736</f>
        <v>-154561</v>
      </c>
      <c r="H82" s="310">
        <f>'65'!A756</f>
        <v>-132164</v>
      </c>
      <c r="I82" s="310">
        <f>'65'!A776</f>
        <v>-159218</v>
      </c>
      <c r="J82" s="310">
        <f>'65'!A796</f>
        <v>-155272</v>
      </c>
      <c r="K82" s="310">
        <f>'65'!A816</f>
        <v>-513709</v>
      </c>
      <c r="L82" s="310">
        <f>'65'!A836</f>
        <v>-119838</v>
      </c>
      <c r="M82" s="310" t="str">
        <f>'65'!A856</f>
        <v xml:space="preserve"> </v>
      </c>
      <c r="N82" s="179"/>
    </row>
    <row r="83" spans="2:14" ht="12" x14ac:dyDescent="0.25">
      <c r="B83" s="244"/>
      <c r="C83" s="247" t="s">
        <v>338</v>
      </c>
      <c r="D83" s="40"/>
      <c r="E83" s="40"/>
      <c r="F83" s="310">
        <f t="shared" ref="F83:M83" si="0">SUM(F80:F82)</f>
        <v>3854904</v>
      </c>
      <c r="G83" s="310">
        <f t="shared" si="0"/>
        <v>3845439</v>
      </c>
      <c r="H83" s="310">
        <f t="shared" si="0"/>
        <v>3867836</v>
      </c>
      <c r="I83" s="310">
        <f t="shared" si="0"/>
        <v>3840782</v>
      </c>
      <c r="J83" s="310">
        <f t="shared" si="0"/>
        <v>3844728</v>
      </c>
      <c r="K83" s="310">
        <f t="shared" si="0"/>
        <v>3486291</v>
      </c>
      <c r="L83" s="310">
        <f t="shared" si="0"/>
        <v>3880162</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878" t="str">
        <f>'65'!A330</f>
        <v xml:space="preserve"> </v>
      </c>
      <c r="N88" s="179"/>
    </row>
    <row r="89" spans="2:14" ht="12" x14ac:dyDescent="0.25">
      <c r="B89" s="244"/>
      <c r="C89" s="40"/>
      <c r="D89" s="175" t="s">
        <v>340</v>
      </c>
      <c r="F89" s="309">
        <f>'65'!A331</f>
        <v>1</v>
      </c>
      <c r="G89" s="309">
        <f>'65'!A341</f>
        <v>2</v>
      </c>
      <c r="H89" s="309">
        <f>'65'!A351</f>
        <v>3</v>
      </c>
      <c r="I89" s="309">
        <f>'65'!A361</f>
        <v>4</v>
      </c>
      <c r="J89" s="309">
        <f>'65'!A371</f>
        <v>5</v>
      </c>
      <c r="K89" s="309">
        <f>'65'!A381</f>
        <v>6</v>
      </c>
      <c r="L89" s="309">
        <f>'65'!A391</f>
        <v>7</v>
      </c>
      <c r="M89" s="309">
        <f>'65'!A401</f>
        <v>8</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'65'!A332</f>
        <v xml:space="preserve">  4.3</v>
      </c>
      <c r="G91" s="213" t="str">
        <f>'65'!A342</f>
        <v xml:space="preserve">  4.5</v>
      </c>
      <c r="H91" s="213" t="str">
        <f>'65'!A352</f>
        <v xml:space="preserve">  4.7</v>
      </c>
      <c r="I91" s="213" t="str">
        <f>'65'!A362</f>
        <v xml:space="preserve">  4.8</v>
      </c>
      <c r="J91" s="213" t="str">
        <f>'65'!A372</f>
        <v xml:space="preserve">  4.4</v>
      </c>
      <c r="K91" s="213" t="str">
        <f>'65'!A382</f>
        <v xml:space="preserve">  3.7</v>
      </c>
      <c r="L91" s="213" t="str">
        <f>'65'!A392</f>
        <v xml:space="preserve">  4.7</v>
      </c>
      <c r="M91" s="213">
        <f>'65'!A402</f>
        <v>0</v>
      </c>
      <c r="N91" s="179"/>
    </row>
    <row r="92" spans="2:14" x14ac:dyDescent="0.2">
      <c r="B92" s="244"/>
      <c r="C92" s="40"/>
      <c r="D92" s="182" t="s">
        <v>23</v>
      </c>
      <c r="E92" s="40"/>
      <c r="F92" s="213" t="str">
        <f>'65'!A333</f>
        <v xml:space="preserve">  1.2</v>
      </c>
      <c r="G92" s="213" t="str">
        <f>'65'!A343</f>
        <v xml:space="preserve">  1.2</v>
      </c>
      <c r="H92" s="213" t="str">
        <f>'65'!A353</f>
        <v xml:space="preserve">  1.3</v>
      </c>
      <c r="I92" s="213" t="str">
        <f>'65'!A363</f>
        <v xml:space="preserve">  1.3</v>
      </c>
      <c r="J92" s="213" t="str">
        <f>'65'!A373</f>
        <v xml:space="preserve">  1.3</v>
      </c>
      <c r="K92" s="213" t="str">
        <f>'65'!A383</f>
        <v xml:space="preserve">  1.1</v>
      </c>
      <c r="L92" s="213" t="str">
        <f>'65'!A393</f>
        <v xml:space="preserve">  1.1</v>
      </c>
      <c r="M92" s="213">
        <f>'65'!A403</f>
        <v>0</v>
      </c>
      <c r="N92" s="179"/>
    </row>
    <row r="93" spans="2:14" x14ac:dyDescent="0.2">
      <c r="B93" s="244"/>
      <c r="C93" s="40"/>
      <c r="D93" s="182" t="s">
        <v>24</v>
      </c>
      <c r="E93" s="40"/>
      <c r="F93" s="213" t="str">
        <f>'65'!A334</f>
        <v xml:space="preserve">  3.2</v>
      </c>
      <c r="G93" s="213" t="str">
        <f>'65'!A344</f>
        <v xml:space="preserve">  3.2</v>
      </c>
      <c r="H93" s="213" t="str">
        <f>'65'!A354</f>
        <v xml:space="preserve">  3.1</v>
      </c>
      <c r="I93" s="213" t="str">
        <f>'65'!A364</f>
        <v xml:space="preserve">  3.8</v>
      </c>
      <c r="J93" s="213" t="str">
        <f>'65'!A374</f>
        <v xml:space="preserve">  4.4</v>
      </c>
      <c r="K93" s="213" t="str">
        <f>'65'!A384</f>
        <v xml:space="preserve">  2.4</v>
      </c>
      <c r="L93" s="213" t="str">
        <f>'65'!A394</f>
        <v xml:space="preserve">  3.4</v>
      </c>
      <c r="M93" s="213">
        <f>'65'!A404</f>
        <v>0</v>
      </c>
      <c r="N93" s="179"/>
    </row>
    <row r="94" spans="2:14" x14ac:dyDescent="0.2">
      <c r="B94" s="244"/>
      <c r="C94" s="40" t="s">
        <v>343</v>
      </c>
      <c r="D94" s="40"/>
      <c r="E94" s="40"/>
      <c r="F94" s="213" t="str">
        <f>'65'!A335</f>
        <v xml:space="preserve">  5.8</v>
      </c>
      <c r="G94" s="213" t="str">
        <f>'65'!A345</f>
        <v xml:space="preserve">  5.8</v>
      </c>
      <c r="H94" s="213" t="str">
        <f>'65'!A355</f>
        <v xml:space="preserve">  6.1</v>
      </c>
      <c r="I94" s="213" t="str">
        <f>'65'!A365</f>
        <v xml:space="preserve">  5.7</v>
      </c>
      <c r="J94" s="213" t="str">
        <f>'65'!A375</f>
        <v xml:space="preserve">  5.5</v>
      </c>
      <c r="K94" s="213" t="str">
        <f>'65'!A385</f>
        <v xml:space="preserve">  4.2</v>
      </c>
      <c r="L94" s="213" t="str">
        <f>'65'!A395</f>
        <v xml:space="preserve">  6.0</v>
      </c>
      <c r="M94" s="213">
        <f>'65'!A405</f>
        <v>0</v>
      </c>
      <c r="N94" s="179"/>
    </row>
    <row r="95" spans="2:14" x14ac:dyDescent="0.2">
      <c r="B95" s="244"/>
      <c r="C95" s="40"/>
      <c r="D95" s="182" t="s">
        <v>23</v>
      </c>
      <c r="E95" s="40"/>
      <c r="F95" s="213" t="str">
        <f>'65'!A336</f>
        <v xml:space="preserve">  1.9</v>
      </c>
      <c r="G95" s="213" t="str">
        <f>'65'!A346</f>
        <v xml:space="preserve">  2.2</v>
      </c>
      <c r="H95" s="213" t="str">
        <f>'65'!A356</f>
        <v xml:space="preserve">  2.2</v>
      </c>
      <c r="I95" s="213" t="str">
        <f>'65'!A366</f>
        <v xml:space="preserve">  2.0</v>
      </c>
      <c r="J95" s="213" t="str">
        <f>'65'!A376</f>
        <v xml:space="preserve">  2.2</v>
      </c>
      <c r="K95" s="213" t="str">
        <f>'65'!A386</f>
        <v xml:space="preserve">  2.0</v>
      </c>
      <c r="L95" s="213" t="str">
        <f>'65'!A396</f>
        <v xml:space="preserve">  2.0</v>
      </c>
      <c r="M95" s="213">
        <f>'65'!A406</f>
        <v>0</v>
      </c>
      <c r="N95" s="179"/>
    </row>
    <row r="96" spans="2:14" x14ac:dyDescent="0.2">
      <c r="B96" s="244"/>
      <c r="C96" s="40"/>
      <c r="D96" s="224" t="s">
        <v>25</v>
      </c>
      <c r="E96" s="40"/>
      <c r="F96" s="213" t="str">
        <f>'65'!A337</f>
        <v xml:space="preserve">  3.6</v>
      </c>
      <c r="G96" s="213" t="str">
        <f>'65'!A347</f>
        <v xml:space="preserve">  3.6</v>
      </c>
      <c r="H96" s="213" t="str">
        <f>'65'!A357</f>
        <v xml:space="preserve">  3.8</v>
      </c>
      <c r="I96" s="213" t="str">
        <f>'65'!A367</f>
        <v xml:space="preserve">  4.6</v>
      </c>
      <c r="J96" s="213" t="str">
        <f>'65'!A377</f>
        <v xml:space="preserve">  6.2</v>
      </c>
      <c r="K96" s="213" t="str">
        <f>'65'!A387</f>
        <v xml:space="preserve">  2.9</v>
      </c>
      <c r="L96" s="213" t="str">
        <f>'65'!A397</f>
        <v xml:space="preserve">  3.7</v>
      </c>
      <c r="M96" s="213">
        <f>'65'!A407</f>
        <v>0</v>
      </c>
      <c r="N96" s="179"/>
    </row>
    <row r="97" spans="2:14" x14ac:dyDescent="0.2">
      <c r="B97" s="244"/>
      <c r="C97" s="40" t="s">
        <v>344</v>
      </c>
      <c r="D97" s="40"/>
      <c r="E97" s="40"/>
      <c r="F97" s="213" t="str">
        <f>'65'!A338</f>
        <v xml:space="preserve">  7.2</v>
      </c>
      <c r="G97" s="213" t="str">
        <f>'65'!A348</f>
        <v xml:space="preserve">  7.2</v>
      </c>
      <c r="H97" s="213" t="str">
        <f>'65'!A358</f>
        <v xml:space="preserve">  8.7</v>
      </c>
      <c r="I97" s="213" t="str">
        <f>'65'!A368</f>
        <v xml:space="preserve">  7.0</v>
      </c>
      <c r="J97" s="213" t="str">
        <f>'65'!A378</f>
        <v xml:space="preserve">  7.6</v>
      </c>
      <c r="K97" s="213" t="str">
        <f>'65'!A388</f>
        <v xml:space="preserve">  5.4</v>
      </c>
      <c r="L97" s="213" t="str">
        <f>'65'!A398</f>
        <v xml:space="preserve">  8.8</v>
      </c>
      <c r="M97" s="213">
        <f>'65'!A408</f>
        <v>0</v>
      </c>
      <c r="N97" s="179"/>
    </row>
    <row r="98" spans="2:14" x14ac:dyDescent="0.2">
      <c r="B98" s="244"/>
      <c r="C98" s="40"/>
      <c r="D98" s="182" t="s">
        <v>23</v>
      </c>
      <c r="E98" s="40"/>
      <c r="F98" s="213" t="str">
        <f>'65'!A339</f>
        <v xml:space="preserve">  3.1</v>
      </c>
      <c r="G98" s="213" t="str">
        <f>'65'!A349</f>
        <v xml:space="preserve">  2.9</v>
      </c>
      <c r="H98" s="213" t="str">
        <f>'65'!A359</f>
        <v xml:space="preserve">  3.0</v>
      </c>
      <c r="I98" s="213" t="str">
        <f>'65'!A369</f>
        <v xml:space="preserve">  2.9</v>
      </c>
      <c r="J98" s="213" t="str">
        <f>'65'!A379</f>
        <v xml:space="preserve">  3.1</v>
      </c>
      <c r="K98" s="213" t="str">
        <f>'65'!A389</f>
        <v xml:space="preserve">  2.8</v>
      </c>
      <c r="L98" s="213" t="str">
        <f>'65'!A399</f>
        <v xml:space="preserve">  2.9</v>
      </c>
      <c r="M98" s="213">
        <f>'65'!A409</f>
        <v>0</v>
      </c>
      <c r="N98" s="179"/>
    </row>
    <row r="99" spans="2:14" x14ac:dyDescent="0.2">
      <c r="B99" s="244"/>
      <c r="C99" s="40"/>
      <c r="D99" s="182" t="s">
        <v>24</v>
      </c>
      <c r="E99" s="40"/>
      <c r="F99" s="213" t="str">
        <f>'65'!A340</f>
        <v xml:space="preserve">  4.2</v>
      </c>
      <c r="G99" s="213" t="str">
        <f>'65'!A350</f>
        <v xml:space="preserve">  5.6</v>
      </c>
      <c r="H99" s="213" t="str">
        <f>'65'!A360</f>
        <v xml:space="preserve">  7.1</v>
      </c>
      <c r="I99" s="213" t="str">
        <f>'65'!A370</f>
        <v xml:space="preserve">  7.2</v>
      </c>
      <c r="J99" s="213" t="str">
        <f>'65'!A380</f>
        <v xml:space="preserve">  9.1</v>
      </c>
      <c r="K99" s="213" t="str">
        <f>'65'!A390</f>
        <v xml:space="preserve">  4.9</v>
      </c>
      <c r="L99" s="213" t="str">
        <f>'65'!A400</f>
        <v xml:space="preserve">  5.5</v>
      </c>
      <c r="M99" s="213">
        <f>'65'!A410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'65'!A420</f>
        <v xml:space="preserve"> </v>
      </c>
      <c r="L102" s="40"/>
      <c r="M102" s="40"/>
      <c r="N102" s="179"/>
    </row>
    <row r="103" spans="2:14" ht="12" x14ac:dyDescent="0.25">
      <c r="B103" s="244"/>
      <c r="C103" s="40"/>
      <c r="D103" s="40" t="s">
        <v>346</v>
      </c>
      <c r="E103" s="40"/>
      <c r="F103" s="309">
        <f>'65'!A421</f>
        <v>1</v>
      </c>
      <c r="G103" s="309">
        <f>'65'!A428</f>
        <v>2</v>
      </c>
      <c r="H103" s="309">
        <f>'65'!A435</f>
        <v>3</v>
      </c>
      <c r="I103" s="309">
        <f>'65'!A442</f>
        <v>4</v>
      </c>
      <c r="J103" s="309">
        <f>'65'!A449</f>
        <v>5</v>
      </c>
      <c r="K103" s="309">
        <f>'65'!A456</f>
        <v>6</v>
      </c>
      <c r="L103" s="309">
        <f>'65'!A463</f>
        <v>7</v>
      </c>
      <c r="M103" s="309">
        <f>'65'!A470</f>
        <v>8</v>
      </c>
      <c r="N103" s="179"/>
    </row>
    <row r="104" spans="2:14" x14ac:dyDescent="0.2">
      <c r="B104" s="244"/>
      <c r="C104" s="40" t="s">
        <v>347</v>
      </c>
      <c r="D104" s="40"/>
      <c r="E104" s="40"/>
      <c r="F104" s="310">
        <f>'65'!A422</f>
        <v>75000</v>
      </c>
      <c r="G104" s="310">
        <f>'65'!A429</f>
        <v>93000</v>
      </c>
      <c r="H104" s="310">
        <f>'65'!A436</f>
        <v>83000</v>
      </c>
      <c r="I104" s="310">
        <f>'65'!A443</f>
        <v>85000</v>
      </c>
      <c r="J104" s="310">
        <f>'65'!A450</f>
        <v>95000</v>
      </c>
      <c r="K104" s="310">
        <f>'65'!A457</f>
        <v>90000</v>
      </c>
      <c r="L104" s="310">
        <f>'65'!A464</f>
        <v>86000</v>
      </c>
      <c r="M104" s="310">
        <f>'65'!A471</f>
        <v>0</v>
      </c>
      <c r="N104" s="179"/>
    </row>
    <row r="105" spans="2:14" x14ac:dyDescent="0.2">
      <c r="B105" s="244"/>
      <c r="C105" s="40" t="s">
        <v>348</v>
      </c>
      <c r="D105" s="40"/>
      <c r="E105" s="40"/>
      <c r="F105" s="310">
        <f>'65'!A423</f>
        <v>55000</v>
      </c>
      <c r="G105" s="310">
        <f>'65'!A430</f>
        <v>65000</v>
      </c>
      <c r="H105" s="310">
        <f>'65'!A437</f>
        <v>55000</v>
      </c>
      <c r="I105" s="310">
        <f>'65'!A444</f>
        <v>55000</v>
      </c>
      <c r="J105" s="310">
        <f>'65'!A451</f>
        <v>70000</v>
      </c>
      <c r="K105" s="310">
        <f>'65'!A458</f>
        <v>65000</v>
      </c>
      <c r="L105" s="310">
        <f>'65'!A465</f>
        <v>55000</v>
      </c>
      <c r="M105" s="310">
        <f>'65'!A472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'65'!A424</f>
        <v xml:space="preserve">    *</v>
      </c>
      <c r="G107" s="323" t="str">
        <f>'65'!A431</f>
        <v xml:space="preserve">    *</v>
      </c>
      <c r="H107" s="323" t="str">
        <f>'65'!A438</f>
        <v xml:space="preserve">    *</v>
      </c>
      <c r="I107" s="323" t="str">
        <f>'65'!A445</f>
        <v xml:space="preserve">    *</v>
      </c>
      <c r="J107" s="323" t="str">
        <f>'65'!A452</f>
        <v xml:space="preserve">   **</v>
      </c>
      <c r="K107" s="323" t="str">
        <f>'65'!A459</f>
        <v xml:space="preserve">   **</v>
      </c>
      <c r="L107" s="323" t="str">
        <f>'65'!A466</f>
        <v xml:space="preserve">   **</v>
      </c>
      <c r="M107" s="323">
        <f>'65'!A473</f>
        <v>0</v>
      </c>
      <c r="N107" s="179"/>
    </row>
    <row r="108" spans="2:14" x14ac:dyDescent="0.2">
      <c r="B108" s="244"/>
      <c r="C108" s="40" t="s">
        <v>351</v>
      </c>
      <c r="D108" s="40"/>
      <c r="E108" s="40"/>
      <c r="F108" s="323" t="str">
        <f>'65'!A425</f>
        <v xml:space="preserve">   **</v>
      </c>
      <c r="G108" s="323" t="str">
        <f>'65'!A432</f>
        <v xml:space="preserve">  ***</v>
      </c>
      <c r="H108" s="323" t="str">
        <f>'65'!A439</f>
        <v xml:space="preserve">   **</v>
      </c>
      <c r="I108" s="323" t="str">
        <f>'65'!A446</f>
        <v xml:space="preserve">   **</v>
      </c>
      <c r="J108" s="323" t="str">
        <f>'65'!A453</f>
        <v xml:space="preserve">  ***</v>
      </c>
      <c r="K108" s="323" t="str">
        <f>'65'!A460</f>
        <v xml:space="preserve">  ***</v>
      </c>
      <c r="L108" s="323" t="str">
        <f>'65'!A467</f>
        <v xml:space="preserve">   **</v>
      </c>
      <c r="M108" s="323">
        <f>'65'!A474</f>
        <v>0</v>
      </c>
      <c r="N108" s="179"/>
    </row>
    <row r="109" spans="2:14" x14ac:dyDescent="0.2">
      <c r="B109" s="244"/>
      <c r="C109" s="40" t="s">
        <v>352</v>
      </c>
      <c r="D109" s="40"/>
      <c r="E109" s="40"/>
      <c r="F109" s="323" t="str">
        <f>'65'!A426</f>
        <v xml:space="preserve">   **</v>
      </c>
      <c r="G109" s="323" t="str">
        <f>'65'!A433</f>
        <v xml:space="preserve">   **</v>
      </c>
      <c r="H109" s="323" t="str">
        <f>'65'!A440</f>
        <v xml:space="preserve">   **</v>
      </c>
      <c r="I109" s="323" t="str">
        <f>'65'!A447</f>
        <v xml:space="preserve">   **</v>
      </c>
      <c r="J109" s="323" t="str">
        <f>'65'!A454</f>
        <v xml:space="preserve">   **</v>
      </c>
      <c r="K109" s="323" t="str">
        <f>'65'!A461</f>
        <v xml:space="preserve">   **</v>
      </c>
      <c r="L109" s="323" t="str">
        <f>'65'!A468</f>
        <v xml:space="preserve">   **</v>
      </c>
      <c r="M109" s="323">
        <f>'65'!A475</f>
        <v>0</v>
      </c>
      <c r="N109" s="179"/>
    </row>
    <row r="110" spans="2:14" x14ac:dyDescent="0.2">
      <c r="B110" s="244"/>
      <c r="C110" s="40" t="s">
        <v>353</v>
      </c>
      <c r="D110" s="40"/>
      <c r="E110" s="40"/>
      <c r="F110" s="323" t="str">
        <f>'65'!A427</f>
        <v xml:space="preserve">  ***</v>
      </c>
      <c r="G110" s="323" t="str">
        <f>'65'!A434</f>
        <v xml:space="preserve">  ***</v>
      </c>
      <c r="H110" s="323" t="str">
        <f>'65'!A441</f>
        <v xml:space="preserve">  ***</v>
      </c>
      <c r="I110" s="323" t="str">
        <f>'65'!A448</f>
        <v xml:space="preserve">  ***</v>
      </c>
      <c r="J110" s="323" t="str">
        <f>'65'!A455</f>
        <v xml:space="preserve">  ***</v>
      </c>
      <c r="K110" s="323" t="str">
        <f>'65'!A462</f>
        <v xml:space="preserve">  ***</v>
      </c>
      <c r="L110" s="323" t="str">
        <f>'65'!A469</f>
        <v xml:space="preserve">  ***</v>
      </c>
      <c r="M110" s="323">
        <f>'65'!A476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4">
    <tabColor theme="5" tint="0.79998168889431442"/>
    <pageSetUpPr fitToPage="1"/>
  </sheetPr>
  <dimension ref="A1:I865"/>
  <sheetViews>
    <sheetView workbookViewId="0">
      <selection sqref="A1:AG1000"/>
    </sheetView>
  </sheetViews>
  <sheetFormatPr baseColWidth="10" defaultColWidth="9.109375" defaultRowHeight="13.2" x14ac:dyDescent="0.25"/>
  <cols>
    <col min="1" max="1" width="54.5546875" bestFit="1" customWidth="1"/>
    <col min="2" max="2" width="1.6640625" style="695" bestFit="1" customWidth="1"/>
    <col min="3" max="8" width="9.109375" style="175"/>
    <col min="9" max="9" width="9.109375" style="216"/>
    <col min="10" max="16384" width="9.109375" style="175"/>
  </cols>
  <sheetData>
    <row r="1" spans="1:9" x14ac:dyDescent="0.25">
      <c r="A1">
        <v>8</v>
      </c>
      <c r="I1" s="175"/>
    </row>
    <row r="2" spans="1:9" x14ac:dyDescent="0.25">
      <c r="A2">
        <v>2</v>
      </c>
      <c r="I2" s="175"/>
    </row>
    <row r="3" spans="1:9" x14ac:dyDescent="0.25">
      <c r="A3">
        <v>999</v>
      </c>
      <c r="I3" s="175"/>
    </row>
    <row r="4" spans="1:9" x14ac:dyDescent="0.25">
      <c r="A4">
        <v>2017</v>
      </c>
      <c r="I4" s="175"/>
    </row>
    <row r="5" spans="1:9" x14ac:dyDescent="0.25">
      <c r="A5">
        <v>3</v>
      </c>
      <c r="I5" s="175"/>
    </row>
    <row r="6" spans="1:9" x14ac:dyDescent="0.25">
      <c r="A6" t="s">
        <v>682</v>
      </c>
      <c r="I6" s="175"/>
    </row>
    <row r="7" spans="1:9" x14ac:dyDescent="0.25">
      <c r="A7">
        <v>15</v>
      </c>
      <c r="I7" s="175"/>
    </row>
    <row r="8" spans="1:9" x14ac:dyDescent="0.25">
      <c r="A8">
        <v>10</v>
      </c>
      <c r="I8" s="175"/>
    </row>
    <row r="9" spans="1:9" x14ac:dyDescent="0.25">
      <c r="A9">
        <v>15</v>
      </c>
      <c r="I9" s="175"/>
    </row>
    <row r="10" spans="1:9" x14ac:dyDescent="0.25">
      <c r="A10">
        <v>0</v>
      </c>
      <c r="I10" s="175"/>
    </row>
    <row r="11" spans="1:9" x14ac:dyDescent="0.25">
      <c r="A11">
        <v>6</v>
      </c>
      <c r="I11" s="175"/>
    </row>
    <row r="12" spans="1:9" x14ac:dyDescent="0.25">
      <c r="A12">
        <v>6</v>
      </c>
      <c r="I12" s="175"/>
    </row>
    <row r="13" spans="1:9" x14ac:dyDescent="0.25">
      <c r="A13">
        <v>6</v>
      </c>
      <c r="I13" s="175"/>
    </row>
    <row r="14" spans="1:9" x14ac:dyDescent="0.25">
      <c r="A14">
        <v>5</v>
      </c>
      <c r="I14" s="175"/>
    </row>
    <row r="15" spans="1:9" x14ac:dyDescent="0.25">
      <c r="A15">
        <v>5</v>
      </c>
      <c r="I15" s="175"/>
    </row>
    <row r="16" spans="1:9" x14ac:dyDescent="0.25">
      <c r="A16">
        <v>5</v>
      </c>
      <c r="I16" s="175"/>
    </row>
    <row r="17" spans="1:9" x14ac:dyDescent="0.25">
      <c r="A17">
        <v>10</v>
      </c>
      <c r="I17" s="175"/>
    </row>
    <row r="18" spans="1:9" x14ac:dyDescent="0.25">
      <c r="A18">
        <v>5</v>
      </c>
      <c r="I18" s="175"/>
    </row>
    <row r="19" spans="1:9" x14ac:dyDescent="0.25">
      <c r="A19">
        <v>5</v>
      </c>
      <c r="I19" s="175"/>
    </row>
    <row r="20" spans="1:9" x14ac:dyDescent="0.25">
      <c r="A20">
        <v>0</v>
      </c>
      <c r="I20" s="175"/>
    </row>
    <row r="21" spans="1:9" x14ac:dyDescent="0.25">
      <c r="A21">
        <v>328</v>
      </c>
      <c r="I21" s="175"/>
    </row>
    <row r="22" spans="1:9" x14ac:dyDescent="0.25">
      <c r="A22">
        <v>340</v>
      </c>
      <c r="I22" s="175"/>
    </row>
    <row r="23" spans="1:9" x14ac:dyDescent="0.25">
      <c r="A23">
        <v>380</v>
      </c>
      <c r="I23" s="175"/>
    </row>
    <row r="24" spans="1:9" x14ac:dyDescent="0.25">
      <c r="A24">
        <v>490</v>
      </c>
      <c r="I24" s="175"/>
    </row>
    <row r="25" spans="1:9" x14ac:dyDescent="0.25">
      <c r="A25">
        <v>490</v>
      </c>
      <c r="I25" s="175"/>
    </row>
    <row r="26" spans="1:9" x14ac:dyDescent="0.25">
      <c r="A26">
        <v>590</v>
      </c>
      <c r="I26" s="175"/>
    </row>
    <row r="27" spans="1:9" x14ac:dyDescent="0.25">
      <c r="A27">
        <v>700</v>
      </c>
      <c r="I27" s="175"/>
    </row>
    <row r="28" spans="1:9" x14ac:dyDescent="0.25">
      <c r="A28">
        <v>730</v>
      </c>
      <c r="I28" s="175"/>
    </row>
    <row r="29" spans="1:9" x14ac:dyDescent="0.25">
      <c r="A29">
        <v>850</v>
      </c>
      <c r="I29" s="175"/>
    </row>
    <row r="30" spans="1:9" x14ac:dyDescent="0.25">
      <c r="A30">
        <v>0</v>
      </c>
      <c r="I30" s="175"/>
    </row>
    <row r="31" spans="1:9" x14ac:dyDescent="0.25">
      <c r="A31">
        <v>1000</v>
      </c>
      <c r="I31" s="175"/>
    </row>
    <row r="32" spans="1:9" x14ac:dyDescent="0.25">
      <c r="A32">
        <v>150</v>
      </c>
      <c r="I32" s="175"/>
    </row>
    <row r="33" spans="1:9" x14ac:dyDescent="0.25">
      <c r="A33">
        <v>250</v>
      </c>
      <c r="I33" s="175"/>
    </row>
    <row r="34" spans="1:9" x14ac:dyDescent="0.25">
      <c r="A34">
        <v>625</v>
      </c>
      <c r="I34" s="175"/>
    </row>
    <row r="35" spans="1:9" x14ac:dyDescent="0.25">
      <c r="A35">
        <v>150</v>
      </c>
      <c r="I35" s="175"/>
    </row>
    <row r="36" spans="1:9" x14ac:dyDescent="0.25">
      <c r="A36">
        <v>150</v>
      </c>
      <c r="I36" s="175"/>
    </row>
    <row r="37" spans="1:9" x14ac:dyDescent="0.25">
      <c r="A37">
        <v>325</v>
      </c>
      <c r="I37" s="175"/>
    </row>
    <row r="38" spans="1:9" x14ac:dyDescent="0.25">
      <c r="A38">
        <v>75</v>
      </c>
      <c r="I38" s="175"/>
    </row>
    <row r="39" spans="1:9" x14ac:dyDescent="0.25">
      <c r="A39">
        <v>100</v>
      </c>
      <c r="I39" s="175"/>
    </row>
    <row r="40" spans="1:9" x14ac:dyDescent="0.25">
      <c r="A40">
        <v>0</v>
      </c>
      <c r="I40" s="175"/>
    </row>
    <row r="41" spans="1:9" x14ac:dyDescent="0.25">
      <c r="A41">
        <v>0</v>
      </c>
      <c r="I41" s="175"/>
    </row>
    <row r="42" spans="1:9" x14ac:dyDescent="0.25">
      <c r="A42">
        <v>0</v>
      </c>
      <c r="I42" s="175"/>
    </row>
    <row r="43" spans="1:9" x14ac:dyDescent="0.25">
      <c r="A43">
        <v>0</v>
      </c>
      <c r="I43" s="175"/>
    </row>
    <row r="44" spans="1:9" x14ac:dyDescent="0.25">
      <c r="A44">
        <v>20</v>
      </c>
      <c r="I44" s="175"/>
    </row>
    <row r="45" spans="1:9" x14ac:dyDescent="0.25">
      <c r="A45">
        <v>20</v>
      </c>
      <c r="I45" s="175"/>
    </row>
    <row r="46" spans="1:9" x14ac:dyDescent="0.25">
      <c r="A46">
        <v>25</v>
      </c>
      <c r="I46" s="175"/>
    </row>
    <row r="47" spans="1:9" x14ac:dyDescent="0.25">
      <c r="A47">
        <v>115</v>
      </c>
      <c r="I47" s="175"/>
    </row>
    <row r="48" spans="1:9" x14ac:dyDescent="0.25">
      <c r="A48">
        <v>165</v>
      </c>
      <c r="I48" s="175"/>
    </row>
    <row r="49" spans="1:9" x14ac:dyDescent="0.25">
      <c r="A49">
        <v>325</v>
      </c>
      <c r="I49" s="175"/>
    </row>
    <row r="50" spans="1:9" x14ac:dyDescent="0.25">
      <c r="A50">
        <v>0</v>
      </c>
      <c r="I50" s="175"/>
    </row>
    <row r="51" spans="1:9" x14ac:dyDescent="0.25">
      <c r="A51">
        <v>0</v>
      </c>
      <c r="I51" s="175"/>
    </row>
    <row r="52" spans="1:9" x14ac:dyDescent="0.25">
      <c r="A52">
        <v>0</v>
      </c>
      <c r="I52" s="175"/>
    </row>
    <row r="53" spans="1:9" x14ac:dyDescent="0.25">
      <c r="A53">
        <v>10</v>
      </c>
      <c r="I53" s="175"/>
    </row>
    <row r="54" spans="1:9" x14ac:dyDescent="0.25">
      <c r="A54">
        <v>500</v>
      </c>
      <c r="I54" s="175"/>
    </row>
    <row r="55" spans="1:9" x14ac:dyDescent="0.25">
      <c r="A55">
        <v>500</v>
      </c>
      <c r="I55" s="175"/>
    </row>
    <row r="56" spans="1:9" x14ac:dyDescent="0.25">
      <c r="A56">
        <v>0</v>
      </c>
      <c r="I56" s="175"/>
    </row>
    <row r="57" spans="1:9" x14ac:dyDescent="0.25">
      <c r="A57">
        <v>5</v>
      </c>
      <c r="I57" s="175"/>
    </row>
    <row r="58" spans="1:9" x14ac:dyDescent="0.25">
      <c r="A58">
        <v>0</v>
      </c>
      <c r="I58" s="175"/>
    </row>
    <row r="59" spans="1:9" x14ac:dyDescent="0.25">
      <c r="A59">
        <v>0</v>
      </c>
      <c r="I59" s="175"/>
    </row>
    <row r="60" spans="1:9" x14ac:dyDescent="0.25">
      <c r="A60">
        <v>0</v>
      </c>
      <c r="I60" s="175"/>
    </row>
    <row r="61" spans="1:9" x14ac:dyDescent="0.25">
      <c r="A61">
        <v>3</v>
      </c>
      <c r="I61" s="175"/>
    </row>
    <row r="62" spans="1:9" x14ac:dyDescent="0.25">
      <c r="A62">
        <v>10</v>
      </c>
      <c r="I62" s="175"/>
    </row>
    <row r="63" spans="1:9" x14ac:dyDescent="0.25">
      <c r="A63">
        <v>7</v>
      </c>
      <c r="I63" s="175"/>
    </row>
    <row r="64" spans="1:9" x14ac:dyDescent="0.25">
      <c r="A64">
        <v>1</v>
      </c>
      <c r="I64" s="175"/>
    </row>
    <row r="65" spans="1:9" x14ac:dyDescent="0.25">
      <c r="A65">
        <v>8</v>
      </c>
      <c r="I65" s="175"/>
    </row>
    <row r="66" spans="1:9" x14ac:dyDescent="0.25">
      <c r="A66">
        <v>6</v>
      </c>
      <c r="I66" s="175"/>
    </row>
    <row r="67" spans="1:9" x14ac:dyDescent="0.25">
      <c r="A67">
        <v>0</v>
      </c>
      <c r="I67" s="175"/>
    </row>
    <row r="68" spans="1:9" x14ac:dyDescent="0.25">
      <c r="A68">
        <v>10</v>
      </c>
      <c r="I68" s="175"/>
    </row>
    <row r="69" spans="1:9" x14ac:dyDescent="0.25">
      <c r="A69">
        <v>7</v>
      </c>
      <c r="I69" s="175"/>
    </row>
    <row r="70" spans="1:9" x14ac:dyDescent="0.25">
      <c r="A70">
        <v>0</v>
      </c>
      <c r="I70" s="175"/>
    </row>
    <row r="71" spans="1:9" x14ac:dyDescent="0.25">
      <c r="A71">
        <v>0</v>
      </c>
      <c r="I71" s="175"/>
    </row>
    <row r="72" spans="1:9" x14ac:dyDescent="0.25">
      <c r="A72">
        <v>50</v>
      </c>
      <c r="I72" s="175"/>
    </row>
    <row r="73" spans="1:9" x14ac:dyDescent="0.25">
      <c r="A73">
        <v>1</v>
      </c>
      <c r="I73" s="175"/>
    </row>
    <row r="74" spans="1:9" x14ac:dyDescent="0.25">
      <c r="A74">
        <v>0</v>
      </c>
      <c r="I74" s="175"/>
    </row>
    <row r="75" spans="1:9" x14ac:dyDescent="0.25">
      <c r="A75">
        <v>20</v>
      </c>
      <c r="I75" s="175"/>
    </row>
    <row r="76" spans="1:9" x14ac:dyDescent="0.25">
      <c r="A76">
        <v>2</v>
      </c>
      <c r="I76" s="175"/>
    </row>
    <row r="77" spans="1:9" x14ac:dyDescent="0.25">
      <c r="A77">
        <v>5</v>
      </c>
      <c r="I77" s="175"/>
    </row>
    <row r="78" spans="1:9" x14ac:dyDescent="0.25">
      <c r="A78">
        <v>17</v>
      </c>
      <c r="I78" s="175"/>
    </row>
    <row r="79" spans="1:9" x14ac:dyDescent="0.25">
      <c r="A79">
        <v>0</v>
      </c>
      <c r="I79" s="175"/>
    </row>
    <row r="80" spans="1:9" x14ac:dyDescent="0.25">
      <c r="A80">
        <v>0</v>
      </c>
      <c r="I80" s="175"/>
    </row>
    <row r="81" spans="1:9" x14ac:dyDescent="0.25">
      <c r="A81">
        <v>3</v>
      </c>
      <c r="I81" s="175"/>
    </row>
    <row r="82" spans="1:9" x14ac:dyDescent="0.25">
      <c r="A82">
        <v>0</v>
      </c>
      <c r="I82" s="175"/>
    </row>
    <row r="83" spans="1:9" x14ac:dyDescent="0.25">
      <c r="A83">
        <v>1220</v>
      </c>
      <c r="I83" s="175"/>
    </row>
    <row r="84" spans="1:9" x14ac:dyDescent="0.25">
      <c r="A84">
        <v>0</v>
      </c>
      <c r="I84" s="175"/>
    </row>
    <row r="85" spans="1:9" x14ac:dyDescent="0.25">
      <c r="A85">
        <v>80</v>
      </c>
      <c r="I85" s="175"/>
    </row>
    <row r="86" spans="1:9" x14ac:dyDescent="0.25">
      <c r="A86">
        <v>3</v>
      </c>
      <c r="I86" s="175"/>
    </row>
    <row r="87" spans="1:9" x14ac:dyDescent="0.25">
      <c r="A87">
        <v>0</v>
      </c>
      <c r="I87" s="175"/>
    </row>
    <row r="88" spans="1:9" x14ac:dyDescent="0.25">
      <c r="A88">
        <v>0</v>
      </c>
      <c r="I88" s="175"/>
    </row>
    <row r="89" spans="1:9" x14ac:dyDescent="0.25">
      <c r="A89">
        <v>0</v>
      </c>
      <c r="I89" s="175"/>
    </row>
    <row r="90" spans="1:9" x14ac:dyDescent="0.25">
      <c r="A90">
        <v>0</v>
      </c>
      <c r="I90" s="175"/>
    </row>
    <row r="91" spans="1:9" x14ac:dyDescent="0.25">
      <c r="A91">
        <v>0</v>
      </c>
      <c r="I91" s="175"/>
    </row>
    <row r="92" spans="1:9" x14ac:dyDescent="0.25">
      <c r="A92">
        <v>0</v>
      </c>
      <c r="I92" s="175"/>
    </row>
    <row r="93" spans="1:9" x14ac:dyDescent="0.25">
      <c r="A93">
        <v>0</v>
      </c>
      <c r="I93" s="175"/>
    </row>
    <row r="94" spans="1:9" x14ac:dyDescent="0.25">
      <c r="A94">
        <v>0</v>
      </c>
      <c r="I94" s="175"/>
    </row>
    <row r="95" spans="1:9" x14ac:dyDescent="0.25">
      <c r="A95">
        <v>0</v>
      </c>
      <c r="I95" s="175"/>
    </row>
    <row r="96" spans="1:9" x14ac:dyDescent="0.25">
      <c r="A96">
        <v>0</v>
      </c>
      <c r="I96" s="175"/>
    </row>
    <row r="97" spans="1:9" x14ac:dyDescent="0.25">
      <c r="A97">
        <v>1</v>
      </c>
      <c r="I97" s="175"/>
    </row>
    <row r="98" spans="1:9" x14ac:dyDescent="0.25">
      <c r="A98">
        <v>1</v>
      </c>
      <c r="I98" s="175"/>
    </row>
    <row r="99" spans="1:9" x14ac:dyDescent="0.25">
      <c r="A99">
        <v>1</v>
      </c>
      <c r="I99" s="175"/>
    </row>
    <row r="100" spans="1:9" x14ac:dyDescent="0.25">
      <c r="A100">
        <v>999</v>
      </c>
      <c r="I100" s="175"/>
    </row>
    <row r="101" spans="1:9" x14ac:dyDescent="0.25">
      <c r="A101">
        <v>999</v>
      </c>
      <c r="I101" s="175"/>
    </row>
    <row r="102" spans="1:9" x14ac:dyDescent="0.25">
      <c r="A102">
        <v>88</v>
      </c>
      <c r="I102" s="175"/>
    </row>
    <row r="103" spans="1:9" x14ac:dyDescent="0.25">
      <c r="A103">
        <v>112</v>
      </c>
      <c r="I103" s="175"/>
    </row>
    <row r="104" spans="1:9" x14ac:dyDescent="0.25">
      <c r="A104">
        <v>94</v>
      </c>
      <c r="I104" s="175"/>
    </row>
    <row r="105" spans="1:9" x14ac:dyDescent="0.25">
      <c r="A105" t="s">
        <v>668</v>
      </c>
      <c r="I105" s="175"/>
    </row>
    <row r="106" spans="1:9" x14ac:dyDescent="0.25">
      <c r="A106" t="s">
        <v>609</v>
      </c>
      <c r="I106" s="175"/>
    </row>
    <row r="107" spans="1:9" x14ac:dyDescent="0.25">
      <c r="A107" t="s">
        <v>611</v>
      </c>
      <c r="I107" s="175"/>
    </row>
    <row r="108" spans="1:9" x14ac:dyDescent="0.25">
      <c r="A108">
        <v>1400</v>
      </c>
      <c r="I108" s="175"/>
    </row>
    <row r="109" spans="1:9" x14ac:dyDescent="0.25">
      <c r="A109">
        <v>925</v>
      </c>
      <c r="I109" s="175"/>
    </row>
    <row r="110" spans="1:9" x14ac:dyDescent="0.25">
      <c r="A110">
        <v>500</v>
      </c>
      <c r="I110" s="175"/>
    </row>
    <row r="111" spans="1:9" x14ac:dyDescent="0.25">
      <c r="A111">
        <v>1440</v>
      </c>
      <c r="I111" s="175"/>
    </row>
    <row r="112" spans="1:9" x14ac:dyDescent="0.25">
      <c r="A112">
        <v>953</v>
      </c>
      <c r="I112" s="175"/>
    </row>
    <row r="113" spans="1:9" x14ac:dyDescent="0.25">
      <c r="A113">
        <v>515</v>
      </c>
      <c r="I113" s="175"/>
    </row>
    <row r="114" spans="1:9" x14ac:dyDescent="0.25">
      <c r="A114">
        <v>40</v>
      </c>
      <c r="I114" s="175"/>
    </row>
    <row r="115" spans="1:9" x14ac:dyDescent="0.25">
      <c r="A115">
        <v>28</v>
      </c>
      <c r="I115" s="175"/>
    </row>
    <row r="116" spans="1:9" x14ac:dyDescent="0.25">
      <c r="A116">
        <v>15</v>
      </c>
      <c r="I116" s="175"/>
    </row>
    <row r="117" spans="1:9" x14ac:dyDescent="0.25">
      <c r="A117">
        <v>0</v>
      </c>
      <c r="I117" s="175"/>
    </row>
    <row r="118" spans="1:9" x14ac:dyDescent="0.25">
      <c r="A118">
        <v>0</v>
      </c>
      <c r="I118" s="175"/>
    </row>
    <row r="119" spans="1:9" x14ac:dyDescent="0.25">
      <c r="A119">
        <v>0</v>
      </c>
      <c r="I119" s="175"/>
    </row>
    <row r="120" spans="1:9" x14ac:dyDescent="0.25">
      <c r="A120">
        <v>999</v>
      </c>
      <c r="I120" s="175"/>
    </row>
    <row r="121" spans="1:9" x14ac:dyDescent="0.25">
      <c r="A121">
        <v>1000</v>
      </c>
      <c r="I121" s="175"/>
    </row>
    <row r="122" spans="1:9" x14ac:dyDescent="0.25">
      <c r="A122">
        <v>150</v>
      </c>
      <c r="I122" s="175"/>
    </row>
    <row r="123" spans="1:9" x14ac:dyDescent="0.25">
      <c r="A123">
        <v>250</v>
      </c>
      <c r="I123" s="175"/>
    </row>
    <row r="124" spans="1:9" x14ac:dyDescent="0.25">
      <c r="A124">
        <v>625</v>
      </c>
      <c r="I124" s="175"/>
    </row>
    <row r="125" spans="1:9" x14ac:dyDescent="0.25">
      <c r="A125">
        <v>150</v>
      </c>
      <c r="I125" s="175"/>
    </row>
    <row r="126" spans="1:9" x14ac:dyDescent="0.25">
      <c r="A126">
        <v>150</v>
      </c>
      <c r="I126" s="175"/>
    </row>
    <row r="127" spans="1:9" x14ac:dyDescent="0.25">
      <c r="A127">
        <v>325</v>
      </c>
      <c r="I127" s="175"/>
    </row>
    <row r="128" spans="1:9" x14ac:dyDescent="0.25">
      <c r="A128">
        <v>75</v>
      </c>
      <c r="I128" s="175"/>
    </row>
    <row r="129" spans="1:9" x14ac:dyDescent="0.25">
      <c r="A129">
        <v>100</v>
      </c>
      <c r="I129" s="175"/>
    </row>
    <row r="130" spans="1:9" x14ac:dyDescent="0.25">
      <c r="A130">
        <v>999</v>
      </c>
      <c r="I130" s="175"/>
    </row>
    <row r="131" spans="1:9" x14ac:dyDescent="0.25">
      <c r="A131">
        <v>970</v>
      </c>
      <c r="I131" s="175"/>
    </row>
    <row r="132" spans="1:9" x14ac:dyDescent="0.25">
      <c r="A132">
        <v>155</v>
      </c>
      <c r="I132" s="175"/>
    </row>
    <row r="133" spans="1:9" x14ac:dyDescent="0.25">
      <c r="A133">
        <v>464</v>
      </c>
      <c r="I133" s="175"/>
    </row>
    <row r="134" spans="1:9" x14ac:dyDescent="0.25">
      <c r="A134">
        <v>663</v>
      </c>
      <c r="I134" s="175"/>
    </row>
    <row r="135" spans="1:9" x14ac:dyDescent="0.25">
      <c r="A135">
        <v>152</v>
      </c>
      <c r="I135" s="175"/>
    </row>
    <row r="136" spans="1:9" x14ac:dyDescent="0.25">
      <c r="A136">
        <v>318</v>
      </c>
      <c r="I136" s="175"/>
    </row>
    <row r="137" spans="1:9" x14ac:dyDescent="0.25">
      <c r="A137">
        <v>399</v>
      </c>
      <c r="I137" s="175"/>
    </row>
    <row r="138" spans="1:9" x14ac:dyDescent="0.25">
      <c r="A138">
        <v>77</v>
      </c>
      <c r="I138" s="175"/>
    </row>
    <row r="139" spans="1:9" x14ac:dyDescent="0.25">
      <c r="A139">
        <v>178</v>
      </c>
      <c r="I139" s="175"/>
    </row>
    <row r="140" spans="1:9" x14ac:dyDescent="0.25">
      <c r="A140">
        <v>999</v>
      </c>
      <c r="I140" s="175"/>
    </row>
    <row r="141" spans="1:9" x14ac:dyDescent="0.25">
      <c r="A141">
        <v>970</v>
      </c>
      <c r="I141" s="175"/>
    </row>
    <row r="142" spans="1:9" x14ac:dyDescent="0.25">
      <c r="A142">
        <v>155</v>
      </c>
      <c r="I142" s="175"/>
    </row>
    <row r="143" spans="1:9" x14ac:dyDescent="0.25">
      <c r="A143">
        <v>257</v>
      </c>
      <c r="I143" s="175"/>
    </row>
    <row r="144" spans="1:9" x14ac:dyDescent="0.25">
      <c r="A144">
        <v>625</v>
      </c>
      <c r="I144" s="175"/>
    </row>
    <row r="145" spans="1:9" x14ac:dyDescent="0.25">
      <c r="A145">
        <v>152</v>
      </c>
      <c r="I145" s="175"/>
    </row>
    <row r="146" spans="1:9" x14ac:dyDescent="0.25">
      <c r="A146">
        <v>150</v>
      </c>
      <c r="I146" s="175"/>
    </row>
    <row r="147" spans="1:9" x14ac:dyDescent="0.25">
      <c r="A147">
        <v>325</v>
      </c>
      <c r="I147" s="175"/>
    </row>
    <row r="148" spans="1:9" x14ac:dyDescent="0.25">
      <c r="A148">
        <v>77</v>
      </c>
      <c r="I148" s="175"/>
    </row>
    <row r="149" spans="1:9" x14ac:dyDescent="0.25">
      <c r="A149">
        <v>105</v>
      </c>
      <c r="I149" s="175"/>
    </row>
    <row r="150" spans="1:9" x14ac:dyDescent="0.25">
      <c r="A150">
        <v>999</v>
      </c>
      <c r="I150" s="175"/>
    </row>
    <row r="151" spans="1:9" x14ac:dyDescent="0.25">
      <c r="A151">
        <v>0</v>
      </c>
      <c r="I151" s="175"/>
    </row>
    <row r="152" spans="1:9" x14ac:dyDescent="0.25">
      <c r="A152">
        <v>0</v>
      </c>
      <c r="I152" s="175"/>
    </row>
    <row r="153" spans="1:9" x14ac:dyDescent="0.25">
      <c r="A153">
        <v>0</v>
      </c>
      <c r="I153" s="175"/>
    </row>
    <row r="154" spans="1:9" x14ac:dyDescent="0.25">
      <c r="A154">
        <v>30</v>
      </c>
      <c r="I154" s="175"/>
    </row>
    <row r="155" spans="1:9" x14ac:dyDescent="0.25">
      <c r="A155">
        <v>0</v>
      </c>
      <c r="I155" s="175"/>
    </row>
    <row r="156" spans="1:9" x14ac:dyDescent="0.25">
      <c r="A156">
        <v>0</v>
      </c>
      <c r="I156" s="175"/>
    </row>
    <row r="157" spans="1:9" x14ac:dyDescent="0.25">
      <c r="A157">
        <v>40</v>
      </c>
      <c r="I157" s="175"/>
    </row>
    <row r="158" spans="1:9" x14ac:dyDescent="0.25">
      <c r="A158">
        <v>0</v>
      </c>
      <c r="I158" s="175"/>
    </row>
    <row r="159" spans="1:9" x14ac:dyDescent="0.25">
      <c r="A159">
        <v>0</v>
      </c>
      <c r="I159" s="175"/>
    </row>
    <row r="160" spans="1:9" x14ac:dyDescent="0.25">
      <c r="A160">
        <v>999</v>
      </c>
      <c r="I160" s="175"/>
    </row>
    <row r="161" spans="1:9" x14ac:dyDescent="0.25">
      <c r="A161">
        <v>149</v>
      </c>
      <c r="I161" s="175"/>
    </row>
    <row r="162" spans="1:9" x14ac:dyDescent="0.25">
      <c r="A162">
        <v>51</v>
      </c>
      <c r="I162" s="175"/>
    </row>
    <row r="163" spans="1:9" x14ac:dyDescent="0.25">
      <c r="A163">
        <v>0</v>
      </c>
      <c r="I163" s="175"/>
    </row>
    <row r="164" spans="1:9" x14ac:dyDescent="0.25">
      <c r="A164">
        <v>0</v>
      </c>
      <c r="I164" s="175"/>
    </row>
    <row r="165" spans="1:9" x14ac:dyDescent="0.25">
      <c r="A165">
        <v>28</v>
      </c>
      <c r="I165" s="175"/>
    </row>
    <row r="166" spans="1:9" x14ac:dyDescent="0.25">
      <c r="A166">
        <v>0</v>
      </c>
      <c r="I166" s="175"/>
    </row>
    <row r="167" spans="1:9" x14ac:dyDescent="0.25">
      <c r="A167">
        <v>0</v>
      </c>
      <c r="I167" s="175"/>
    </row>
    <row r="168" spans="1:9" x14ac:dyDescent="0.25">
      <c r="A168">
        <v>10</v>
      </c>
      <c r="I168" s="175"/>
    </row>
    <row r="169" spans="1:9" x14ac:dyDescent="0.25">
      <c r="A169">
        <v>0</v>
      </c>
      <c r="I169" s="175"/>
    </row>
    <row r="170" spans="1:9" x14ac:dyDescent="0.25">
      <c r="A170">
        <v>999</v>
      </c>
      <c r="I170" s="175"/>
    </row>
    <row r="171" spans="1:9" x14ac:dyDescent="0.25">
      <c r="A171">
        <v>41</v>
      </c>
      <c r="I171" s="175"/>
    </row>
    <row r="172" spans="1:9" x14ac:dyDescent="0.25">
      <c r="A172">
        <v>26</v>
      </c>
      <c r="I172" s="175"/>
    </row>
    <row r="173" spans="1:9" x14ac:dyDescent="0.25">
      <c r="A173">
        <v>15</v>
      </c>
      <c r="I173" s="175"/>
    </row>
    <row r="174" spans="1:9" x14ac:dyDescent="0.25">
      <c r="A174">
        <v>999</v>
      </c>
      <c r="I174" s="175"/>
    </row>
    <row r="175" spans="1:9" x14ac:dyDescent="0.25">
      <c r="A175">
        <v>999</v>
      </c>
      <c r="I175" s="175"/>
    </row>
    <row r="176" spans="1:9" x14ac:dyDescent="0.25">
      <c r="A176">
        <v>999</v>
      </c>
      <c r="I176" s="175"/>
    </row>
    <row r="177" spans="1:9" x14ac:dyDescent="0.25">
      <c r="A177" t="s">
        <v>496</v>
      </c>
      <c r="I177" s="175"/>
    </row>
    <row r="178" spans="1:9" x14ac:dyDescent="0.25">
      <c r="A178" t="s">
        <v>10</v>
      </c>
      <c r="I178" s="175"/>
    </row>
    <row r="179" spans="1:9" x14ac:dyDescent="0.25">
      <c r="A179" t="s">
        <v>10</v>
      </c>
      <c r="I179" s="175"/>
    </row>
    <row r="180" spans="1:9" x14ac:dyDescent="0.25">
      <c r="A180">
        <v>999</v>
      </c>
      <c r="I180" s="175"/>
    </row>
    <row r="181" spans="1:9" x14ac:dyDescent="0.25">
      <c r="A181">
        <v>0</v>
      </c>
      <c r="I181" s="175"/>
    </row>
    <row r="182" spans="1:9" x14ac:dyDescent="0.25">
      <c r="A182">
        <v>0</v>
      </c>
      <c r="I182" s="175"/>
    </row>
    <row r="183" spans="1:9" x14ac:dyDescent="0.25">
      <c r="A183">
        <v>0</v>
      </c>
      <c r="I183" s="175"/>
    </row>
    <row r="184" spans="1:9" x14ac:dyDescent="0.25">
      <c r="A184">
        <v>0</v>
      </c>
      <c r="I184" s="175"/>
    </row>
    <row r="185" spans="1:9" x14ac:dyDescent="0.25">
      <c r="A185">
        <v>0</v>
      </c>
      <c r="I185" s="175"/>
    </row>
    <row r="186" spans="1:9" x14ac:dyDescent="0.25">
      <c r="A186">
        <v>0</v>
      </c>
      <c r="I186" s="175"/>
    </row>
    <row r="187" spans="1:9" x14ac:dyDescent="0.25">
      <c r="A187">
        <v>500</v>
      </c>
      <c r="I187" s="175"/>
    </row>
    <row r="188" spans="1:9" x14ac:dyDescent="0.25">
      <c r="A188">
        <v>500</v>
      </c>
      <c r="I188" s="175"/>
    </row>
    <row r="189" spans="1:9" x14ac:dyDescent="0.25">
      <c r="A189">
        <v>0</v>
      </c>
      <c r="I189" s="175"/>
    </row>
    <row r="190" spans="1:9" x14ac:dyDescent="0.25">
      <c r="A190">
        <v>999</v>
      </c>
      <c r="I190" s="175"/>
    </row>
    <row r="191" spans="1:9" x14ac:dyDescent="0.25">
      <c r="A191">
        <v>21</v>
      </c>
      <c r="I191" s="175"/>
    </row>
    <row r="192" spans="1:9" x14ac:dyDescent="0.25">
      <c r="A192">
        <v>27</v>
      </c>
      <c r="I192" s="175"/>
    </row>
    <row r="193" spans="1:9" x14ac:dyDescent="0.25">
      <c r="A193">
        <v>3</v>
      </c>
      <c r="I193" s="175"/>
    </row>
    <row r="194" spans="1:9" x14ac:dyDescent="0.25">
      <c r="A194">
        <v>5</v>
      </c>
      <c r="I194" s="175"/>
    </row>
    <row r="195" spans="1:9" x14ac:dyDescent="0.25">
      <c r="A195">
        <v>0</v>
      </c>
      <c r="I195" s="175"/>
    </row>
    <row r="196" spans="1:9" x14ac:dyDescent="0.25">
      <c r="A196">
        <v>0</v>
      </c>
      <c r="I196" s="175"/>
    </row>
    <row r="197" spans="1:9" x14ac:dyDescent="0.25">
      <c r="A197">
        <v>21</v>
      </c>
      <c r="I197" s="175"/>
    </row>
    <row r="198" spans="1:9" x14ac:dyDescent="0.25">
      <c r="A198">
        <v>28</v>
      </c>
      <c r="I198" s="175"/>
    </row>
    <row r="199" spans="1:9" x14ac:dyDescent="0.25">
      <c r="A199">
        <v>999</v>
      </c>
      <c r="I199" s="175"/>
    </row>
    <row r="200" spans="1:9" x14ac:dyDescent="0.25">
      <c r="A200">
        <v>999</v>
      </c>
      <c r="I200" s="175"/>
    </row>
    <row r="201" spans="1:9" x14ac:dyDescent="0.25">
      <c r="A201">
        <v>93000</v>
      </c>
      <c r="I201" s="175"/>
    </row>
    <row r="202" spans="1:9" x14ac:dyDescent="0.25">
      <c r="A202">
        <v>29278</v>
      </c>
      <c r="I202" s="175"/>
    </row>
    <row r="203" spans="1:9" x14ac:dyDescent="0.25">
      <c r="A203">
        <v>13261</v>
      </c>
      <c r="I203" s="175"/>
    </row>
    <row r="204" spans="1:9" x14ac:dyDescent="0.25">
      <c r="A204">
        <v>113564</v>
      </c>
      <c r="I204" s="175"/>
    </row>
    <row r="205" spans="1:9" x14ac:dyDescent="0.25">
      <c r="A205">
        <v>16209</v>
      </c>
      <c r="I205" s="175"/>
    </row>
    <row r="206" spans="1:9" x14ac:dyDescent="0.25">
      <c r="A206">
        <v>10110</v>
      </c>
      <c r="I206" s="175"/>
    </row>
    <row r="207" spans="1:9" x14ac:dyDescent="0.25">
      <c r="A207">
        <v>65000</v>
      </c>
      <c r="I207" s="175"/>
    </row>
    <row r="208" spans="1:9" x14ac:dyDescent="0.25">
      <c r="A208">
        <v>17000</v>
      </c>
      <c r="I208" s="175"/>
    </row>
    <row r="209" spans="1:9" x14ac:dyDescent="0.25">
      <c r="A209">
        <v>14000</v>
      </c>
      <c r="I209" s="175"/>
    </row>
    <row r="210" spans="1:9" x14ac:dyDescent="0.25">
      <c r="A210">
        <v>6800</v>
      </c>
      <c r="I210" s="175"/>
    </row>
    <row r="211" spans="1:9" x14ac:dyDescent="0.25">
      <c r="A211">
        <v>8319</v>
      </c>
      <c r="I211" s="175"/>
    </row>
    <row r="212" spans="1:9" x14ac:dyDescent="0.25">
      <c r="A212">
        <v>12500</v>
      </c>
      <c r="I212" s="175"/>
    </row>
    <row r="213" spans="1:9" x14ac:dyDescent="0.25">
      <c r="A213">
        <v>2816</v>
      </c>
      <c r="I213" s="175"/>
    </row>
    <row r="214" spans="1:9" x14ac:dyDescent="0.25">
      <c r="A214">
        <v>9001</v>
      </c>
      <c r="I214" s="175"/>
    </row>
    <row r="215" spans="1:9" x14ac:dyDescent="0.25">
      <c r="A215">
        <v>80000</v>
      </c>
      <c r="I215" s="175"/>
    </row>
    <row r="216" spans="1:9" x14ac:dyDescent="0.25">
      <c r="A216">
        <v>10868</v>
      </c>
      <c r="I216" s="175"/>
    </row>
    <row r="217" spans="1:9" x14ac:dyDescent="0.25">
      <c r="A217">
        <v>501726</v>
      </c>
      <c r="I217" s="175"/>
    </row>
    <row r="218" spans="1:9" x14ac:dyDescent="0.25">
      <c r="A218">
        <v>1327524</v>
      </c>
      <c r="I218" s="175"/>
    </row>
    <row r="219" spans="1:9" x14ac:dyDescent="0.25">
      <c r="A219">
        <v>0</v>
      </c>
      <c r="I219" s="175"/>
    </row>
    <row r="220" spans="1:9" x14ac:dyDescent="0.25">
      <c r="A220">
        <v>1500</v>
      </c>
      <c r="I220" s="175"/>
    </row>
    <row r="221" spans="1:9" x14ac:dyDescent="0.25">
      <c r="A221">
        <v>1327524</v>
      </c>
      <c r="I221" s="175"/>
    </row>
    <row r="222" spans="1:9" x14ac:dyDescent="0.25">
      <c r="A222">
        <v>0</v>
      </c>
      <c r="I222" s="175"/>
    </row>
    <row r="223" spans="1:9" x14ac:dyDescent="0.25">
      <c r="A223">
        <v>1320961</v>
      </c>
      <c r="I223" s="175"/>
    </row>
    <row r="224" spans="1:9" x14ac:dyDescent="0.25">
      <c r="A224">
        <v>0</v>
      </c>
      <c r="I224" s="175"/>
    </row>
    <row r="225" spans="1:9" x14ac:dyDescent="0.25">
      <c r="A225">
        <v>2875</v>
      </c>
      <c r="I225" s="175"/>
    </row>
    <row r="226" spans="1:9" x14ac:dyDescent="0.25">
      <c r="A226">
        <v>0</v>
      </c>
      <c r="I226" s="175"/>
    </row>
    <row r="227" spans="1:9" x14ac:dyDescent="0.25">
      <c r="A227">
        <v>325000</v>
      </c>
      <c r="I227" s="175"/>
    </row>
    <row r="228" spans="1:9" x14ac:dyDescent="0.25">
      <c r="A228">
        <v>0</v>
      </c>
      <c r="I228" s="175"/>
    </row>
    <row r="229" spans="1:9" x14ac:dyDescent="0.25">
      <c r="A229">
        <v>0</v>
      </c>
      <c r="I229" s="175"/>
    </row>
    <row r="230" spans="1:9" x14ac:dyDescent="0.25">
      <c r="A230">
        <v>0</v>
      </c>
      <c r="I230" s="175"/>
    </row>
    <row r="231" spans="1:9" x14ac:dyDescent="0.25">
      <c r="A231">
        <v>0</v>
      </c>
      <c r="I231" s="175"/>
    </row>
    <row r="232" spans="1:9" x14ac:dyDescent="0.25">
      <c r="A232">
        <v>0</v>
      </c>
      <c r="I232" s="175"/>
    </row>
    <row r="233" spans="1:9" x14ac:dyDescent="0.25">
      <c r="A233">
        <v>-315562</v>
      </c>
      <c r="I233" s="175"/>
    </row>
    <row r="234" spans="1:9" x14ac:dyDescent="0.25">
      <c r="A234">
        <v>1829005</v>
      </c>
      <c r="I234" s="175"/>
    </row>
    <row r="235" spans="1:9" x14ac:dyDescent="0.25">
      <c r="A235">
        <v>999</v>
      </c>
      <c r="I235" s="175"/>
    </row>
    <row r="236" spans="1:9" x14ac:dyDescent="0.25">
      <c r="A236">
        <v>999</v>
      </c>
      <c r="I236" s="175"/>
    </row>
    <row r="237" spans="1:9" x14ac:dyDescent="0.25">
      <c r="A237">
        <v>999</v>
      </c>
      <c r="I237" s="175"/>
    </row>
    <row r="238" spans="1:9" x14ac:dyDescent="0.25">
      <c r="A238">
        <v>600000</v>
      </c>
      <c r="I238" s="175"/>
    </row>
    <row r="239" spans="1:9" x14ac:dyDescent="0.25">
      <c r="A239">
        <v>1371000</v>
      </c>
      <c r="I239" s="175"/>
    </row>
    <row r="240" spans="1:9" x14ac:dyDescent="0.25">
      <c r="A240">
        <v>-186085</v>
      </c>
      <c r="I240" s="175"/>
    </row>
    <row r="241" spans="1:9" x14ac:dyDescent="0.25">
      <c r="A241">
        <v>1316350</v>
      </c>
      <c r="I241" s="175"/>
    </row>
    <row r="242" spans="1:9" x14ac:dyDescent="0.25">
      <c r="A242">
        <v>129336</v>
      </c>
      <c r="I242" s="175"/>
    </row>
    <row r="243" spans="1:9" x14ac:dyDescent="0.25">
      <c r="A243">
        <v>164000</v>
      </c>
      <c r="I243" s="175"/>
    </row>
    <row r="244" spans="1:9" x14ac:dyDescent="0.25">
      <c r="A244">
        <v>338586</v>
      </c>
      <c r="I244" s="175"/>
    </row>
    <row r="245" spans="1:9" x14ac:dyDescent="0.25">
      <c r="A245">
        <v>73185</v>
      </c>
      <c r="I245" s="175"/>
    </row>
    <row r="246" spans="1:9" x14ac:dyDescent="0.25">
      <c r="A246">
        <v>187458</v>
      </c>
      <c r="I246" s="175"/>
    </row>
    <row r="247" spans="1:9" x14ac:dyDescent="0.25">
      <c r="A247">
        <v>123019</v>
      </c>
      <c r="I247" s="175"/>
    </row>
    <row r="248" spans="1:9" x14ac:dyDescent="0.25">
      <c r="A248">
        <v>2908</v>
      </c>
      <c r="I248" s="175"/>
    </row>
    <row r="249" spans="1:9" x14ac:dyDescent="0.25">
      <c r="A249">
        <v>40700</v>
      </c>
      <c r="I249" s="175"/>
    </row>
    <row r="250" spans="1:9" x14ac:dyDescent="0.25">
      <c r="A250">
        <v>307487</v>
      </c>
      <c r="I250" s="175"/>
    </row>
    <row r="251" spans="1:9" x14ac:dyDescent="0.25">
      <c r="A251">
        <v>751705</v>
      </c>
      <c r="I251" s="175"/>
    </row>
    <row r="252" spans="1:9" x14ac:dyDescent="0.25">
      <c r="A252">
        <v>564645</v>
      </c>
      <c r="I252" s="175"/>
    </row>
    <row r="253" spans="1:9" x14ac:dyDescent="0.25">
      <c r="A253">
        <v>0</v>
      </c>
      <c r="I253" s="175"/>
    </row>
    <row r="254" spans="1:9" x14ac:dyDescent="0.25">
      <c r="A254">
        <v>34270</v>
      </c>
      <c r="I254" s="175"/>
    </row>
    <row r="255" spans="1:9" x14ac:dyDescent="0.25">
      <c r="A255">
        <v>0</v>
      </c>
      <c r="I255" s="175"/>
    </row>
    <row r="256" spans="1:9" x14ac:dyDescent="0.25">
      <c r="A256">
        <v>31524</v>
      </c>
      <c r="I256" s="175"/>
    </row>
    <row r="257" spans="1:9" x14ac:dyDescent="0.25">
      <c r="A257">
        <v>-154561</v>
      </c>
      <c r="I257" s="175"/>
    </row>
    <row r="258" spans="1:9" x14ac:dyDescent="0.25">
      <c r="A258">
        <v>999</v>
      </c>
      <c r="I258" s="175"/>
    </row>
    <row r="259" spans="1:9" x14ac:dyDescent="0.25">
      <c r="A259">
        <v>999</v>
      </c>
      <c r="I259" s="175"/>
    </row>
    <row r="260" spans="1:9" x14ac:dyDescent="0.25">
      <c r="A260">
        <v>-186085</v>
      </c>
      <c r="I260" s="175"/>
    </row>
    <row r="261" spans="1:9" x14ac:dyDescent="0.25">
      <c r="A261">
        <v>50000</v>
      </c>
      <c r="I261" s="175"/>
    </row>
    <row r="262" spans="1:9" x14ac:dyDescent="0.25">
      <c r="A262">
        <v>275000</v>
      </c>
      <c r="I262" s="175"/>
    </row>
    <row r="263" spans="1:9" x14ac:dyDescent="0.25">
      <c r="A263">
        <v>1336600</v>
      </c>
      <c r="I263" s="175"/>
    </row>
    <row r="264" spans="1:9" x14ac:dyDescent="0.25">
      <c r="A264">
        <v>0</v>
      </c>
      <c r="I264" s="175"/>
    </row>
    <row r="265" spans="1:9" x14ac:dyDescent="0.25">
      <c r="A265">
        <v>37410</v>
      </c>
      <c r="I265" s="175"/>
    </row>
    <row r="266" spans="1:9" x14ac:dyDescent="0.25">
      <c r="A266">
        <v>164000</v>
      </c>
      <c r="I266" s="175"/>
    </row>
    <row r="267" spans="1:9" x14ac:dyDescent="0.25">
      <c r="A267">
        <v>106077</v>
      </c>
      <c r="I267" s="175"/>
    </row>
    <row r="268" spans="1:9" x14ac:dyDescent="0.25">
      <c r="A268">
        <v>795131</v>
      </c>
      <c r="I268" s="175"/>
    </row>
    <row r="269" spans="1:9" x14ac:dyDescent="0.25">
      <c r="A269">
        <v>1513443</v>
      </c>
      <c r="I269" s="175"/>
    </row>
    <row r="270" spans="1:9" x14ac:dyDescent="0.25">
      <c r="A270">
        <v>1150000</v>
      </c>
      <c r="I270" s="175"/>
    </row>
    <row r="271" spans="1:9" x14ac:dyDescent="0.25">
      <c r="A271">
        <v>0</v>
      </c>
      <c r="I271" s="175"/>
    </row>
    <row r="272" spans="1:9" x14ac:dyDescent="0.25">
      <c r="A272">
        <v>432222</v>
      </c>
      <c r="I272" s="175"/>
    </row>
    <row r="273" spans="1:9" x14ac:dyDescent="0.25">
      <c r="A273">
        <v>0</v>
      </c>
      <c r="I273" s="175"/>
    </row>
    <row r="274" spans="1:9" x14ac:dyDescent="0.25">
      <c r="A274">
        <v>0</v>
      </c>
      <c r="I274" s="175"/>
    </row>
    <row r="275" spans="1:9" x14ac:dyDescent="0.25">
      <c r="A275">
        <v>4000000</v>
      </c>
      <c r="I275" s="175"/>
    </row>
    <row r="276" spans="1:9" x14ac:dyDescent="0.25">
      <c r="A276">
        <v>0</v>
      </c>
      <c r="I276" s="175"/>
    </row>
    <row r="277" spans="1:9" x14ac:dyDescent="0.25">
      <c r="A277">
        <v>3845439</v>
      </c>
      <c r="I277" s="175"/>
    </row>
    <row r="278" spans="1:9" x14ac:dyDescent="0.25">
      <c r="A278">
        <v>999</v>
      </c>
      <c r="I278" s="175"/>
    </row>
    <row r="279" spans="1:9" x14ac:dyDescent="0.25">
      <c r="A279">
        <v>999</v>
      </c>
      <c r="I279" s="175"/>
    </row>
    <row r="280" spans="1:9" x14ac:dyDescent="0.25">
      <c r="A280">
        <v>999</v>
      </c>
      <c r="I280" s="175"/>
    </row>
    <row r="281" spans="1:9" x14ac:dyDescent="0.25">
      <c r="A281">
        <v>1000</v>
      </c>
      <c r="I281" s="175"/>
    </row>
    <row r="282" spans="1:9" x14ac:dyDescent="0.25">
      <c r="A282">
        <v>999</v>
      </c>
      <c r="I282" s="175"/>
    </row>
    <row r="283" spans="1:9" x14ac:dyDescent="0.25">
      <c r="A283">
        <v>999</v>
      </c>
      <c r="I283" s="175"/>
    </row>
    <row r="284" spans="1:9" x14ac:dyDescent="0.25">
      <c r="A284">
        <v>550</v>
      </c>
      <c r="I284" s="175"/>
    </row>
    <row r="285" spans="1:9" x14ac:dyDescent="0.25">
      <c r="A285">
        <v>125</v>
      </c>
      <c r="I285" s="175"/>
    </row>
    <row r="286" spans="1:9" x14ac:dyDescent="0.25">
      <c r="A286">
        <v>210</v>
      </c>
      <c r="I286" s="175"/>
    </row>
    <row r="287" spans="1:9" x14ac:dyDescent="0.25">
      <c r="A287">
        <v>70</v>
      </c>
      <c r="I287" s="175"/>
    </row>
    <row r="288" spans="1:9" x14ac:dyDescent="0.25">
      <c r="A288">
        <v>999</v>
      </c>
      <c r="I288" s="175"/>
    </row>
    <row r="289" spans="1:9" x14ac:dyDescent="0.25">
      <c r="A289">
        <v>999</v>
      </c>
      <c r="I289" s="175"/>
    </row>
    <row r="290" spans="1:9" x14ac:dyDescent="0.25">
      <c r="A290">
        <v>999</v>
      </c>
      <c r="I290" s="175"/>
    </row>
    <row r="291" spans="1:9" x14ac:dyDescent="0.25">
      <c r="A291">
        <v>0</v>
      </c>
      <c r="I291" s="175"/>
    </row>
    <row r="292" spans="1:9" x14ac:dyDescent="0.25">
      <c r="A292">
        <v>4</v>
      </c>
      <c r="I292" s="175"/>
    </row>
    <row r="293" spans="1:9" x14ac:dyDescent="0.25">
      <c r="A293">
        <v>1</v>
      </c>
      <c r="I293" s="175"/>
    </row>
    <row r="294" spans="1:9" x14ac:dyDescent="0.25">
      <c r="A294">
        <v>5</v>
      </c>
      <c r="I294" s="175"/>
    </row>
    <row r="295" spans="1:9" x14ac:dyDescent="0.25">
      <c r="A295">
        <v>1381</v>
      </c>
      <c r="I295" s="175"/>
    </row>
    <row r="296" spans="1:9" x14ac:dyDescent="0.25">
      <c r="A296">
        <v>8</v>
      </c>
      <c r="I296" s="175"/>
    </row>
    <row r="297" spans="1:9" x14ac:dyDescent="0.25">
      <c r="A297">
        <v>500</v>
      </c>
      <c r="I297" s="175"/>
    </row>
    <row r="298" spans="1:9" x14ac:dyDescent="0.25">
      <c r="A298">
        <v>2</v>
      </c>
      <c r="I298" s="175"/>
    </row>
    <row r="299" spans="1:9" x14ac:dyDescent="0.25">
      <c r="A299">
        <v>300</v>
      </c>
      <c r="I299" s="175"/>
    </row>
    <row r="300" spans="1:9" x14ac:dyDescent="0.25">
      <c r="A300">
        <v>2</v>
      </c>
      <c r="I300" s="175"/>
    </row>
    <row r="301" spans="1:9" x14ac:dyDescent="0.25">
      <c r="A301">
        <v>4272</v>
      </c>
      <c r="I301" s="175"/>
    </row>
    <row r="302" spans="1:9" x14ac:dyDescent="0.25">
      <c r="A302">
        <v>60</v>
      </c>
      <c r="I302" s="175"/>
    </row>
    <row r="303" spans="1:9" x14ac:dyDescent="0.25">
      <c r="A303">
        <v>3920</v>
      </c>
      <c r="I303" s="175"/>
    </row>
    <row r="304" spans="1:9" x14ac:dyDescent="0.25">
      <c r="A304">
        <v>93</v>
      </c>
      <c r="I304" s="175"/>
    </row>
    <row r="305" spans="1:9" x14ac:dyDescent="0.25">
      <c r="A305">
        <v>12096</v>
      </c>
      <c r="I305" s="175"/>
    </row>
    <row r="306" spans="1:9" x14ac:dyDescent="0.25">
      <c r="A306">
        <v>165</v>
      </c>
      <c r="I306" s="175"/>
    </row>
    <row r="307" spans="1:9" x14ac:dyDescent="0.25">
      <c r="A307">
        <v>8169</v>
      </c>
      <c r="I307" s="175"/>
    </row>
    <row r="308" spans="1:9" x14ac:dyDescent="0.25">
      <c r="A308">
        <v>1</v>
      </c>
      <c r="I308" s="175"/>
    </row>
    <row r="309" spans="1:9" x14ac:dyDescent="0.25">
      <c r="A309">
        <v>999</v>
      </c>
      <c r="I309" s="175"/>
    </row>
    <row r="310" spans="1:9" x14ac:dyDescent="0.25">
      <c r="A310">
        <v>999</v>
      </c>
      <c r="I310" s="175"/>
    </row>
    <row r="311" spans="1:9" x14ac:dyDescent="0.25">
      <c r="A311">
        <v>1720</v>
      </c>
      <c r="I311" s="175"/>
    </row>
    <row r="312" spans="1:9" x14ac:dyDescent="0.25">
      <c r="A312">
        <v>154</v>
      </c>
      <c r="I312" s="175"/>
    </row>
    <row r="313" spans="1:9" x14ac:dyDescent="0.25">
      <c r="A313">
        <v>0</v>
      </c>
      <c r="I313" s="175"/>
    </row>
    <row r="314" spans="1:9" x14ac:dyDescent="0.25">
      <c r="A314">
        <v>0</v>
      </c>
      <c r="I314" s="175"/>
    </row>
    <row r="315" spans="1:9" x14ac:dyDescent="0.25">
      <c r="A315">
        <v>4891</v>
      </c>
      <c r="I315" s="175"/>
    </row>
    <row r="316" spans="1:9" x14ac:dyDescent="0.25">
      <c r="A316">
        <v>1983</v>
      </c>
      <c r="I316" s="175"/>
    </row>
    <row r="317" spans="1:9" x14ac:dyDescent="0.25">
      <c r="A317">
        <v>0</v>
      </c>
      <c r="I317" s="175"/>
    </row>
    <row r="318" spans="1:9" x14ac:dyDescent="0.25">
      <c r="A318">
        <v>5</v>
      </c>
      <c r="I318" s="175"/>
    </row>
    <row r="319" spans="1:9" x14ac:dyDescent="0.25">
      <c r="A319">
        <v>11617</v>
      </c>
      <c r="I319" s="175"/>
    </row>
    <row r="320" spans="1:9" x14ac:dyDescent="0.25">
      <c r="A320">
        <v>998</v>
      </c>
      <c r="I320" s="175"/>
    </row>
    <row r="321" spans="1:9" x14ac:dyDescent="0.25">
      <c r="A321">
        <v>3</v>
      </c>
      <c r="I321" s="175"/>
    </row>
    <row r="322" spans="1:9" x14ac:dyDescent="0.25">
      <c r="A322">
        <v>1</v>
      </c>
      <c r="I322" s="175"/>
    </row>
    <row r="323" spans="1:9" x14ac:dyDescent="0.25">
      <c r="A323">
        <v>0</v>
      </c>
      <c r="I323" s="175"/>
    </row>
    <row r="324" spans="1:9" x14ac:dyDescent="0.25">
      <c r="A324">
        <v>0</v>
      </c>
      <c r="I324" s="175"/>
    </row>
    <row r="325" spans="1:9" x14ac:dyDescent="0.25">
      <c r="A325">
        <v>3</v>
      </c>
      <c r="I325" s="175"/>
    </row>
    <row r="326" spans="1:9" x14ac:dyDescent="0.25">
      <c r="A326">
        <v>1</v>
      </c>
      <c r="I326" s="175"/>
    </row>
    <row r="327" spans="1:9" x14ac:dyDescent="0.25">
      <c r="A327">
        <v>5</v>
      </c>
      <c r="I327" s="175"/>
    </row>
    <row r="328" spans="1:9" x14ac:dyDescent="0.25">
      <c r="A328">
        <v>5</v>
      </c>
      <c r="I328" s="175"/>
    </row>
    <row r="329" spans="1:9" x14ac:dyDescent="0.25">
      <c r="A329">
        <v>49</v>
      </c>
      <c r="I329" s="175"/>
    </row>
    <row r="330" spans="1:9" x14ac:dyDescent="0.25">
      <c r="A330" s="695" t="s">
        <v>0</v>
      </c>
      <c r="I330" s="175"/>
    </row>
    <row r="331" spans="1:9" x14ac:dyDescent="0.25">
      <c r="A331">
        <v>1</v>
      </c>
      <c r="I331" s="175"/>
    </row>
    <row r="332" spans="1:9" x14ac:dyDescent="0.25">
      <c r="A332" t="s">
        <v>649</v>
      </c>
      <c r="I332" s="175"/>
    </row>
    <row r="333" spans="1:9" x14ac:dyDescent="0.25">
      <c r="A333" t="s">
        <v>619</v>
      </c>
      <c r="I333" s="175"/>
    </row>
    <row r="334" spans="1:9" x14ac:dyDescent="0.25">
      <c r="A334" t="s">
        <v>665</v>
      </c>
      <c r="I334" s="175"/>
    </row>
    <row r="335" spans="1:9" x14ac:dyDescent="0.25">
      <c r="A335" t="s">
        <v>613</v>
      </c>
      <c r="I335" s="175"/>
    </row>
    <row r="336" spans="1:9" x14ac:dyDescent="0.25">
      <c r="A336" t="s">
        <v>632</v>
      </c>
      <c r="I336" s="175"/>
    </row>
    <row r="337" spans="1:9" x14ac:dyDescent="0.25">
      <c r="A337" t="s">
        <v>642</v>
      </c>
      <c r="I337" s="175"/>
    </row>
    <row r="338" spans="1:9" x14ac:dyDescent="0.25">
      <c r="A338" t="s">
        <v>616</v>
      </c>
      <c r="I338" s="175"/>
    </row>
    <row r="339" spans="1:9" x14ac:dyDescent="0.25">
      <c r="A339" t="s">
        <v>621</v>
      </c>
      <c r="I339" s="175"/>
    </row>
    <row r="340" spans="1:9" x14ac:dyDescent="0.25">
      <c r="A340" t="s">
        <v>626</v>
      </c>
      <c r="I340" s="175"/>
    </row>
    <row r="341" spans="1:9" x14ac:dyDescent="0.25">
      <c r="A341">
        <v>2</v>
      </c>
      <c r="I341" s="175"/>
    </row>
    <row r="342" spans="1:9" x14ac:dyDescent="0.25">
      <c r="A342" t="s">
        <v>650</v>
      </c>
      <c r="I342" s="175"/>
    </row>
    <row r="343" spans="1:9" x14ac:dyDescent="0.25">
      <c r="A343" t="s">
        <v>619</v>
      </c>
      <c r="I343" s="175"/>
    </row>
    <row r="344" spans="1:9" x14ac:dyDescent="0.25">
      <c r="A344" t="s">
        <v>665</v>
      </c>
      <c r="I344" s="175"/>
    </row>
    <row r="345" spans="1:9" x14ac:dyDescent="0.25">
      <c r="A345" t="s">
        <v>613</v>
      </c>
      <c r="I345" s="175"/>
    </row>
    <row r="346" spans="1:9" x14ac:dyDescent="0.25">
      <c r="A346" t="s">
        <v>637</v>
      </c>
      <c r="I346" s="175"/>
    </row>
    <row r="347" spans="1:9" x14ac:dyDescent="0.25">
      <c r="A347" t="s">
        <v>642</v>
      </c>
      <c r="I347" s="175"/>
    </row>
    <row r="348" spans="1:9" x14ac:dyDescent="0.25">
      <c r="A348" t="s">
        <v>616</v>
      </c>
      <c r="I348" s="175"/>
    </row>
    <row r="349" spans="1:9" x14ac:dyDescent="0.25">
      <c r="A349" t="s">
        <v>623</v>
      </c>
      <c r="I349" s="175"/>
    </row>
    <row r="350" spans="1:9" x14ac:dyDescent="0.25">
      <c r="A350" t="s">
        <v>631</v>
      </c>
      <c r="I350" s="175"/>
    </row>
    <row r="351" spans="1:9" x14ac:dyDescent="0.25">
      <c r="A351">
        <v>3</v>
      </c>
      <c r="I351" s="175"/>
    </row>
    <row r="352" spans="1:9" x14ac:dyDescent="0.25">
      <c r="A352" t="s">
        <v>651</v>
      </c>
      <c r="I352" s="175"/>
    </row>
    <row r="353" spans="1:9" x14ac:dyDescent="0.25">
      <c r="A353" t="s">
        <v>655</v>
      </c>
      <c r="I353" s="175"/>
    </row>
    <row r="354" spans="1:9" x14ac:dyDescent="0.25">
      <c r="A354" t="s">
        <v>621</v>
      </c>
      <c r="I354" s="175"/>
    </row>
    <row r="355" spans="1:9" x14ac:dyDescent="0.25">
      <c r="A355" t="s">
        <v>664</v>
      </c>
      <c r="I355" s="175"/>
    </row>
    <row r="356" spans="1:9" x14ac:dyDescent="0.25">
      <c r="A356" t="s">
        <v>637</v>
      </c>
      <c r="I356" s="175"/>
    </row>
    <row r="357" spans="1:9" x14ac:dyDescent="0.25">
      <c r="A357" t="s">
        <v>645</v>
      </c>
      <c r="I357" s="175"/>
    </row>
    <row r="358" spans="1:9" x14ac:dyDescent="0.25">
      <c r="A358" t="s">
        <v>658</v>
      </c>
      <c r="I358" s="175"/>
    </row>
    <row r="359" spans="1:9" x14ac:dyDescent="0.25">
      <c r="A359" t="s">
        <v>700</v>
      </c>
      <c r="I359" s="175"/>
    </row>
    <row r="360" spans="1:9" x14ac:dyDescent="0.25">
      <c r="A360" t="s">
        <v>627</v>
      </c>
      <c r="I360" s="175"/>
    </row>
    <row r="361" spans="1:9" x14ac:dyDescent="0.25">
      <c r="A361">
        <v>4</v>
      </c>
      <c r="I361" s="175"/>
    </row>
    <row r="362" spans="1:9" x14ac:dyDescent="0.25">
      <c r="A362" t="s">
        <v>628</v>
      </c>
      <c r="I362" s="175"/>
    </row>
    <row r="363" spans="1:9" x14ac:dyDescent="0.25">
      <c r="A363" t="s">
        <v>655</v>
      </c>
      <c r="I363" s="175"/>
    </row>
    <row r="364" spans="1:9" x14ac:dyDescent="0.25">
      <c r="A364" t="s">
        <v>645</v>
      </c>
      <c r="I364" s="175"/>
    </row>
    <row r="365" spans="1:9" x14ac:dyDescent="0.25">
      <c r="A365" t="s">
        <v>660</v>
      </c>
      <c r="I365" s="175"/>
    </row>
    <row r="366" spans="1:9" x14ac:dyDescent="0.25">
      <c r="A366" t="s">
        <v>625</v>
      </c>
      <c r="I366" s="175"/>
    </row>
    <row r="367" spans="1:9" x14ac:dyDescent="0.25">
      <c r="A367" t="s">
        <v>662</v>
      </c>
      <c r="I367" s="175"/>
    </row>
    <row r="368" spans="1:9" x14ac:dyDescent="0.25">
      <c r="A368" t="s">
        <v>641</v>
      </c>
      <c r="I368" s="175"/>
    </row>
    <row r="369" spans="1:9" x14ac:dyDescent="0.25">
      <c r="A369" t="s">
        <v>623</v>
      </c>
      <c r="I369" s="175"/>
    </row>
    <row r="370" spans="1:9" x14ac:dyDescent="0.25">
      <c r="A370" t="s">
        <v>616</v>
      </c>
      <c r="I370" s="175"/>
    </row>
    <row r="371" spans="1:9" x14ac:dyDescent="0.25">
      <c r="A371">
        <v>5</v>
      </c>
      <c r="I371" s="175"/>
    </row>
    <row r="372" spans="1:9" x14ac:dyDescent="0.25">
      <c r="A372" t="s">
        <v>622</v>
      </c>
      <c r="I372" s="175"/>
    </row>
    <row r="373" spans="1:9" x14ac:dyDescent="0.25">
      <c r="A373" t="s">
        <v>655</v>
      </c>
      <c r="I373" s="175"/>
    </row>
    <row r="374" spans="1:9" x14ac:dyDescent="0.25">
      <c r="A374" t="s">
        <v>622</v>
      </c>
      <c r="I374" s="175"/>
    </row>
    <row r="375" spans="1:9" x14ac:dyDescent="0.25">
      <c r="A375" t="s">
        <v>669</v>
      </c>
      <c r="I375" s="175"/>
    </row>
    <row r="376" spans="1:9" x14ac:dyDescent="0.25">
      <c r="A376" t="s">
        <v>637</v>
      </c>
      <c r="I376" s="175"/>
    </row>
    <row r="377" spans="1:9" x14ac:dyDescent="0.25">
      <c r="A377" t="s">
        <v>657</v>
      </c>
      <c r="I377" s="175"/>
    </row>
    <row r="378" spans="1:9" x14ac:dyDescent="0.25">
      <c r="A378" t="s">
        <v>654</v>
      </c>
      <c r="I378" s="175"/>
    </row>
    <row r="379" spans="1:9" x14ac:dyDescent="0.25">
      <c r="A379" t="s">
        <v>621</v>
      </c>
      <c r="I379" s="175"/>
    </row>
    <row r="380" spans="1:9" x14ac:dyDescent="0.25">
      <c r="A380" t="s">
        <v>701</v>
      </c>
      <c r="I380" s="175"/>
    </row>
    <row r="381" spans="1:9" x14ac:dyDescent="0.25">
      <c r="A381">
        <v>6</v>
      </c>
      <c r="I381" s="175"/>
    </row>
    <row r="382" spans="1:9" x14ac:dyDescent="0.25">
      <c r="A382" t="s">
        <v>702</v>
      </c>
      <c r="I382" s="175"/>
    </row>
    <row r="383" spans="1:9" x14ac:dyDescent="0.25">
      <c r="A383" t="s">
        <v>629</v>
      </c>
      <c r="I383" s="175"/>
    </row>
    <row r="384" spans="1:9" x14ac:dyDescent="0.25">
      <c r="A384" t="s">
        <v>617</v>
      </c>
      <c r="I384" s="175"/>
    </row>
    <row r="385" spans="1:9" x14ac:dyDescent="0.25">
      <c r="A385" t="s">
        <v>626</v>
      </c>
      <c r="I385" s="175"/>
    </row>
    <row r="386" spans="1:9" x14ac:dyDescent="0.25">
      <c r="A386" t="s">
        <v>625</v>
      </c>
      <c r="I386" s="175"/>
    </row>
    <row r="387" spans="1:9" x14ac:dyDescent="0.25">
      <c r="A387" t="s">
        <v>623</v>
      </c>
      <c r="I387" s="175"/>
    </row>
    <row r="388" spans="1:9" x14ac:dyDescent="0.25">
      <c r="A388" t="s">
        <v>624</v>
      </c>
      <c r="I388" s="175"/>
    </row>
    <row r="389" spans="1:9" x14ac:dyDescent="0.25">
      <c r="A389" t="s">
        <v>634</v>
      </c>
      <c r="I389" s="175"/>
    </row>
    <row r="390" spans="1:9" x14ac:dyDescent="0.25">
      <c r="A390" t="s">
        <v>661</v>
      </c>
      <c r="I390" s="175"/>
    </row>
    <row r="391" spans="1:9" x14ac:dyDescent="0.25">
      <c r="A391">
        <v>7</v>
      </c>
      <c r="I391" s="175"/>
    </row>
    <row r="392" spans="1:9" x14ac:dyDescent="0.25">
      <c r="A392" t="s">
        <v>651</v>
      </c>
      <c r="I392" s="175"/>
    </row>
    <row r="393" spans="1:9" x14ac:dyDescent="0.25">
      <c r="A393" t="s">
        <v>629</v>
      </c>
      <c r="I393" s="175"/>
    </row>
    <row r="394" spans="1:9" x14ac:dyDescent="0.25">
      <c r="A394" t="s">
        <v>615</v>
      </c>
      <c r="I394" s="175"/>
    </row>
    <row r="395" spans="1:9" x14ac:dyDescent="0.25">
      <c r="A395" t="s">
        <v>656</v>
      </c>
      <c r="I395" s="175"/>
    </row>
    <row r="396" spans="1:9" x14ac:dyDescent="0.25">
      <c r="A396" t="s">
        <v>625</v>
      </c>
      <c r="I396" s="175"/>
    </row>
    <row r="397" spans="1:9" x14ac:dyDescent="0.25">
      <c r="A397" t="s">
        <v>702</v>
      </c>
      <c r="I397" s="175"/>
    </row>
    <row r="398" spans="1:9" x14ac:dyDescent="0.25">
      <c r="A398" t="s">
        <v>663</v>
      </c>
      <c r="I398" s="175"/>
    </row>
    <row r="399" spans="1:9" x14ac:dyDescent="0.25">
      <c r="A399" t="s">
        <v>623</v>
      </c>
      <c r="I399" s="175"/>
    </row>
    <row r="400" spans="1:9" x14ac:dyDescent="0.25">
      <c r="A400" t="s">
        <v>669</v>
      </c>
      <c r="I400" s="175"/>
    </row>
    <row r="401" spans="1:9" x14ac:dyDescent="0.25">
      <c r="A401">
        <v>8</v>
      </c>
      <c r="I401" s="175"/>
    </row>
    <row r="402" spans="1:9" x14ac:dyDescent="0.25">
      <c r="A402">
        <v>0</v>
      </c>
      <c r="I402" s="175"/>
    </row>
    <row r="403" spans="1:9" x14ac:dyDescent="0.25">
      <c r="A403">
        <v>0</v>
      </c>
      <c r="I403" s="175"/>
    </row>
    <row r="404" spans="1:9" x14ac:dyDescent="0.25">
      <c r="A404">
        <v>0</v>
      </c>
      <c r="I404" s="175"/>
    </row>
    <row r="405" spans="1:9" x14ac:dyDescent="0.25">
      <c r="A405">
        <v>0</v>
      </c>
      <c r="I405" s="175"/>
    </row>
    <row r="406" spans="1:9" x14ac:dyDescent="0.25">
      <c r="A406">
        <v>0</v>
      </c>
      <c r="I406" s="175"/>
    </row>
    <row r="407" spans="1:9" x14ac:dyDescent="0.25">
      <c r="A407">
        <v>0</v>
      </c>
      <c r="I407" s="175"/>
    </row>
    <row r="408" spans="1:9" x14ac:dyDescent="0.25">
      <c r="A408">
        <v>0</v>
      </c>
      <c r="I408" s="175"/>
    </row>
    <row r="409" spans="1:9" x14ac:dyDescent="0.25">
      <c r="A409">
        <v>0</v>
      </c>
      <c r="I409" s="175"/>
    </row>
    <row r="410" spans="1:9" x14ac:dyDescent="0.25">
      <c r="A410">
        <v>0</v>
      </c>
      <c r="I410" s="175"/>
    </row>
    <row r="411" spans="1:9" x14ac:dyDescent="0.25">
      <c r="A411">
        <v>999</v>
      </c>
      <c r="I411" s="175"/>
    </row>
    <row r="412" spans="1:9" x14ac:dyDescent="0.25">
      <c r="A412">
        <v>999</v>
      </c>
      <c r="I412" s="175"/>
    </row>
    <row r="413" spans="1:9" x14ac:dyDescent="0.25">
      <c r="A413">
        <v>999</v>
      </c>
      <c r="I413" s="175"/>
    </row>
    <row r="414" spans="1:9" x14ac:dyDescent="0.25">
      <c r="A414">
        <v>999</v>
      </c>
      <c r="I414" s="175"/>
    </row>
    <row r="415" spans="1:9" x14ac:dyDescent="0.25">
      <c r="A415">
        <v>999</v>
      </c>
      <c r="I415" s="175"/>
    </row>
    <row r="416" spans="1:9" x14ac:dyDescent="0.25">
      <c r="A416">
        <v>999</v>
      </c>
      <c r="I416" s="175"/>
    </row>
    <row r="417" spans="1:9" x14ac:dyDescent="0.25">
      <c r="A417">
        <v>999</v>
      </c>
      <c r="I417" s="175"/>
    </row>
    <row r="418" spans="1:9" x14ac:dyDescent="0.25">
      <c r="A418">
        <v>999</v>
      </c>
      <c r="I418" s="175"/>
    </row>
    <row r="419" spans="1:9" x14ac:dyDescent="0.25">
      <c r="A419">
        <v>999</v>
      </c>
      <c r="I419" s="175"/>
    </row>
    <row r="420" spans="1:9" x14ac:dyDescent="0.25">
      <c r="A420" t="s">
        <v>0</v>
      </c>
      <c r="I420" s="175"/>
    </row>
    <row r="421" spans="1:9" x14ac:dyDescent="0.25">
      <c r="A421">
        <v>1</v>
      </c>
      <c r="I421" s="175"/>
    </row>
    <row r="422" spans="1:9" x14ac:dyDescent="0.25">
      <c r="A422">
        <v>75000</v>
      </c>
      <c r="I422" s="175"/>
    </row>
    <row r="423" spans="1:9" x14ac:dyDescent="0.25">
      <c r="A423">
        <v>55000</v>
      </c>
      <c r="I423" s="175"/>
    </row>
    <row r="424" spans="1:9" x14ac:dyDescent="0.25">
      <c r="A424" s="696" t="s">
        <v>608</v>
      </c>
      <c r="I424" s="175"/>
    </row>
    <row r="425" spans="1:9" x14ac:dyDescent="0.25">
      <c r="A425" s="696" t="s">
        <v>602</v>
      </c>
      <c r="I425" s="175"/>
    </row>
    <row r="426" spans="1:9" x14ac:dyDescent="0.25">
      <c r="A426" s="696" t="s">
        <v>602</v>
      </c>
      <c r="I426" s="175"/>
    </row>
    <row r="427" spans="1:9" x14ac:dyDescent="0.25">
      <c r="A427" s="696" t="s">
        <v>601</v>
      </c>
      <c r="I427" s="175"/>
    </row>
    <row r="428" spans="1:9" x14ac:dyDescent="0.25">
      <c r="A428">
        <v>2</v>
      </c>
      <c r="I428" s="175"/>
    </row>
    <row r="429" spans="1:9" x14ac:dyDescent="0.25">
      <c r="A429">
        <v>93000</v>
      </c>
      <c r="I429" s="175"/>
    </row>
    <row r="430" spans="1:9" x14ac:dyDescent="0.25">
      <c r="A430">
        <v>65000</v>
      </c>
      <c r="I430" s="175"/>
    </row>
    <row r="431" spans="1:9" x14ac:dyDescent="0.25">
      <c r="A431" s="696" t="s">
        <v>608</v>
      </c>
      <c r="I431" s="175"/>
    </row>
    <row r="432" spans="1:9" x14ac:dyDescent="0.25">
      <c r="A432" s="696" t="s">
        <v>601</v>
      </c>
      <c r="I432" s="175"/>
    </row>
    <row r="433" spans="1:9" x14ac:dyDescent="0.25">
      <c r="A433" s="696" t="s">
        <v>602</v>
      </c>
      <c r="I433" s="175"/>
    </row>
    <row r="434" spans="1:9" x14ac:dyDescent="0.25">
      <c r="A434" s="696" t="s">
        <v>601</v>
      </c>
      <c r="I434" s="175"/>
    </row>
    <row r="435" spans="1:9" x14ac:dyDescent="0.25">
      <c r="A435">
        <v>3</v>
      </c>
      <c r="I435" s="175"/>
    </row>
    <row r="436" spans="1:9" x14ac:dyDescent="0.25">
      <c r="A436">
        <v>83000</v>
      </c>
      <c r="I436" s="175"/>
    </row>
    <row r="437" spans="1:9" x14ac:dyDescent="0.25">
      <c r="A437">
        <v>55000</v>
      </c>
      <c r="I437" s="175"/>
    </row>
    <row r="438" spans="1:9" x14ac:dyDescent="0.25">
      <c r="A438" s="696" t="s">
        <v>608</v>
      </c>
      <c r="I438" s="175"/>
    </row>
    <row r="439" spans="1:9" x14ac:dyDescent="0.25">
      <c r="A439" s="696" t="s">
        <v>602</v>
      </c>
      <c r="I439" s="175"/>
    </row>
    <row r="440" spans="1:9" x14ac:dyDescent="0.25">
      <c r="A440" s="696" t="s">
        <v>602</v>
      </c>
      <c r="I440" s="175"/>
    </row>
    <row r="441" spans="1:9" x14ac:dyDescent="0.25">
      <c r="A441" s="696" t="s">
        <v>601</v>
      </c>
      <c r="I441" s="175"/>
    </row>
    <row r="442" spans="1:9" x14ac:dyDescent="0.25">
      <c r="A442">
        <v>4</v>
      </c>
      <c r="I442" s="175"/>
    </row>
    <row r="443" spans="1:9" x14ac:dyDescent="0.25">
      <c r="A443">
        <v>85000</v>
      </c>
      <c r="I443" s="175"/>
    </row>
    <row r="444" spans="1:9" x14ac:dyDescent="0.25">
      <c r="A444">
        <v>55000</v>
      </c>
      <c r="I444" s="175"/>
    </row>
    <row r="445" spans="1:9" x14ac:dyDescent="0.25">
      <c r="A445" s="696" t="s">
        <v>608</v>
      </c>
      <c r="I445" s="175"/>
    </row>
    <row r="446" spans="1:9" x14ac:dyDescent="0.25">
      <c r="A446" s="696" t="s">
        <v>602</v>
      </c>
      <c r="I446" s="175"/>
    </row>
    <row r="447" spans="1:9" x14ac:dyDescent="0.25">
      <c r="A447" s="696" t="s">
        <v>602</v>
      </c>
      <c r="I447" s="175"/>
    </row>
    <row r="448" spans="1:9" x14ac:dyDescent="0.25">
      <c r="A448" s="696" t="s">
        <v>601</v>
      </c>
      <c r="I448" s="175"/>
    </row>
    <row r="449" spans="1:9" x14ac:dyDescent="0.25">
      <c r="A449">
        <v>5</v>
      </c>
      <c r="I449" s="175"/>
    </row>
    <row r="450" spans="1:9" x14ac:dyDescent="0.25">
      <c r="A450">
        <v>95000</v>
      </c>
      <c r="I450" s="175"/>
    </row>
    <row r="451" spans="1:9" x14ac:dyDescent="0.25">
      <c r="A451">
        <v>70000</v>
      </c>
      <c r="I451" s="175"/>
    </row>
    <row r="452" spans="1:9" x14ac:dyDescent="0.25">
      <c r="A452" s="696" t="s">
        <v>602</v>
      </c>
      <c r="I452" s="175"/>
    </row>
    <row r="453" spans="1:9" x14ac:dyDescent="0.25">
      <c r="A453" s="696" t="s">
        <v>601</v>
      </c>
      <c r="I453" s="175"/>
    </row>
    <row r="454" spans="1:9" x14ac:dyDescent="0.25">
      <c r="A454" s="696" t="s">
        <v>602</v>
      </c>
      <c r="I454" s="175"/>
    </row>
    <row r="455" spans="1:9" x14ac:dyDescent="0.25">
      <c r="A455" s="696" t="s">
        <v>601</v>
      </c>
      <c r="I455" s="175"/>
    </row>
    <row r="456" spans="1:9" x14ac:dyDescent="0.25">
      <c r="A456">
        <v>6</v>
      </c>
      <c r="I456" s="175"/>
    </row>
    <row r="457" spans="1:9" x14ac:dyDescent="0.25">
      <c r="A457">
        <v>90000</v>
      </c>
      <c r="I457" s="175"/>
    </row>
    <row r="458" spans="1:9" x14ac:dyDescent="0.25">
      <c r="A458">
        <v>65000</v>
      </c>
      <c r="I458" s="175"/>
    </row>
    <row r="459" spans="1:9" x14ac:dyDescent="0.25">
      <c r="A459" s="696" t="s">
        <v>602</v>
      </c>
      <c r="I459" s="175"/>
    </row>
    <row r="460" spans="1:9" x14ac:dyDescent="0.25">
      <c r="A460" s="696" t="s">
        <v>601</v>
      </c>
      <c r="I460" s="175"/>
    </row>
    <row r="461" spans="1:9" x14ac:dyDescent="0.25">
      <c r="A461" s="696" t="s">
        <v>602</v>
      </c>
      <c r="I461" s="175"/>
    </row>
    <row r="462" spans="1:9" x14ac:dyDescent="0.25">
      <c r="A462" s="696" t="s">
        <v>601</v>
      </c>
      <c r="I462" s="175"/>
    </row>
    <row r="463" spans="1:9" x14ac:dyDescent="0.25">
      <c r="A463">
        <v>7</v>
      </c>
      <c r="I463" s="175"/>
    </row>
    <row r="464" spans="1:9" x14ac:dyDescent="0.25">
      <c r="A464">
        <v>86000</v>
      </c>
      <c r="I464" s="175"/>
    </row>
    <row r="465" spans="1:9" x14ac:dyDescent="0.25">
      <c r="A465">
        <v>55000</v>
      </c>
      <c r="I465" s="175"/>
    </row>
    <row r="466" spans="1:9" x14ac:dyDescent="0.25">
      <c r="A466" s="696" t="s">
        <v>602</v>
      </c>
      <c r="I466" s="175"/>
    </row>
    <row r="467" spans="1:9" x14ac:dyDescent="0.25">
      <c r="A467" s="696" t="s">
        <v>602</v>
      </c>
      <c r="I467" s="175"/>
    </row>
    <row r="468" spans="1:9" x14ac:dyDescent="0.25">
      <c r="A468" s="696" t="s">
        <v>602</v>
      </c>
      <c r="I468" s="175"/>
    </row>
    <row r="469" spans="1:9" x14ac:dyDescent="0.25">
      <c r="A469" s="696" t="s">
        <v>601</v>
      </c>
      <c r="I469" s="175"/>
    </row>
    <row r="470" spans="1:9" x14ac:dyDescent="0.25">
      <c r="A470">
        <v>8</v>
      </c>
      <c r="I470" s="175"/>
    </row>
    <row r="471" spans="1:9" x14ac:dyDescent="0.25">
      <c r="A471">
        <v>0</v>
      </c>
      <c r="I471" s="175"/>
    </row>
    <row r="472" spans="1:9" x14ac:dyDescent="0.25">
      <c r="A472">
        <v>0</v>
      </c>
      <c r="I472" s="175"/>
    </row>
    <row r="473" spans="1:9" x14ac:dyDescent="0.25">
      <c r="A473" s="696">
        <v>0</v>
      </c>
      <c r="I473" s="175"/>
    </row>
    <row r="474" spans="1:9" x14ac:dyDescent="0.25">
      <c r="A474" s="696">
        <v>0</v>
      </c>
      <c r="I474" s="175"/>
    </row>
    <row r="475" spans="1:9" x14ac:dyDescent="0.25">
      <c r="A475" s="696">
        <v>0</v>
      </c>
      <c r="I475" s="175"/>
    </row>
    <row r="476" spans="1:9" x14ac:dyDescent="0.25">
      <c r="A476" s="696">
        <v>0</v>
      </c>
      <c r="I476" s="175"/>
    </row>
    <row r="477" spans="1:9" x14ac:dyDescent="0.25">
      <c r="A477">
        <v>999</v>
      </c>
      <c r="I477" s="175"/>
    </row>
    <row r="478" spans="1:9" x14ac:dyDescent="0.25">
      <c r="A478">
        <v>999</v>
      </c>
      <c r="I478" s="175"/>
    </row>
    <row r="479" spans="1:9" x14ac:dyDescent="0.25">
      <c r="A479">
        <v>999</v>
      </c>
      <c r="I479" s="175"/>
    </row>
    <row r="480" spans="1:9" x14ac:dyDescent="0.25">
      <c r="A480">
        <v>999</v>
      </c>
      <c r="I480" s="175"/>
    </row>
    <row r="481" spans="1:9" x14ac:dyDescent="0.25">
      <c r="A481">
        <v>999</v>
      </c>
      <c r="I481" s="175"/>
    </row>
    <row r="482" spans="1:9" x14ac:dyDescent="0.25">
      <c r="A482">
        <v>999</v>
      </c>
      <c r="I482" s="175"/>
    </row>
    <row r="483" spans="1:9" x14ac:dyDescent="0.25">
      <c r="A483">
        <v>999</v>
      </c>
      <c r="I483" s="175"/>
    </row>
    <row r="484" spans="1:9" x14ac:dyDescent="0.25">
      <c r="A484">
        <v>999</v>
      </c>
      <c r="I484" s="175"/>
    </row>
    <row r="485" spans="1:9" x14ac:dyDescent="0.25">
      <c r="A485">
        <v>999</v>
      </c>
      <c r="I485" s="175"/>
    </row>
    <row r="486" spans="1:9" x14ac:dyDescent="0.25">
      <c r="A486">
        <v>999</v>
      </c>
      <c r="I486" s="175"/>
    </row>
    <row r="487" spans="1:9" x14ac:dyDescent="0.25">
      <c r="A487">
        <v>999</v>
      </c>
      <c r="I487" s="175"/>
    </row>
    <row r="488" spans="1:9" x14ac:dyDescent="0.25">
      <c r="A488">
        <v>999</v>
      </c>
      <c r="I488" s="175"/>
    </row>
    <row r="489" spans="1:9" x14ac:dyDescent="0.25">
      <c r="A489">
        <v>999</v>
      </c>
      <c r="I489" s="175"/>
    </row>
    <row r="490" spans="1:9" x14ac:dyDescent="0.25">
      <c r="A490">
        <v>999</v>
      </c>
      <c r="I490" s="175"/>
    </row>
    <row r="491" spans="1:9" x14ac:dyDescent="0.25">
      <c r="A491">
        <v>999</v>
      </c>
      <c r="I491" s="175"/>
    </row>
    <row r="492" spans="1:9" x14ac:dyDescent="0.25">
      <c r="A492">
        <v>999</v>
      </c>
      <c r="I492" s="175"/>
    </row>
    <row r="493" spans="1:9" x14ac:dyDescent="0.25">
      <c r="A493">
        <v>999</v>
      </c>
      <c r="I493" s="175"/>
    </row>
    <row r="494" spans="1:9" x14ac:dyDescent="0.25">
      <c r="A494">
        <v>999</v>
      </c>
      <c r="I494" s="175"/>
    </row>
    <row r="495" spans="1:9" x14ac:dyDescent="0.25">
      <c r="A495">
        <v>999</v>
      </c>
      <c r="I495" s="175"/>
    </row>
    <row r="496" spans="1:9" x14ac:dyDescent="0.25">
      <c r="A496">
        <v>999</v>
      </c>
      <c r="I496" s="175"/>
    </row>
    <row r="497" spans="1:9" x14ac:dyDescent="0.25">
      <c r="A497">
        <v>999</v>
      </c>
      <c r="I497" s="175"/>
    </row>
    <row r="498" spans="1:9" x14ac:dyDescent="0.25">
      <c r="A498">
        <v>999</v>
      </c>
      <c r="I498" s="175"/>
    </row>
    <row r="499" spans="1:9" x14ac:dyDescent="0.25">
      <c r="A499">
        <v>999</v>
      </c>
      <c r="I499" s="175"/>
    </row>
    <row r="500" spans="1:9" x14ac:dyDescent="0.25">
      <c r="A500" t="s">
        <v>14</v>
      </c>
      <c r="I500" s="175"/>
    </row>
    <row r="501" spans="1:9" x14ac:dyDescent="0.25">
      <c r="A501">
        <v>5</v>
      </c>
      <c r="I501" s="175"/>
    </row>
    <row r="502" spans="1:9" x14ac:dyDescent="0.25">
      <c r="A502">
        <v>11</v>
      </c>
      <c r="I502" s="175"/>
    </row>
    <row r="503" spans="1:9" x14ac:dyDescent="0.25">
      <c r="A503">
        <v>49</v>
      </c>
      <c r="I503" s="175"/>
    </row>
    <row r="504" spans="1:9" x14ac:dyDescent="0.25">
      <c r="A504">
        <v>5975</v>
      </c>
      <c r="I504" s="175"/>
    </row>
    <row r="505" spans="1:9" x14ac:dyDescent="0.25">
      <c r="A505">
        <v>4798</v>
      </c>
      <c r="I505" s="175"/>
    </row>
    <row r="506" spans="1:9" x14ac:dyDescent="0.25">
      <c r="A506">
        <v>4298</v>
      </c>
      <c r="I506" s="175"/>
    </row>
    <row r="507" spans="1:9" x14ac:dyDescent="0.25">
      <c r="A507">
        <v>84</v>
      </c>
      <c r="I507" s="175"/>
    </row>
    <row r="508" spans="1:9" x14ac:dyDescent="0.25">
      <c r="A508">
        <v>44</v>
      </c>
      <c r="I508" s="175"/>
    </row>
    <row r="509" spans="1:9" x14ac:dyDescent="0.25">
      <c r="A509">
        <v>1753</v>
      </c>
      <c r="I509" s="175"/>
    </row>
    <row r="510" spans="1:9" x14ac:dyDescent="0.25">
      <c r="A510">
        <v>1501</v>
      </c>
      <c r="I510" s="175"/>
    </row>
    <row r="511" spans="1:9" x14ac:dyDescent="0.25">
      <c r="A511">
        <v>83</v>
      </c>
      <c r="I511" s="175"/>
    </row>
    <row r="512" spans="1:9" x14ac:dyDescent="0.25">
      <c r="A512">
        <v>999</v>
      </c>
      <c r="I512" s="175"/>
    </row>
    <row r="513" spans="1:9" x14ac:dyDescent="0.25">
      <c r="A513">
        <v>999</v>
      </c>
      <c r="I513" s="175"/>
    </row>
    <row r="514" spans="1:9" x14ac:dyDescent="0.25">
      <c r="A514">
        <v>66040</v>
      </c>
      <c r="I514" s="175"/>
    </row>
    <row r="515" spans="1:9" x14ac:dyDescent="0.25">
      <c r="A515">
        <v>79567</v>
      </c>
      <c r="I515" s="175"/>
    </row>
    <row r="516" spans="1:9" x14ac:dyDescent="0.25">
      <c r="A516">
        <v>75192</v>
      </c>
      <c r="I516" s="175"/>
    </row>
    <row r="517" spans="1:9" x14ac:dyDescent="0.25">
      <c r="A517">
        <v>71611</v>
      </c>
      <c r="I517" s="175"/>
    </row>
    <row r="518" spans="1:9" x14ac:dyDescent="0.25">
      <c r="A518">
        <v>500</v>
      </c>
      <c r="I518" s="175"/>
    </row>
    <row r="519" spans="1:9" x14ac:dyDescent="0.25">
      <c r="A519">
        <v>999</v>
      </c>
      <c r="I519" s="175"/>
    </row>
    <row r="520" spans="1:9" x14ac:dyDescent="0.25">
      <c r="A520">
        <v>999</v>
      </c>
      <c r="I520" s="175"/>
    </row>
    <row r="521" spans="1:9" x14ac:dyDescent="0.25">
      <c r="A521">
        <v>1</v>
      </c>
      <c r="I521" s="175"/>
    </row>
    <row r="522" spans="1:9" x14ac:dyDescent="0.25">
      <c r="A522">
        <v>9540</v>
      </c>
      <c r="I522" s="175"/>
    </row>
    <row r="523" spans="1:9" x14ac:dyDescent="0.25">
      <c r="A523">
        <v>3816000</v>
      </c>
      <c r="I523" s="175"/>
    </row>
    <row r="524" spans="1:9" x14ac:dyDescent="0.25">
      <c r="A524">
        <v>0</v>
      </c>
      <c r="I524" s="175"/>
    </row>
    <row r="525" spans="1:9" x14ac:dyDescent="0.25">
      <c r="A525">
        <v>3816000</v>
      </c>
      <c r="I525" s="175"/>
    </row>
    <row r="526" spans="1:9" x14ac:dyDescent="0.25">
      <c r="A526">
        <v>325</v>
      </c>
      <c r="I526" s="175"/>
    </row>
    <row r="527" spans="1:9" x14ac:dyDescent="0.25">
      <c r="A527">
        <v>335</v>
      </c>
      <c r="I527" s="175"/>
    </row>
    <row r="528" spans="1:9" x14ac:dyDescent="0.25">
      <c r="A528">
        <v>375</v>
      </c>
      <c r="I528" s="175"/>
    </row>
    <row r="529" spans="1:9" x14ac:dyDescent="0.25">
      <c r="A529">
        <v>500</v>
      </c>
      <c r="I529" s="175"/>
    </row>
    <row r="530" spans="1:9" x14ac:dyDescent="0.25">
      <c r="A530">
        <v>500</v>
      </c>
      <c r="I530" s="175"/>
    </row>
    <row r="531" spans="1:9" x14ac:dyDescent="0.25">
      <c r="A531">
        <v>600</v>
      </c>
      <c r="I531" s="175"/>
    </row>
    <row r="532" spans="1:9" x14ac:dyDescent="0.25">
      <c r="A532">
        <v>690</v>
      </c>
      <c r="I532" s="175"/>
    </row>
    <row r="533" spans="1:9" x14ac:dyDescent="0.25">
      <c r="A533">
        <v>700</v>
      </c>
      <c r="I533" s="175"/>
    </row>
    <row r="534" spans="1:9" x14ac:dyDescent="0.25">
      <c r="A534">
        <v>800</v>
      </c>
      <c r="I534" s="175"/>
    </row>
    <row r="535" spans="1:9" x14ac:dyDescent="0.25">
      <c r="A535">
        <v>53</v>
      </c>
      <c r="I535" s="175"/>
    </row>
    <row r="536" spans="1:9" x14ac:dyDescent="0.25">
      <c r="A536">
        <v>1200</v>
      </c>
      <c r="I536" s="175"/>
    </row>
    <row r="537" spans="1:9" x14ac:dyDescent="0.25">
      <c r="A537">
        <v>4</v>
      </c>
      <c r="I537" s="175"/>
    </row>
    <row r="538" spans="1:9" x14ac:dyDescent="0.25">
      <c r="A538">
        <v>999</v>
      </c>
      <c r="I538" s="175"/>
    </row>
    <row r="539" spans="1:9" x14ac:dyDescent="0.25">
      <c r="A539">
        <v>999</v>
      </c>
      <c r="I539" s="175"/>
    </row>
    <row r="540" spans="1:9" x14ac:dyDescent="0.25">
      <c r="A540">
        <v>999</v>
      </c>
      <c r="I540" s="175"/>
    </row>
    <row r="541" spans="1:9" x14ac:dyDescent="0.25">
      <c r="A541">
        <v>2</v>
      </c>
      <c r="I541" s="175"/>
    </row>
    <row r="542" spans="1:9" x14ac:dyDescent="0.25">
      <c r="A542">
        <v>9854</v>
      </c>
      <c r="I542" s="175"/>
    </row>
    <row r="543" spans="1:9" x14ac:dyDescent="0.25">
      <c r="A543">
        <v>3941600</v>
      </c>
      <c r="I543" s="175"/>
    </row>
    <row r="544" spans="1:9" x14ac:dyDescent="0.25">
      <c r="A544">
        <v>0</v>
      </c>
      <c r="I544" s="175"/>
    </row>
    <row r="545" spans="1:9" x14ac:dyDescent="0.25">
      <c r="A545">
        <v>3941600</v>
      </c>
      <c r="I545" s="175"/>
    </row>
    <row r="546" spans="1:9" x14ac:dyDescent="0.25">
      <c r="A546">
        <v>328</v>
      </c>
      <c r="I546" s="175"/>
    </row>
    <row r="547" spans="1:9" x14ac:dyDescent="0.25">
      <c r="A547">
        <v>340</v>
      </c>
      <c r="I547" s="175"/>
    </row>
    <row r="548" spans="1:9" x14ac:dyDescent="0.25">
      <c r="A548">
        <v>380</v>
      </c>
      <c r="I548" s="175"/>
    </row>
    <row r="549" spans="1:9" x14ac:dyDescent="0.25">
      <c r="A549">
        <v>490</v>
      </c>
      <c r="I549" s="175"/>
    </row>
    <row r="550" spans="1:9" x14ac:dyDescent="0.25">
      <c r="A550">
        <v>490</v>
      </c>
      <c r="I550" s="175"/>
    </row>
    <row r="551" spans="1:9" x14ac:dyDescent="0.25">
      <c r="A551">
        <v>590</v>
      </c>
      <c r="I551" s="175"/>
    </row>
    <row r="552" spans="1:9" x14ac:dyDescent="0.25">
      <c r="A552">
        <v>700</v>
      </c>
      <c r="I552" s="175"/>
    </row>
    <row r="553" spans="1:9" x14ac:dyDescent="0.25">
      <c r="A553">
        <v>730</v>
      </c>
      <c r="B553"/>
      <c r="I553" s="175"/>
    </row>
    <row r="554" spans="1:9" x14ac:dyDescent="0.25">
      <c r="A554">
        <v>850</v>
      </c>
      <c r="B554"/>
      <c r="I554" s="175"/>
    </row>
    <row r="555" spans="1:9" x14ac:dyDescent="0.25">
      <c r="A555">
        <v>53</v>
      </c>
      <c r="B555"/>
      <c r="I555" s="175"/>
    </row>
    <row r="556" spans="1:9" x14ac:dyDescent="0.25">
      <c r="A556">
        <v>1220</v>
      </c>
      <c r="B556"/>
      <c r="I556" s="175"/>
    </row>
    <row r="557" spans="1:9" x14ac:dyDescent="0.25">
      <c r="A557">
        <v>4</v>
      </c>
      <c r="B557"/>
      <c r="I557" s="175"/>
    </row>
    <row r="558" spans="1:9" x14ac:dyDescent="0.25">
      <c r="A558">
        <v>999</v>
      </c>
      <c r="I558" s="175"/>
    </row>
    <row r="559" spans="1:9" x14ac:dyDescent="0.25">
      <c r="A559">
        <v>999</v>
      </c>
      <c r="I559" s="175"/>
    </row>
    <row r="560" spans="1:9" x14ac:dyDescent="0.25">
      <c r="A560">
        <v>999</v>
      </c>
      <c r="I560" s="175"/>
    </row>
    <row r="561" spans="1:9" x14ac:dyDescent="0.25">
      <c r="A561">
        <v>3</v>
      </c>
      <c r="I561" s="175"/>
    </row>
    <row r="562" spans="1:9" x14ac:dyDescent="0.25">
      <c r="A562">
        <v>9786</v>
      </c>
      <c r="I562" s="175"/>
    </row>
    <row r="563" spans="1:9" x14ac:dyDescent="0.25">
      <c r="A563">
        <v>3914400</v>
      </c>
      <c r="I563" s="175"/>
    </row>
    <row r="564" spans="1:9" x14ac:dyDescent="0.25">
      <c r="A564">
        <v>0</v>
      </c>
      <c r="I564" s="175"/>
    </row>
    <row r="565" spans="1:9" x14ac:dyDescent="0.25">
      <c r="A565">
        <v>3914400</v>
      </c>
      <c r="I565" s="175"/>
    </row>
    <row r="566" spans="1:9" x14ac:dyDescent="0.25">
      <c r="A566">
        <v>325</v>
      </c>
      <c r="I566" s="175"/>
    </row>
    <row r="567" spans="1:9" x14ac:dyDescent="0.25">
      <c r="A567">
        <v>335</v>
      </c>
      <c r="I567" s="175"/>
    </row>
    <row r="568" spans="1:9" x14ac:dyDescent="0.25">
      <c r="A568">
        <v>355</v>
      </c>
      <c r="I568" s="175"/>
    </row>
    <row r="569" spans="1:9" x14ac:dyDescent="0.25">
      <c r="A569">
        <v>490</v>
      </c>
      <c r="I569" s="175"/>
    </row>
    <row r="570" spans="1:9" x14ac:dyDescent="0.25">
      <c r="A570">
        <v>490</v>
      </c>
      <c r="I570" s="175"/>
    </row>
    <row r="571" spans="1:9" x14ac:dyDescent="0.25">
      <c r="A571">
        <v>570</v>
      </c>
      <c r="I571" s="175"/>
    </row>
    <row r="572" spans="1:9" x14ac:dyDescent="0.25">
      <c r="A572">
        <v>700</v>
      </c>
      <c r="I572" s="175"/>
    </row>
    <row r="573" spans="1:9" x14ac:dyDescent="0.25">
      <c r="A573">
        <v>725</v>
      </c>
      <c r="I573" s="175"/>
    </row>
    <row r="574" spans="1:9" x14ac:dyDescent="0.25">
      <c r="A574">
        <v>830</v>
      </c>
      <c r="I574" s="175"/>
    </row>
    <row r="575" spans="1:9" x14ac:dyDescent="0.25">
      <c r="A575">
        <v>53</v>
      </c>
      <c r="I575" s="175"/>
    </row>
    <row r="576" spans="1:9" x14ac:dyDescent="0.25">
      <c r="A576">
        <v>1200</v>
      </c>
      <c r="I576" s="175"/>
    </row>
    <row r="577" spans="1:9" x14ac:dyDescent="0.25">
      <c r="A577">
        <v>4</v>
      </c>
      <c r="I577" s="175"/>
    </row>
    <row r="578" spans="1:9" x14ac:dyDescent="0.25">
      <c r="A578">
        <v>999</v>
      </c>
      <c r="I578" s="175"/>
    </row>
    <row r="579" spans="1:9" x14ac:dyDescent="0.25">
      <c r="A579">
        <v>999</v>
      </c>
      <c r="I579" s="175"/>
    </row>
    <row r="580" spans="1:9" x14ac:dyDescent="0.25">
      <c r="A580">
        <v>999</v>
      </c>
      <c r="I580" s="175"/>
    </row>
    <row r="581" spans="1:9" x14ac:dyDescent="0.25">
      <c r="A581">
        <v>4</v>
      </c>
      <c r="I581" s="175"/>
    </row>
    <row r="582" spans="1:9" x14ac:dyDescent="0.25">
      <c r="A582">
        <v>9698</v>
      </c>
      <c r="I582" s="175"/>
    </row>
    <row r="583" spans="1:9" x14ac:dyDescent="0.25">
      <c r="A583">
        <v>3879200</v>
      </c>
      <c r="I583" s="175"/>
    </row>
    <row r="584" spans="1:9" x14ac:dyDescent="0.25">
      <c r="A584">
        <v>0</v>
      </c>
      <c r="I584" s="175"/>
    </row>
    <row r="585" spans="1:9" x14ac:dyDescent="0.25">
      <c r="A585">
        <v>3879200</v>
      </c>
      <c r="I585" s="175"/>
    </row>
    <row r="586" spans="1:9" x14ac:dyDescent="0.25">
      <c r="A586">
        <v>315</v>
      </c>
      <c r="I586" s="175"/>
    </row>
    <row r="587" spans="1:9" x14ac:dyDescent="0.25">
      <c r="A587">
        <v>325</v>
      </c>
      <c r="I587" s="175"/>
    </row>
    <row r="588" spans="1:9" x14ac:dyDescent="0.25">
      <c r="A588">
        <v>365</v>
      </c>
      <c r="I588" s="175"/>
    </row>
    <row r="589" spans="1:9" x14ac:dyDescent="0.25">
      <c r="A589">
        <v>490</v>
      </c>
      <c r="I589" s="175"/>
    </row>
    <row r="590" spans="1:9" x14ac:dyDescent="0.25">
      <c r="A590">
        <v>490</v>
      </c>
      <c r="I590" s="175"/>
    </row>
    <row r="591" spans="1:9" x14ac:dyDescent="0.25">
      <c r="A591">
        <v>590</v>
      </c>
      <c r="I591" s="175"/>
    </row>
    <row r="592" spans="1:9" x14ac:dyDescent="0.25">
      <c r="A592">
        <v>710</v>
      </c>
      <c r="I592" s="175"/>
    </row>
    <row r="593" spans="1:9" x14ac:dyDescent="0.25">
      <c r="A593">
        <v>735</v>
      </c>
      <c r="I593" s="175"/>
    </row>
    <row r="594" spans="1:9" x14ac:dyDescent="0.25">
      <c r="A594">
        <v>875</v>
      </c>
      <c r="I594" s="175"/>
    </row>
    <row r="595" spans="1:9" x14ac:dyDescent="0.25">
      <c r="A595">
        <v>53</v>
      </c>
      <c r="I595" s="175"/>
    </row>
    <row r="596" spans="1:9" x14ac:dyDescent="0.25">
      <c r="A596">
        <v>1200</v>
      </c>
      <c r="I596" s="175"/>
    </row>
    <row r="597" spans="1:9" x14ac:dyDescent="0.25">
      <c r="A597">
        <v>4</v>
      </c>
      <c r="I597" s="175"/>
    </row>
    <row r="598" spans="1:9" x14ac:dyDescent="0.25">
      <c r="A598">
        <v>999</v>
      </c>
      <c r="I598" s="175"/>
    </row>
    <row r="599" spans="1:9" x14ac:dyDescent="0.25">
      <c r="A599">
        <v>999</v>
      </c>
      <c r="I599" s="175"/>
    </row>
    <row r="600" spans="1:9" x14ac:dyDescent="0.25">
      <c r="A600">
        <v>999</v>
      </c>
      <c r="I600" s="175"/>
    </row>
    <row r="601" spans="1:9" x14ac:dyDescent="0.25">
      <c r="A601">
        <v>5</v>
      </c>
      <c r="I601" s="175"/>
    </row>
    <row r="602" spans="1:9" x14ac:dyDescent="0.25">
      <c r="A602">
        <v>10030</v>
      </c>
      <c r="I602" s="175"/>
    </row>
    <row r="603" spans="1:9" x14ac:dyDescent="0.25">
      <c r="A603">
        <v>4012000</v>
      </c>
      <c r="I603" s="175"/>
    </row>
    <row r="604" spans="1:9" x14ac:dyDescent="0.25">
      <c r="A604">
        <v>0</v>
      </c>
      <c r="I604" s="175"/>
    </row>
    <row r="605" spans="1:9" x14ac:dyDescent="0.25">
      <c r="A605">
        <v>4012000</v>
      </c>
      <c r="I605" s="175"/>
    </row>
    <row r="606" spans="1:9" x14ac:dyDescent="0.25">
      <c r="A606">
        <v>325</v>
      </c>
      <c r="I606" s="175"/>
    </row>
    <row r="607" spans="1:9" x14ac:dyDescent="0.25">
      <c r="A607">
        <v>335</v>
      </c>
      <c r="I607" s="175"/>
    </row>
    <row r="608" spans="1:9" x14ac:dyDescent="0.25">
      <c r="A608">
        <v>355</v>
      </c>
      <c r="I608" s="175"/>
    </row>
    <row r="609" spans="1:9" x14ac:dyDescent="0.25">
      <c r="A609">
        <v>490</v>
      </c>
      <c r="I609" s="175"/>
    </row>
    <row r="610" spans="1:9" x14ac:dyDescent="0.25">
      <c r="A610">
        <v>490</v>
      </c>
      <c r="I610" s="175"/>
    </row>
    <row r="611" spans="1:9" x14ac:dyDescent="0.25">
      <c r="A611">
        <v>550</v>
      </c>
      <c r="I611" s="175"/>
    </row>
    <row r="612" spans="1:9" x14ac:dyDescent="0.25">
      <c r="A612">
        <v>700</v>
      </c>
      <c r="I612" s="175"/>
    </row>
    <row r="613" spans="1:9" x14ac:dyDescent="0.25">
      <c r="A613">
        <v>725</v>
      </c>
      <c r="I613" s="175"/>
    </row>
    <row r="614" spans="1:9" x14ac:dyDescent="0.25">
      <c r="A614">
        <v>780</v>
      </c>
      <c r="I614" s="175"/>
    </row>
    <row r="615" spans="1:9" x14ac:dyDescent="0.25">
      <c r="A615">
        <v>53</v>
      </c>
      <c r="I615" s="175"/>
    </row>
    <row r="616" spans="1:9" x14ac:dyDescent="0.25">
      <c r="A616">
        <v>1250</v>
      </c>
      <c r="I616" s="175"/>
    </row>
    <row r="617" spans="1:9" x14ac:dyDescent="0.25">
      <c r="A617">
        <v>4</v>
      </c>
      <c r="I617" s="175"/>
    </row>
    <row r="618" spans="1:9" x14ac:dyDescent="0.25">
      <c r="A618">
        <v>999</v>
      </c>
      <c r="I618" s="175"/>
    </row>
    <row r="619" spans="1:9" x14ac:dyDescent="0.25">
      <c r="A619">
        <v>999</v>
      </c>
      <c r="I619" s="175"/>
    </row>
    <row r="620" spans="1:9" x14ac:dyDescent="0.25">
      <c r="A620">
        <v>999</v>
      </c>
      <c r="I620" s="175"/>
    </row>
    <row r="621" spans="1:9" x14ac:dyDescent="0.25">
      <c r="A621">
        <v>6</v>
      </c>
      <c r="I621" s="175"/>
    </row>
    <row r="622" spans="1:9" x14ac:dyDescent="0.25">
      <c r="A622">
        <v>8429</v>
      </c>
      <c r="I622" s="175"/>
    </row>
    <row r="623" spans="1:9" x14ac:dyDescent="0.25">
      <c r="A623">
        <v>3371600</v>
      </c>
      <c r="I623" s="175"/>
    </row>
    <row r="624" spans="1:9" x14ac:dyDescent="0.25">
      <c r="A624">
        <v>0</v>
      </c>
      <c r="I624" s="175"/>
    </row>
    <row r="625" spans="1:9" x14ac:dyDescent="0.25">
      <c r="A625">
        <v>3371600</v>
      </c>
      <c r="I625" s="175"/>
    </row>
    <row r="626" spans="1:9" x14ac:dyDescent="0.25">
      <c r="A626">
        <v>325</v>
      </c>
      <c r="I626" s="175"/>
    </row>
    <row r="627" spans="1:9" x14ac:dyDescent="0.25">
      <c r="A627">
        <v>325</v>
      </c>
      <c r="I627" s="175"/>
    </row>
    <row r="628" spans="1:9" x14ac:dyDescent="0.25">
      <c r="A628">
        <v>370</v>
      </c>
      <c r="I628" s="175"/>
    </row>
    <row r="629" spans="1:9" x14ac:dyDescent="0.25">
      <c r="A629">
        <v>490</v>
      </c>
      <c r="I629" s="175"/>
    </row>
    <row r="630" spans="1:9" x14ac:dyDescent="0.25">
      <c r="A630">
        <v>490</v>
      </c>
      <c r="I630" s="175"/>
    </row>
    <row r="631" spans="1:9" x14ac:dyDescent="0.25">
      <c r="A631">
        <v>590</v>
      </c>
      <c r="I631" s="175"/>
    </row>
    <row r="632" spans="1:9" x14ac:dyDescent="0.25">
      <c r="A632">
        <v>700</v>
      </c>
      <c r="I632" s="175"/>
    </row>
    <row r="633" spans="1:9" x14ac:dyDescent="0.25">
      <c r="A633">
        <v>700</v>
      </c>
      <c r="I633" s="175"/>
    </row>
    <row r="634" spans="1:9" x14ac:dyDescent="0.25">
      <c r="A634">
        <v>850</v>
      </c>
      <c r="I634" s="175"/>
    </row>
    <row r="635" spans="1:9" x14ac:dyDescent="0.25">
      <c r="A635">
        <v>53</v>
      </c>
      <c r="I635" s="175"/>
    </row>
    <row r="636" spans="1:9" x14ac:dyDescent="0.25">
      <c r="A636">
        <v>1210</v>
      </c>
      <c r="I636" s="175"/>
    </row>
    <row r="637" spans="1:9" x14ac:dyDescent="0.25">
      <c r="A637">
        <v>4</v>
      </c>
      <c r="I637" s="175"/>
    </row>
    <row r="638" spans="1:9" x14ac:dyDescent="0.25">
      <c r="A638">
        <v>999</v>
      </c>
      <c r="I638" s="175"/>
    </row>
    <row r="639" spans="1:9" x14ac:dyDescent="0.25">
      <c r="A639">
        <v>999</v>
      </c>
      <c r="I639" s="175"/>
    </row>
    <row r="640" spans="1:9" x14ac:dyDescent="0.25">
      <c r="A640">
        <v>999</v>
      </c>
      <c r="I640" s="175"/>
    </row>
    <row r="641" spans="1:9" x14ac:dyDescent="0.25">
      <c r="A641">
        <v>7</v>
      </c>
      <c r="I641" s="175"/>
    </row>
    <row r="642" spans="1:9" x14ac:dyDescent="0.25">
      <c r="A642">
        <v>9853</v>
      </c>
      <c r="I642" s="175"/>
    </row>
    <row r="643" spans="1:9" x14ac:dyDescent="0.25">
      <c r="A643">
        <v>3941200</v>
      </c>
      <c r="I643" s="175"/>
    </row>
    <row r="644" spans="1:9" x14ac:dyDescent="0.25">
      <c r="A644">
        <v>0</v>
      </c>
      <c r="I644" s="175"/>
    </row>
    <row r="645" spans="1:9" x14ac:dyDescent="0.25">
      <c r="A645">
        <v>3941200</v>
      </c>
      <c r="I645" s="175"/>
    </row>
    <row r="646" spans="1:9" x14ac:dyDescent="0.25">
      <c r="A646">
        <v>335</v>
      </c>
      <c r="I646" s="175"/>
    </row>
    <row r="647" spans="1:9" x14ac:dyDescent="0.25">
      <c r="A647">
        <v>345</v>
      </c>
      <c r="I647" s="175"/>
    </row>
    <row r="648" spans="1:9" x14ac:dyDescent="0.25">
      <c r="A648">
        <v>375</v>
      </c>
      <c r="I648" s="175"/>
    </row>
    <row r="649" spans="1:9" x14ac:dyDescent="0.25">
      <c r="A649">
        <v>490</v>
      </c>
      <c r="I649" s="175"/>
    </row>
    <row r="650" spans="1:9" x14ac:dyDescent="0.25">
      <c r="A650">
        <v>490</v>
      </c>
      <c r="I650" s="175"/>
    </row>
    <row r="651" spans="1:9" x14ac:dyDescent="0.25">
      <c r="A651">
        <v>590</v>
      </c>
      <c r="I651" s="175"/>
    </row>
    <row r="652" spans="1:9" x14ac:dyDescent="0.25">
      <c r="A652">
        <v>700</v>
      </c>
      <c r="I652" s="175"/>
    </row>
    <row r="653" spans="1:9" x14ac:dyDescent="0.25">
      <c r="A653">
        <v>725</v>
      </c>
      <c r="I653" s="175"/>
    </row>
    <row r="654" spans="1:9" x14ac:dyDescent="0.25">
      <c r="A654">
        <v>850</v>
      </c>
      <c r="I654" s="175"/>
    </row>
    <row r="655" spans="1:9" x14ac:dyDescent="0.25">
      <c r="A655">
        <v>53</v>
      </c>
      <c r="I655" s="175"/>
    </row>
    <row r="656" spans="1:9" x14ac:dyDescent="0.25">
      <c r="A656">
        <v>1250</v>
      </c>
      <c r="I656" s="175"/>
    </row>
    <row r="657" spans="1:9" x14ac:dyDescent="0.25">
      <c r="A657">
        <v>4</v>
      </c>
      <c r="I657" s="175"/>
    </row>
    <row r="658" spans="1:9" x14ac:dyDescent="0.25">
      <c r="A658">
        <v>999</v>
      </c>
      <c r="I658" s="175"/>
    </row>
    <row r="659" spans="1:9" x14ac:dyDescent="0.25">
      <c r="A659">
        <v>999</v>
      </c>
      <c r="I659" s="175"/>
    </row>
    <row r="660" spans="1:9" x14ac:dyDescent="0.25">
      <c r="A660">
        <v>999</v>
      </c>
      <c r="I660" s="175"/>
    </row>
    <row r="661" spans="1:9" x14ac:dyDescent="0.25">
      <c r="A661">
        <v>8</v>
      </c>
      <c r="I661" s="175"/>
    </row>
    <row r="662" spans="1:9" x14ac:dyDescent="0.25">
      <c r="A662">
        <v>0</v>
      </c>
      <c r="I662" s="175"/>
    </row>
    <row r="663" spans="1:9" x14ac:dyDescent="0.25">
      <c r="A663">
        <v>0</v>
      </c>
      <c r="I663" s="175"/>
    </row>
    <row r="664" spans="1:9" x14ac:dyDescent="0.25">
      <c r="A664">
        <v>0</v>
      </c>
      <c r="I664" s="175"/>
    </row>
    <row r="665" spans="1:9" x14ac:dyDescent="0.25">
      <c r="A665">
        <v>0</v>
      </c>
      <c r="I665" s="175"/>
    </row>
    <row r="666" spans="1:9" x14ac:dyDescent="0.25">
      <c r="A666">
        <v>0</v>
      </c>
      <c r="I666" s="175"/>
    </row>
    <row r="667" spans="1:9" x14ac:dyDescent="0.25">
      <c r="A667">
        <v>0</v>
      </c>
      <c r="I667" s="175"/>
    </row>
    <row r="668" spans="1:9" x14ac:dyDescent="0.25">
      <c r="A668">
        <v>0</v>
      </c>
      <c r="I668" s="175"/>
    </row>
    <row r="669" spans="1:9" x14ac:dyDescent="0.25">
      <c r="A669">
        <v>0</v>
      </c>
      <c r="I669" s="175"/>
    </row>
    <row r="670" spans="1:9" x14ac:dyDescent="0.25">
      <c r="A670">
        <v>0</v>
      </c>
      <c r="I670" s="175"/>
    </row>
    <row r="671" spans="1:9" x14ac:dyDescent="0.25">
      <c r="A671">
        <v>0</v>
      </c>
      <c r="I671" s="175"/>
    </row>
    <row r="672" spans="1:9" x14ac:dyDescent="0.25">
      <c r="A672">
        <v>0</v>
      </c>
      <c r="I672" s="175"/>
    </row>
    <row r="673" spans="1:9" x14ac:dyDescent="0.25">
      <c r="A673">
        <v>0</v>
      </c>
      <c r="I673" s="175"/>
    </row>
    <row r="674" spans="1:9" x14ac:dyDescent="0.25">
      <c r="A674">
        <v>0</v>
      </c>
      <c r="I674" s="175"/>
    </row>
    <row r="675" spans="1:9" x14ac:dyDescent="0.25">
      <c r="A675">
        <v>0</v>
      </c>
      <c r="I675" s="175"/>
    </row>
    <row r="676" spans="1:9" x14ac:dyDescent="0.25">
      <c r="A676">
        <v>0</v>
      </c>
      <c r="I676" s="175"/>
    </row>
    <row r="677" spans="1:9" x14ac:dyDescent="0.25">
      <c r="A677">
        <v>0</v>
      </c>
      <c r="I677" s="175"/>
    </row>
    <row r="678" spans="1:9" x14ac:dyDescent="0.25">
      <c r="A678">
        <v>0</v>
      </c>
      <c r="I678" s="175"/>
    </row>
    <row r="679" spans="1:9" x14ac:dyDescent="0.25">
      <c r="A679">
        <v>0</v>
      </c>
      <c r="I679" s="175"/>
    </row>
    <row r="680" spans="1:9" x14ac:dyDescent="0.25">
      <c r="A680">
        <v>0</v>
      </c>
      <c r="I680" s="175"/>
    </row>
    <row r="681" spans="1:9" x14ac:dyDescent="0.25">
      <c r="A681" t="s">
        <v>703</v>
      </c>
      <c r="I681" s="175"/>
    </row>
    <row r="682" spans="1:9" x14ac:dyDescent="0.25">
      <c r="A682" t="s">
        <v>704</v>
      </c>
      <c r="I682" s="175"/>
    </row>
    <row r="683" spans="1:9" x14ac:dyDescent="0.25">
      <c r="A683" t="s">
        <v>705</v>
      </c>
      <c r="I683" s="175"/>
    </row>
    <row r="684" spans="1:9" x14ac:dyDescent="0.25">
      <c r="A684" t="s">
        <v>706</v>
      </c>
      <c r="I684" s="175"/>
    </row>
    <row r="685" spans="1:9" x14ac:dyDescent="0.25">
      <c r="A685" t="s">
        <v>0</v>
      </c>
      <c r="I685" s="175"/>
    </row>
    <row r="686" spans="1:9" x14ac:dyDescent="0.25">
      <c r="A686" t="s">
        <v>0</v>
      </c>
      <c r="I686" s="175"/>
    </row>
    <row r="687" spans="1:9" x14ac:dyDescent="0.25">
      <c r="A687">
        <v>999</v>
      </c>
      <c r="I687" s="175"/>
    </row>
    <row r="688" spans="1:9" x14ac:dyDescent="0.25">
      <c r="A688">
        <v>999</v>
      </c>
      <c r="I688" s="175"/>
    </row>
    <row r="689" spans="1:9" x14ac:dyDescent="0.25">
      <c r="A689">
        <v>999</v>
      </c>
      <c r="I689" s="175"/>
    </row>
    <row r="690" spans="1:9" x14ac:dyDescent="0.25">
      <c r="A690">
        <v>999</v>
      </c>
      <c r="I690" s="175"/>
    </row>
    <row r="691" spans="1:9" x14ac:dyDescent="0.25">
      <c r="A691">
        <v>999</v>
      </c>
      <c r="I691" s="175"/>
    </row>
    <row r="692" spans="1:9" x14ac:dyDescent="0.25">
      <c r="A692">
        <v>999</v>
      </c>
      <c r="I692" s="175"/>
    </row>
    <row r="693" spans="1:9" x14ac:dyDescent="0.25">
      <c r="A693">
        <v>999</v>
      </c>
      <c r="I693" s="175"/>
    </row>
    <row r="694" spans="1:9" x14ac:dyDescent="0.25">
      <c r="A694">
        <v>999</v>
      </c>
      <c r="I694" s="175"/>
    </row>
    <row r="695" spans="1:9" x14ac:dyDescent="0.25">
      <c r="A695">
        <v>999</v>
      </c>
      <c r="I695" s="175"/>
    </row>
    <row r="696" spans="1:9" x14ac:dyDescent="0.25">
      <c r="A696">
        <v>999</v>
      </c>
      <c r="I696" s="175"/>
    </row>
    <row r="697" spans="1:9" x14ac:dyDescent="0.25">
      <c r="A697">
        <v>999</v>
      </c>
      <c r="I697" s="175"/>
    </row>
    <row r="698" spans="1:9" x14ac:dyDescent="0.25">
      <c r="A698">
        <v>999</v>
      </c>
      <c r="I698" s="175"/>
    </row>
    <row r="699" spans="1:9" x14ac:dyDescent="0.25">
      <c r="A699" t="s">
        <v>707</v>
      </c>
      <c r="I699" s="175"/>
    </row>
    <row r="700" spans="1:9" x14ac:dyDescent="0.25">
      <c r="A700" t="s">
        <v>708</v>
      </c>
      <c r="I700" s="175"/>
    </row>
    <row r="701" spans="1:9" x14ac:dyDescent="0.25">
      <c r="A701">
        <v>1</v>
      </c>
      <c r="I701" s="175"/>
    </row>
    <row r="702" spans="1:9" x14ac:dyDescent="0.25">
      <c r="A702">
        <v>1979100</v>
      </c>
      <c r="I702" s="175"/>
    </row>
    <row r="703" spans="1:9" x14ac:dyDescent="0.25">
      <c r="A703">
        <v>195962</v>
      </c>
      <c r="I703" s="175"/>
    </row>
    <row r="704" spans="1:9" x14ac:dyDescent="0.25">
      <c r="A704">
        <v>796102</v>
      </c>
      <c r="I704" s="175"/>
    </row>
    <row r="705" spans="1:9" x14ac:dyDescent="0.25">
      <c r="A705">
        <v>1243934</v>
      </c>
      <c r="I705" s="175"/>
    </row>
    <row r="706" spans="1:9" x14ac:dyDescent="0.25">
      <c r="A706">
        <v>999</v>
      </c>
      <c r="I706" s="175"/>
    </row>
    <row r="707" spans="1:9" x14ac:dyDescent="0.25">
      <c r="A707">
        <v>999</v>
      </c>
      <c r="I707" s="175"/>
    </row>
    <row r="708" spans="1:9" x14ac:dyDescent="0.25">
      <c r="A708">
        <v>0</v>
      </c>
      <c r="I708" s="175"/>
    </row>
    <row r="709" spans="1:9" x14ac:dyDescent="0.25">
      <c r="A709">
        <v>360194</v>
      </c>
      <c r="I709" s="175"/>
    </row>
    <row r="710" spans="1:9" x14ac:dyDescent="0.25">
      <c r="A710">
        <v>0</v>
      </c>
      <c r="I710" s="175"/>
    </row>
    <row r="711" spans="1:9" x14ac:dyDescent="0.25">
      <c r="A711">
        <v>999</v>
      </c>
      <c r="I711" s="175"/>
    </row>
    <row r="712" spans="1:9" x14ac:dyDescent="0.25">
      <c r="A712">
        <v>0</v>
      </c>
      <c r="I712" s="175"/>
    </row>
    <row r="713" spans="1:9" x14ac:dyDescent="0.25">
      <c r="A713">
        <v>999</v>
      </c>
      <c r="I713" s="175"/>
    </row>
    <row r="714" spans="1:9" x14ac:dyDescent="0.25">
      <c r="A714">
        <v>4000000</v>
      </c>
      <c r="I714" s="175"/>
    </row>
    <row r="715" spans="1:9" x14ac:dyDescent="0.25">
      <c r="A715">
        <v>0</v>
      </c>
      <c r="I715" s="175"/>
    </row>
    <row r="716" spans="1:9" x14ac:dyDescent="0.25">
      <c r="A716">
        <v>-145096</v>
      </c>
      <c r="I716" s="175"/>
    </row>
    <row r="717" spans="1:9" x14ac:dyDescent="0.25">
      <c r="A717">
        <v>3854904</v>
      </c>
      <c r="I717" s="175"/>
    </row>
    <row r="718" spans="1:9" x14ac:dyDescent="0.25">
      <c r="A718">
        <v>999</v>
      </c>
      <c r="I718" s="175"/>
    </row>
    <row r="719" spans="1:9" x14ac:dyDescent="0.25">
      <c r="A719">
        <v>999</v>
      </c>
      <c r="I719" s="175"/>
    </row>
    <row r="720" spans="1:9" x14ac:dyDescent="0.25">
      <c r="A720">
        <v>999</v>
      </c>
      <c r="I720" s="175"/>
    </row>
    <row r="721" spans="1:9" x14ac:dyDescent="0.25">
      <c r="A721">
        <v>2</v>
      </c>
      <c r="I721" s="175"/>
    </row>
    <row r="722" spans="1:9" x14ac:dyDescent="0.25">
      <c r="A722">
        <v>1661600</v>
      </c>
      <c r="I722" s="175"/>
    </row>
    <row r="723" spans="1:9" x14ac:dyDescent="0.25">
      <c r="A723">
        <v>307487</v>
      </c>
      <c r="I723" s="175"/>
    </row>
    <row r="724" spans="1:9" x14ac:dyDescent="0.25">
      <c r="A724">
        <v>795131</v>
      </c>
      <c r="I724" s="175"/>
    </row>
    <row r="725" spans="1:9" x14ac:dyDescent="0.25">
      <c r="A725">
        <v>1513443</v>
      </c>
      <c r="I725" s="175"/>
    </row>
    <row r="726" spans="1:9" x14ac:dyDescent="0.25">
      <c r="A726">
        <v>999</v>
      </c>
      <c r="I726" s="175"/>
    </row>
    <row r="727" spans="1:9" x14ac:dyDescent="0.25">
      <c r="A727">
        <v>999</v>
      </c>
      <c r="I727" s="175"/>
    </row>
    <row r="728" spans="1:9" x14ac:dyDescent="0.25">
      <c r="A728">
        <v>0</v>
      </c>
      <c r="I728" s="175"/>
    </row>
    <row r="729" spans="1:9" x14ac:dyDescent="0.25">
      <c r="A729">
        <v>432222</v>
      </c>
      <c r="I729" s="175"/>
    </row>
    <row r="730" spans="1:9" x14ac:dyDescent="0.25">
      <c r="A730">
        <v>0</v>
      </c>
      <c r="I730" s="175"/>
    </row>
    <row r="731" spans="1:9" x14ac:dyDescent="0.25">
      <c r="A731">
        <v>999</v>
      </c>
      <c r="I731" s="175"/>
    </row>
    <row r="732" spans="1:9" x14ac:dyDescent="0.25">
      <c r="A732">
        <v>0</v>
      </c>
      <c r="I732" s="175"/>
    </row>
    <row r="733" spans="1:9" x14ac:dyDescent="0.25">
      <c r="A733">
        <v>999</v>
      </c>
      <c r="I733" s="175"/>
    </row>
    <row r="734" spans="1:9" x14ac:dyDescent="0.25">
      <c r="A734">
        <v>4000000</v>
      </c>
      <c r="I734" s="175"/>
    </row>
    <row r="735" spans="1:9" x14ac:dyDescent="0.25">
      <c r="A735">
        <v>0</v>
      </c>
      <c r="I735" s="175"/>
    </row>
    <row r="736" spans="1:9" x14ac:dyDescent="0.25">
      <c r="A736">
        <v>-154561</v>
      </c>
      <c r="I736" s="175"/>
    </row>
    <row r="737" spans="1:9" x14ac:dyDescent="0.25">
      <c r="A737">
        <v>3845439</v>
      </c>
      <c r="I737" s="175"/>
    </row>
    <row r="738" spans="1:9" x14ac:dyDescent="0.25">
      <c r="A738">
        <v>999</v>
      </c>
      <c r="I738" s="175"/>
    </row>
    <row r="739" spans="1:9" x14ac:dyDescent="0.25">
      <c r="A739">
        <v>999</v>
      </c>
      <c r="I739" s="175"/>
    </row>
    <row r="740" spans="1:9" x14ac:dyDescent="0.25">
      <c r="A740">
        <v>999</v>
      </c>
      <c r="I740" s="175"/>
    </row>
    <row r="741" spans="1:9" x14ac:dyDescent="0.25">
      <c r="A741">
        <v>3</v>
      </c>
      <c r="I741" s="175"/>
    </row>
    <row r="742" spans="1:9" x14ac:dyDescent="0.25">
      <c r="A742">
        <v>1636600</v>
      </c>
      <c r="I742" s="175"/>
    </row>
    <row r="743" spans="1:9" x14ac:dyDescent="0.25">
      <c r="A743">
        <v>274762</v>
      </c>
      <c r="I743" s="175"/>
    </row>
    <row r="744" spans="1:9" x14ac:dyDescent="0.25">
      <c r="A744">
        <v>852808</v>
      </c>
      <c r="I744" s="175"/>
    </row>
    <row r="745" spans="1:9" x14ac:dyDescent="0.25">
      <c r="A745">
        <v>1534565</v>
      </c>
      <c r="I745" s="175"/>
    </row>
    <row r="746" spans="1:9" x14ac:dyDescent="0.25">
      <c r="A746">
        <v>999</v>
      </c>
      <c r="I746" s="175"/>
    </row>
    <row r="747" spans="1:9" x14ac:dyDescent="0.25">
      <c r="A747">
        <v>999</v>
      </c>
      <c r="I747" s="175"/>
    </row>
    <row r="748" spans="1:9" x14ac:dyDescent="0.25">
      <c r="A748">
        <v>0</v>
      </c>
      <c r="I748" s="175"/>
    </row>
    <row r="749" spans="1:9" x14ac:dyDescent="0.25">
      <c r="A749">
        <v>430899</v>
      </c>
      <c r="I749" s="175"/>
    </row>
    <row r="750" spans="1:9" x14ac:dyDescent="0.25">
      <c r="A750">
        <v>0</v>
      </c>
      <c r="I750" s="175"/>
    </row>
    <row r="751" spans="1:9" x14ac:dyDescent="0.25">
      <c r="A751">
        <v>999</v>
      </c>
      <c r="I751" s="175"/>
    </row>
    <row r="752" spans="1:9" x14ac:dyDescent="0.25">
      <c r="A752">
        <v>0</v>
      </c>
      <c r="I752" s="175"/>
    </row>
    <row r="753" spans="1:9" x14ac:dyDescent="0.25">
      <c r="A753">
        <v>999</v>
      </c>
      <c r="I753" s="175"/>
    </row>
    <row r="754" spans="1:9" x14ac:dyDescent="0.25">
      <c r="A754">
        <v>4000000</v>
      </c>
      <c r="I754" s="175"/>
    </row>
    <row r="755" spans="1:9" x14ac:dyDescent="0.25">
      <c r="A755">
        <v>0</v>
      </c>
      <c r="I755" s="175"/>
    </row>
    <row r="756" spans="1:9" x14ac:dyDescent="0.25">
      <c r="A756">
        <v>-132164</v>
      </c>
      <c r="I756" s="175"/>
    </row>
    <row r="757" spans="1:9" x14ac:dyDescent="0.25">
      <c r="A757">
        <v>3867836</v>
      </c>
      <c r="I757" s="175"/>
    </row>
    <row r="758" spans="1:9" x14ac:dyDescent="0.25">
      <c r="A758">
        <v>999</v>
      </c>
      <c r="I758" s="175"/>
    </row>
    <row r="759" spans="1:9" x14ac:dyDescent="0.25">
      <c r="A759">
        <v>999</v>
      </c>
      <c r="I759" s="175"/>
    </row>
    <row r="760" spans="1:9" x14ac:dyDescent="0.25">
      <c r="A760">
        <v>999</v>
      </c>
      <c r="I760" s="175"/>
    </row>
    <row r="761" spans="1:9" x14ac:dyDescent="0.25">
      <c r="A761">
        <v>4</v>
      </c>
      <c r="I761" s="175"/>
    </row>
    <row r="762" spans="1:9" x14ac:dyDescent="0.25">
      <c r="A762">
        <v>1344100</v>
      </c>
      <c r="I762" s="175"/>
    </row>
    <row r="763" spans="1:9" x14ac:dyDescent="0.25">
      <c r="A763">
        <v>508252</v>
      </c>
      <c r="I763" s="175"/>
    </row>
    <row r="764" spans="1:9" x14ac:dyDescent="0.25">
      <c r="A764">
        <v>794571</v>
      </c>
      <c r="I764" s="175"/>
    </row>
    <row r="765" spans="1:9" x14ac:dyDescent="0.25">
      <c r="A765">
        <v>1760458</v>
      </c>
      <c r="I765" s="175"/>
    </row>
    <row r="766" spans="1:9" x14ac:dyDescent="0.25">
      <c r="A766">
        <v>999</v>
      </c>
      <c r="I766" s="175"/>
    </row>
    <row r="767" spans="1:9" x14ac:dyDescent="0.25">
      <c r="A767">
        <v>999</v>
      </c>
      <c r="I767" s="175"/>
    </row>
    <row r="768" spans="1:9" x14ac:dyDescent="0.25">
      <c r="A768">
        <v>0</v>
      </c>
      <c r="I768" s="175"/>
    </row>
    <row r="769" spans="1:9" x14ac:dyDescent="0.25">
      <c r="A769">
        <v>566599</v>
      </c>
      <c r="I769" s="175"/>
    </row>
    <row r="770" spans="1:9" x14ac:dyDescent="0.25">
      <c r="A770">
        <v>0</v>
      </c>
      <c r="I770" s="175"/>
    </row>
    <row r="771" spans="1:9" x14ac:dyDescent="0.25">
      <c r="A771">
        <v>999</v>
      </c>
      <c r="I771" s="175"/>
    </row>
    <row r="772" spans="1:9" x14ac:dyDescent="0.25">
      <c r="A772">
        <v>0</v>
      </c>
      <c r="I772" s="175"/>
    </row>
    <row r="773" spans="1:9" x14ac:dyDescent="0.25">
      <c r="A773">
        <v>999</v>
      </c>
      <c r="I773" s="175"/>
    </row>
    <row r="774" spans="1:9" x14ac:dyDescent="0.25">
      <c r="A774">
        <v>4000000</v>
      </c>
      <c r="I774" s="175"/>
    </row>
    <row r="775" spans="1:9" x14ac:dyDescent="0.25">
      <c r="A775">
        <v>0</v>
      </c>
      <c r="I775" s="175"/>
    </row>
    <row r="776" spans="1:9" x14ac:dyDescent="0.25">
      <c r="A776">
        <v>-159218</v>
      </c>
      <c r="I776" s="175"/>
    </row>
    <row r="777" spans="1:9" x14ac:dyDescent="0.25">
      <c r="A777">
        <v>3840782</v>
      </c>
      <c r="I777" s="175"/>
    </row>
    <row r="778" spans="1:9" x14ac:dyDescent="0.25">
      <c r="A778">
        <v>999</v>
      </c>
      <c r="I778" s="175"/>
    </row>
    <row r="779" spans="1:9" x14ac:dyDescent="0.25">
      <c r="A779">
        <v>999</v>
      </c>
      <c r="I779" s="175"/>
    </row>
    <row r="780" spans="1:9" x14ac:dyDescent="0.25">
      <c r="A780">
        <v>999</v>
      </c>
      <c r="I780" s="175"/>
    </row>
    <row r="781" spans="1:9" x14ac:dyDescent="0.25">
      <c r="A781">
        <v>5</v>
      </c>
      <c r="I781" s="175"/>
    </row>
    <row r="782" spans="1:9" x14ac:dyDescent="0.25">
      <c r="A782">
        <v>1344100</v>
      </c>
      <c r="I782" s="175"/>
    </row>
    <row r="783" spans="1:9" x14ac:dyDescent="0.25">
      <c r="A783">
        <v>393717</v>
      </c>
      <c r="I783" s="175"/>
    </row>
    <row r="784" spans="1:9" x14ac:dyDescent="0.25">
      <c r="A784">
        <v>801570</v>
      </c>
      <c r="I784" s="175"/>
    </row>
    <row r="785" spans="1:9" x14ac:dyDescent="0.25">
      <c r="A785">
        <v>1828871</v>
      </c>
      <c r="I785" s="175"/>
    </row>
    <row r="786" spans="1:9" x14ac:dyDescent="0.25">
      <c r="A786">
        <v>999</v>
      </c>
      <c r="I786" s="175"/>
    </row>
    <row r="787" spans="1:9" x14ac:dyDescent="0.25">
      <c r="A787">
        <v>999</v>
      </c>
      <c r="I787" s="175"/>
    </row>
    <row r="788" spans="1:9" x14ac:dyDescent="0.25">
      <c r="A788">
        <v>0</v>
      </c>
      <c r="I788" s="175"/>
    </row>
    <row r="789" spans="1:9" x14ac:dyDescent="0.25">
      <c r="A789">
        <v>523530</v>
      </c>
      <c r="I789" s="175"/>
    </row>
    <row r="790" spans="1:9" x14ac:dyDescent="0.25">
      <c r="A790">
        <v>0</v>
      </c>
      <c r="I790" s="175"/>
    </row>
    <row r="791" spans="1:9" x14ac:dyDescent="0.25">
      <c r="A791">
        <v>999</v>
      </c>
      <c r="I791" s="175"/>
    </row>
    <row r="792" spans="1:9" x14ac:dyDescent="0.25">
      <c r="A792">
        <v>0</v>
      </c>
      <c r="I792" s="175"/>
    </row>
    <row r="793" spans="1:9" x14ac:dyDescent="0.25">
      <c r="A793">
        <v>999</v>
      </c>
      <c r="I793" s="175"/>
    </row>
    <row r="794" spans="1:9" x14ac:dyDescent="0.25">
      <c r="A794">
        <v>4000000</v>
      </c>
      <c r="I794" s="175"/>
    </row>
    <row r="795" spans="1:9" x14ac:dyDescent="0.25">
      <c r="A795">
        <v>0</v>
      </c>
      <c r="I795" s="175"/>
    </row>
    <row r="796" spans="1:9" x14ac:dyDescent="0.25">
      <c r="A796">
        <v>-155272</v>
      </c>
      <c r="I796" s="175"/>
    </row>
    <row r="797" spans="1:9" x14ac:dyDescent="0.25">
      <c r="A797">
        <v>3844728</v>
      </c>
      <c r="I797" s="175"/>
    </row>
    <row r="798" spans="1:9" x14ac:dyDescent="0.25">
      <c r="A798">
        <v>999</v>
      </c>
      <c r="I798" s="175"/>
    </row>
    <row r="799" spans="1:9" x14ac:dyDescent="0.25">
      <c r="A799">
        <v>999</v>
      </c>
      <c r="I799" s="175"/>
    </row>
    <row r="800" spans="1:9" x14ac:dyDescent="0.25">
      <c r="A800">
        <v>999</v>
      </c>
      <c r="I800" s="175"/>
    </row>
    <row r="801" spans="1:9" x14ac:dyDescent="0.25">
      <c r="A801">
        <v>6</v>
      </c>
      <c r="I801" s="175"/>
    </row>
    <row r="802" spans="1:9" x14ac:dyDescent="0.25">
      <c r="A802">
        <v>2029100</v>
      </c>
      <c r="I802" s="175"/>
    </row>
    <row r="803" spans="1:9" x14ac:dyDescent="0.25">
      <c r="A803">
        <v>755327</v>
      </c>
      <c r="I803" s="175"/>
    </row>
    <row r="804" spans="1:9" x14ac:dyDescent="0.25">
      <c r="A804">
        <v>655811</v>
      </c>
      <c r="I804" s="175"/>
    </row>
    <row r="805" spans="1:9" x14ac:dyDescent="0.25">
      <c r="A805">
        <v>1150000</v>
      </c>
      <c r="I805" s="175"/>
    </row>
    <row r="806" spans="1:9" x14ac:dyDescent="0.25">
      <c r="A806">
        <v>999</v>
      </c>
      <c r="I806" s="175"/>
    </row>
    <row r="807" spans="1:9" x14ac:dyDescent="0.25">
      <c r="A807">
        <v>999</v>
      </c>
      <c r="I807" s="175"/>
    </row>
    <row r="808" spans="1:9" x14ac:dyDescent="0.25">
      <c r="A808">
        <v>0</v>
      </c>
      <c r="I808" s="175"/>
    </row>
    <row r="809" spans="1:9" x14ac:dyDescent="0.25">
      <c r="A809">
        <v>683816</v>
      </c>
      <c r="I809" s="175"/>
    </row>
    <row r="810" spans="1:9" x14ac:dyDescent="0.25">
      <c r="A810">
        <v>420131</v>
      </c>
      <c r="I810" s="175"/>
    </row>
    <row r="811" spans="1:9" x14ac:dyDescent="0.25">
      <c r="A811">
        <v>999</v>
      </c>
      <c r="I811" s="175"/>
    </row>
    <row r="812" spans="1:9" x14ac:dyDescent="0.25">
      <c r="A812">
        <v>0</v>
      </c>
      <c r="I812" s="175"/>
    </row>
    <row r="813" spans="1:9" x14ac:dyDescent="0.25">
      <c r="A813">
        <v>999</v>
      </c>
      <c r="I813" s="175"/>
    </row>
    <row r="814" spans="1:9" x14ac:dyDescent="0.25">
      <c r="A814">
        <v>4000000</v>
      </c>
      <c r="I814" s="175"/>
    </row>
    <row r="815" spans="1:9" x14ac:dyDescent="0.25">
      <c r="A815">
        <v>0</v>
      </c>
      <c r="I815" s="175"/>
    </row>
    <row r="816" spans="1:9" x14ac:dyDescent="0.25">
      <c r="A816">
        <v>-513709</v>
      </c>
      <c r="I816" s="175"/>
    </row>
    <row r="817" spans="1:9" x14ac:dyDescent="0.25">
      <c r="A817">
        <v>3486291</v>
      </c>
      <c r="I817" s="175"/>
    </row>
    <row r="818" spans="1:9" x14ac:dyDescent="0.25">
      <c r="A818">
        <v>999</v>
      </c>
      <c r="I818" s="175"/>
    </row>
    <row r="819" spans="1:9" x14ac:dyDescent="0.25">
      <c r="A819">
        <v>999</v>
      </c>
      <c r="I819" s="175"/>
    </row>
    <row r="820" spans="1:9" x14ac:dyDescent="0.25">
      <c r="A820">
        <v>999</v>
      </c>
      <c r="I820" s="175"/>
    </row>
    <row r="821" spans="1:9" x14ac:dyDescent="0.25">
      <c r="A821">
        <v>7</v>
      </c>
      <c r="I821" s="175"/>
    </row>
    <row r="822" spans="1:9" x14ac:dyDescent="0.25">
      <c r="A822">
        <v>1636600</v>
      </c>
      <c r="I822" s="175"/>
    </row>
    <row r="823" spans="1:9" x14ac:dyDescent="0.25">
      <c r="A823">
        <v>101668</v>
      </c>
      <c r="I823" s="175"/>
    </row>
    <row r="824" spans="1:9" x14ac:dyDescent="0.25">
      <c r="A824">
        <v>861172</v>
      </c>
      <c r="I824" s="175"/>
    </row>
    <row r="825" spans="1:9" x14ac:dyDescent="0.25">
      <c r="A825">
        <v>1611098</v>
      </c>
      <c r="I825" s="175"/>
    </row>
    <row r="826" spans="1:9" x14ac:dyDescent="0.25">
      <c r="A826">
        <v>999</v>
      </c>
      <c r="I826" s="175"/>
    </row>
    <row r="827" spans="1:9" x14ac:dyDescent="0.25">
      <c r="A827">
        <v>999</v>
      </c>
      <c r="I827" s="175"/>
    </row>
    <row r="828" spans="1:9" x14ac:dyDescent="0.25">
      <c r="A828">
        <v>0</v>
      </c>
      <c r="I828" s="175"/>
    </row>
    <row r="829" spans="1:9" x14ac:dyDescent="0.25">
      <c r="A829">
        <v>330376</v>
      </c>
      <c r="I829" s="175"/>
    </row>
    <row r="830" spans="1:9" x14ac:dyDescent="0.25">
      <c r="A830">
        <v>0</v>
      </c>
      <c r="I830" s="175"/>
    </row>
    <row r="831" spans="1:9" x14ac:dyDescent="0.25">
      <c r="A831">
        <v>999</v>
      </c>
      <c r="I831" s="175"/>
    </row>
    <row r="832" spans="1:9" x14ac:dyDescent="0.25">
      <c r="A832">
        <v>0</v>
      </c>
      <c r="I832" s="175"/>
    </row>
    <row r="833" spans="1:9" x14ac:dyDescent="0.25">
      <c r="A833">
        <v>999</v>
      </c>
      <c r="I833" s="175"/>
    </row>
    <row r="834" spans="1:9" x14ac:dyDescent="0.25">
      <c r="A834">
        <v>4000000</v>
      </c>
      <c r="I834" s="175"/>
    </row>
    <row r="835" spans="1:9" x14ac:dyDescent="0.25">
      <c r="A835">
        <v>0</v>
      </c>
      <c r="I835" s="175"/>
    </row>
    <row r="836" spans="1:9" x14ac:dyDescent="0.25">
      <c r="A836">
        <v>-119838</v>
      </c>
      <c r="I836" s="175"/>
    </row>
    <row r="837" spans="1:9" x14ac:dyDescent="0.25">
      <c r="A837">
        <v>3880162</v>
      </c>
      <c r="I837" s="175"/>
    </row>
    <row r="838" spans="1:9" x14ac:dyDescent="0.25">
      <c r="A838">
        <v>999</v>
      </c>
      <c r="I838" s="175"/>
    </row>
    <row r="839" spans="1:9" x14ac:dyDescent="0.25">
      <c r="A839">
        <v>999</v>
      </c>
      <c r="I839" s="175"/>
    </row>
    <row r="840" spans="1:9" x14ac:dyDescent="0.25">
      <c r="A840">
        <v>999</v>
      </c>
      <c r="I840" s="175"/>
    </row>
    <row r="841" spans="1:9" x14ac:dyDescent="0.25">
      <c r="A841" t="s">
        <v>0</v>
      </c>
      <c r="I841" s="175"/>
    </row>
    <row r="842" spans="1:9" x14ac:dyDescent="0.25">
      <c r="A842" t="s">
        <v>0</v>
      </c>
      <c r="I842" s="175"/>
    </row>
    <row r="843" spans="1:9" x14ac:dyDescent="0.25">
      <c r="A843" t="s">
        <v>0</v>
      </c>
      <c r="I843" s="175"/>
    </row>
    <row r="844" spans="1:9" x14ac:dyDescent="0.25">
      <c r="A844" t="s">
        <v>0</v>
      </c>
      <c r="I844" s="175"/>
    </row>
    <row r="845" spans="1:9" x14ac:dyDescent="0.25">
      <c r="A845" t="s">
        <v>0</v>
      </c>
      <c r="I845" s="175"/>
    </row>
    <row r="846" spans="1:9" x14ac:dyDescent="0.25">
      <c r="A846" t="s">
        <v>0</v>
      </c>
      <c r="I846" s="175"/>
    </row>
    <row r="847" spans="1:9" x14ac:dyDescent="0.25">
      <c r="A847" t="s">
        <v>0</v>
      </c>
      <c r="I847" s="175"/>
    </row>
    <row r="848" spans="1:9" x14ac:dyDescent="0.25">
      <c r="A848" t="s">
        <v>0</v>
      </c>
      <c r="I848" s="175"/>
    </row>
    <row r="849" spans="1:9" x14ac:dyDescent="0.25">
      <c r="A849" t="s">
        <v>0</v>
      </c>
      <c r="I849" s="175"/>
    </row>
    <row r="850" spans="1:9" x14ac:dyDescent="0.25">
      <c r="A850" t="s">
        <v>0</v>
      </c>
      <c r="I850" s="175"/>
    </row>
    <row r="851" spans="1:9" x14ac:dyDescent="0.25">
      <c r="A851" t="s">
        <v>0</v>
      </c>
      <c r="I851" s="175"/>
    </row>
    <row r="852" spans="1:9" x14ac:dyDescent="0.25">
      <c r="A852" t="s">
        <v>0</v>
      </c>
      <c r="I852" s="175"/>
    </row>
    <row r="853" spans="1:9" x14ac:dyDescent="0.25">
      <c r="A853" t="s">
        <v>0</v>
      </c>
      <c r="I853" s="175"/>
    </row>
    <row r="854" spans="1:9" x14ac:dyDescent="0.25">
      <c r="A854" t="s">
        <v>0</v>
      </c>
      <c r="I854" s="175"/>
    </row>
    <row r="855" spans="1:9" x14ac:dyDescent="0.25">
      <c r="A855" t="s">
        <v>0</v>
      </c>
      <c r="I855" s="175"/>
    </row>
    <row r="856" spans="1:9" x14ac:dyDescent="0.25">
      <c r="A856" t="s">
        <v>0</v>
      </c>
      <c r="I856" s="175"/>
    </row>
    <row r="857" spans="1:9" x14ac:dyDescent="0.25">
      <c r="A857" t="s">
        <v>0</v>
      </c>
      <c r="I857" s="175"/>
    </row>
    <row r="858" spans="1:9" x14ac:dyDescent="0.25">
      <c r="A858" t="s">
        <v>0</v>
      </c>
      <c r="I858" s="175"/>
    </row>
    <row r="859" spans="1:9" x14ac:dyDescent="0.25">
      <c r="A859" t="s">
        <v>0</v>
      </c>
      <c r="I859" s="175"/>
    </row>
    <row r="860" spans="1:9" x14ac:dyDescent="0.25">
      <c r="A860" t="s">
        <v>0</v>
      </c>
      <c r="I860" s="175"/>
    </row>
    <row r="861" spans="1:9" x14ac:dyDescent="0.25">
      <c r="A861" t="s">
        <v>709</v>
      </c>
      <c r="I861" s="175"/>
    </row>
    <row r="862" spans="1:9" x14ac:dyDescent="0.25">
      <c r="A862" t="s">
        <v>710</v>
      </c>
      <c r="I862" s="175"/>
    </row>
    <row r="863" spans="1:9" x14ac:dyDescent="0.25">
      <c r="I863" s="175"/>
    </row>
    <row r="864" spans="1:9" x14ac:dyDescent="0.25">
      <c r="I864" s="175"/>
    </row>
    <row r="865" spans="9:9" x14ac:dyDescent="0.25">
      <c r="I865"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3">
    <tabColor theme="5" tint="0.59999389629810485"/>
    <pageSetUpPr fitToPage="1"/>
  </sheetPr>
  <dimension ref="B1:Y55"/>
  <sheetViews>
    <sheetView workbookViewId="0">
      <selection activeCell="F14" sqref="F14:J16"/>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LEFT(TRIM('75'!A699),4)</f>
        <v xml:space="preserve">032 </v>
      </c>
      <c r="W1" t="str">
        <f>RIGHT(TRIM('75'!A699),10)</f>
        <v>20/10/2017</v>
      </c>
    </row>
    <row r="2" spans="2:25" ht="33" x14ac:dyDescent="0.6">
      <c r="G2" s="157" t="s">
        <v>82</v>
      </c>
      <c r="H2" s="156"/>
    </row>
    <row r="3" spans="2:25" x14ac:dyDescent="0.25">
      <c r="B3">
        <f>'75'!A861</f>
        <v>0</v>
      </c>
      <c r="C3" s="506"/>
      <c r="V3" s="158" t="s">
        <v>83</v>
      </c>
      <c r="W3" s="159" t="str">
        <f>'75'!A6</f>
        <v xml:space="preserve">  17C1</v>
      </c>
    </row>
    <row r="4" spans="2:25" x14ac:dyDescent="0.25">
      <c r="B4">
        <f>'75'!A862</f>
        <v>0</v>
      </c>
      <c r="C4" s="506"/>
    </row>
    <row r="5" spans="2:25" ht="17.399999999999999" x14ac:dyDescent="0.3">
      <c r="B5">
        <f>'75'!A863</f>
        <v>0</v>
      </c>
      <c r="H5" s="160" t="s">
        <v>85</v>
      </c>
      <c r="J5" s="161"/>
      <c r="K5" s="161"/>
      <c r="L5" s="162">
        <f>'75'!$A1</f>
        <v>8</v>
      </c>
      <c r="M5" s="160" t="s">
        <v>84</v>
      </c>
      <c r="N5" s="160"/>
      <c r="O5" s="162">
        <f>'75'!$A2</f>
        <v>2</v>
      </c>
      <c r="P5" s="161"/>
      <c r="Q5" s="161"/>
      <c r="S5" s="163"/>
      <c r="T5" s="164"/>
      <c r="U5" s="163"/>
      <c r="V5" s="163"/>
    </row>
    <row r="6" spans="2:25" x14ac:dyDescent="0.25">
      <c r="B6">
        <f>'75'!A864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'75'!$A4</f>
        <v>2017</v>
      </c>
      <c r="Q9" s="164"/>
      <c r="R9" s="171" t="s">
        <v>80</v>
      </c>
      <c r="S9" s="172">
        <f>'75'!$A5</f>
        <v>4</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'75'!A7</f>
        <v>20</v>
      </c>
      <c r="F14" s="196">
        <f>'75'!A11</f>
        <v>6</v>
      </c>
      <c r="G14" s="197"/>
      <c r="H14" s="196">
        <f>'75'!A14</f>
        <v>5</v>
      </c>
      <c r="I14" s="198"/>
      <c r="J14" s="196">
        <f>'75'!A17</f>
        <v>5</v>
      </c>
      <c r="K14" s="198"/>
      <c r="L14" s="40"/>
      <c r="M14" s="182"/>
      <c r="N14" s="182" t="s">
        <v>36</v>
      </c>
      <c r="O14" s="182"/>
      <c r="P14" s="201">
        <f>'75'!A61</f>
        <v>3</v>
      </c>
      <c r="Q14" s="200">
        <f>'75'!B61</f>
        <v>0</v>
      </c>
      <c r="R14" s="190"/>
      <c r="S14" s="175"/>
      <c r="T14" s="201">
        <f>'75'!A62</f>
        <v>10</v>
      </c>
      <c r="U14" s="200">
        <f>'75'!B62</f>
        <v>0</v>
      </c>
      <c r="V14" s="175"/>
      <c r="W14" s="201">
        <f>'75'!A63</f>
        <v>7</v>
      </c>
      <c r="X14" s="202"/>
      <c r="Y14" s="179"/>
    </row>
    <row r="15" spans="2:25" x14ac:dyDescent="0.25">
      <c r="B15" s="168"/>
      <c r="C15" s="40"/>
      <c r="D15" s="40" t="s">
        <v>5</v>
      </c>
      <c r="E15" s="203">
        <f>'75'!A8</f>
        <v>15</v>
      </c>
      <c r="F15" s="196">
        <f>'75'!A12</f>
        <v>6</v>
      </c>
      <c r="G15" s="204"/>
      <c r="H15" s="196">
        <f>'75'!A15</f>
        <v>6</v>
      </c>
      <c r="I15" s="205"/>
      <c r="J15" s="196">
        <f>'75'!A18</f>
        <v>6</v>
      </c>
      <c r="K15" s="205"/>
      <c r="L15" s="40"/>
      <c r="M15" s="182"/>
      <c r="N15" s="182" t="s">
        <v>38</v>
      </c>
      <c r="O15" s="182"/>
      <c r="P15" s="193">
        <f>'75'!A64</f>
        <v>2</v>
      </c>
      <c r="Q15" s="189">
        <f>'75'!B64</f>
        <v>0</v>
      </c>
      <c r="R15" s="190"/>
      <c r="S15" s="175"/>
      <c r="T15" s="199">
        <f>'75'!A65</f>
        <v>9</v>
      </c>
      <c r="U15" s="206">
        <f>'75'!B65</f>
        <v>0</v>
      </c>
      <c r="V15" s="175"/>
      <c r="W15" s="207">
        <f>'75'!A66</f>
        <v>7</v>
      </c>
      <c r="X15" s="206"/>
      <c r="Y15" s="179"/>
    </row>
    <row r="16" spans="2:25" x14ac:dyDescent="0.25">
      <c r="B16" s="168"/>
      <c r="C16" s="40"/>
      <c r="D16" s="40" t="s">
        <v>6</v>
      </c>
      <c r="E16" s="208">
        <f>'75'!A9</f>
        <v>20</v>
      </c>
      <c r="F16" s="209">
        <f>'75'!A13</f>
        <v>6</v>
      </c>
      <c r="G16" s="210"/>
      <c r="H16" s="209">
        <f>'75'!A16</f>
        <v>6</v>
      </c>
      <c r="I16" s="189"/>
      <c r="J16" s="209">
        <f>'75'!A19</f>
        <v>6</v>
      </c>
      <c r="K16" s="189"/>
      <c r="L16" s="40"/>
      <c r="M16" s="182"/>
      <c r="N16" s="182" t="s">
        <v>40</v>
      </c>
      <c r="O16" s="182"/>
      <c r="P16" s="187"/>
      <c r="Q16" s="182"/>
      <c r="R16" s="182"/>
      <c r="S16" s="175"/>
      <c r="T16" s="193">
        <f>'75'!A68</f>
        <v>10</v>
      </c>
      <c r="U16" s="211">
        <f>'75'!B68</f>
        <v>0</v>
      </c>
      <c r="V16" s="175"/>
      <c r="W16" s="212">
        <f>'75'!A69</f>
        <v>7</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'75'!A21</f>
        <v>320</v>
      </c>
      <c r="G19" s="206">
        <f>'75'!B21</f>
        <v>0</v>
      </c>
      <c r="H19" s="218">
        <f>'75'!A24</f>
        <v>500</v>
      </c>
      <c r="I19" s="200">
        <f>'75'!B24</f>
        <v>0</v>
      </c>
      <c r="J19" s="218">
        <f>'75'!A27</f>
        <v>705</v>
      </c>
      <c r="K19" s="200">
        <f>'75'!B27</f>
        <v>0</v>
      </c>
      <c r="L19" s="40"/>
      <c r="M19" s="182" t="s">
        <v>50</v>
      </c>
      <c r="N19" s="182"/>
      <c r="O19" s="187" t="s">
        <v>51</v>
      </c>
      <c r="P19" s="219">
        <f>'75'!A57</f>
        <v>3</v>
      </c>
      <c r="Q19" s="220"/>
      <c r="R19" s="182"/>
      <c r="S19" s="216" t="s">
        <v>74</v>
      </c>
      <c r="T19" s="221">
        <f>'75'!A58</f>
        <v>4</v>
      </c>
      <c r="U19" s="220"/>
      <c r="V19" s="217" t="s">
        <v>75</v>
      </c>
      <c r="W19" s="219">
        <f>'75'!A59</f>
        <v>4</v>
      </c>
      <c r="X19" s="222"/>
      <c r="Y19" s="179"/>
    </row>
    <row r="20" spans="2:25" x14ac:dyDescent="0.25">
      <c r="B20" s="168"/>
      <c r="C20" s="40"/>
      <c r="D20" s="40" t="s">
        <v>5</v>
      </c>
      <c r="E20" s="40"/>
      <c r="F20" s="199">
        <f>'75'!A22</f>
        <v>345</v>
      </c>
      <c r="G20" s="206">
        <f>'75'!B22</f>
        <v>0</v>
      </c>
      <c r="H20" s="196">
        <f>'75'!A25</f>
        <v>500</v>
      </c>
      <c r="I20" s="206">
        <f>'75'!B25</f>
        <v>0</v>
      </c>
      <c r="J20" s="196">
        <f>'75'!A28</f>
        <v>735</v>
      </c>
      <c r="K20" s="206">
        <f>'75'!B28</f>
        <v>0</v>
      </c>
      <c r="L20" s="40"/>
      <c r="M20" s="224" t="s">
        <v>52</v>
      </c>
      <c r="N20" s="223"/>
      <c r="O20" s="224"/>
      <c r="P20" s="199">
        <f>'75'!A75</f>
        <v>25</v>
      </c>
      <c r="Q20" s="225"/>
      <c r="R20" s="224"/>
      <c r="S20" s="182" t="s">
        <v>65</v>
      </c>
      <c r="T20" s="226"/>
      <c r="U20" s="227"/>
      <c r="V20" s="226"/>
      <c r="W20" s="199">
        <f>'75'!A76</f>
        <v>2</v>
      </c>
      <c r="X20" s="202"/>
      <c r="Y20" s="179"/>
    </row>
    <row r="21" spans="2:25" x14ac:dyDescent="0.25">
      <c r="B21" s="168"/>
      <c r="C21" s="40"/>
      <c r="D21" s="40" t="s">
        <v>6</v>
      </c>
      <c r="E21" s="40"/>
      <c r="F21" s="193">
        <f>'75'!A23</f>
        <v>380</v>
      </c>
      <c r="G21" s="211">
        <f>'75'!B23</f>
        <v>0</v>
      </c>
      <c r="H21" s="209">
        <f>'75'!A26</f>
        <v>600</v>
      </c>
      <c r="I21" s="211">
        <f>'75'!B26</f>
        <v>0</v>
      </c>
      <c r="J21" s="209">
        <f>'75'!A29</f>
        <v>855</v>
      </c>
      <c r="K21" s="211">
        <f>'75'!B29</f>
        <v>0</v>
      </c>
      <c r="L21" s="40"/>
      <c r="M21" s="182" t="s">
        <v>53</v>
      </c>
      <c r="N21" s="175"/>
      <c r="O21" s="182"/>
      <c r="P21" s="193">
        <f>'75'!A77</f>
        <v>6</v>
      </c>
      <c r="Q21" s="228"/>
      <c r="R21" s="196"/>
      <c r="S21" s="182" t="s">
        <v>66</v>
      </c>
      <c r="T21" s="182"/>
      <c r="U21" s="182"/>
      <c r="V21" s="182"/>
      <c r="W21" s="193">
        <f>'75'!A78</f>
        <v>15</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'75'!A31</f>
        <v>900</v>
      </c>
      <c r="G24" s="200" t="str">
        <f>'75'!B31</f>
        <v>*</v>
      </c>
      <c r="H24" s="218">
        <f>'75'!A34</f>
        <v>600</v>
      </c>
      <c r="I24" s="200" t="str">
        <f>'75'!B34</f>
        <v>*</v>
      </c>
      <c r="J24" s="218">
        <f>'75'!A37</f>
        <v>325</v>
      </c>
      <c r="K24" s="200">
        <f>'75'!B37</f>
        <v>0</v>
      </c>
      <c r="L24" s="40"/>
      <c r="M24" s="182" t="s">
        <v>55</v>
      </c>
      <c r="N24" s="182"/>
      <c r="O24" s="182"/>
      <c r="P24" s="201">
        <f>'75'!A81</f>
        <v>5</v>
      </c>
      <c r="Q24" s="206">
        <f>'75'!B81</f>
        <v>0</v>
      </c>
      <c r="R24" s="196"/>
      <c r="S24" s="182" t="s">
        <v>67</v>
      </c>
      <c r="T24" s="182"/>
      <c r="U24" s="182"/>
      <c r="V24" s="182"/>
      <c r="W24" s="219">
        <f>'75'!A82</f>
        <v>9</v>
      </c>
      <c r="X24" s="222">
        <f>'75'!B82</f>
        <v>0</v>
      </c>
      <c r="Y24" s="179"/>
    </row>
    <row r="25" spans="2:25" x14ac:dyDescent="0.25">
      <c r="B25" s="168"/>
      <c r="C25" s="40" t="s">
        <v>37</v>
      </c>
      <c r="D25" s="40" t="s">
        <v>38</v>
      </c>
      <c r="E25" s="40"/>
      <c r="F25" s="199">
        <f>'75'!A32</f>
        <v>110</v>
      </c>
      <c r="G25" s="206" t="str">
        <f>'75'!B32</f>
        <v>*</v>
      </c>
      <c r="H25" s="196">
        <f>'75'!A35</f>
        <v>150</v>
      </c>
      <c r="I25" s="206" t="str">
        <f>'75'!B35</f>
        <v>*</v>
      </c>
      <c r="J25" s="196">
        <f>'75'!A38</f>
        <v>70</v>
      </c>
      <c r="K25" s="206">
        <f>'75'!B38</f>
        <v>0</v>
      </c>
      <c r="L25" s="40"/>
      <c r="M25" s="182" t="s">
        <v>56</v>
      </c>
      <c r="N25" s="182"/>
      <c r="O25" s="182"/>
      <c r="P25" s="230">
        <f>'75'!A83/100</f>
        <v>12.6</v>
      </c>
      <c r="Q25" s="206">
        <f>'75'!B83</f>
        <v>0</v>
      </c>
      <c r="R25" s="196"/>
      <c r="S25" s="175"/>
      <c r="T25" s="182"/>
      <c r="U25" s="182"/>
      <c r="V25" s="182"/>
      <c r="W25" s="196"/>
      <c r="X25" s="184"/>
      <c r="Y25" s="179"/>
    </row>
    <row r="26" spans="2:25" x14ac:dyDescent="0.25">
      <c r="B26" s="168"/>
      <c r="C26" s="40" t="s">
        <v>39</v>
      </c>
      <c r="D26" s="40" t="s">
        <v>40</v>
      </c>
      <c r="E26" s="40"/>
      <c r="F26" s="193">
        <f>'75'!A33</f>
        <v>600</v>
      </c>
      <c r="G26" s="211" t="str">
        <f>'75'!B33</f>
        <v>*</v>
      </c>
      <c r="H26" s="209">
        <f>'75'!A36</f>
        <v>300</v>
      </c>
      <c r="I26" s="211" t="str">
        <f>'75'!B36</f>
        <v>*</v>
      </c>
      <c r="J26" s="193">
        <f>'75'!A39</f>
        <v>160</v>
      </c>
      <c r="K26" s="211">
        <f>'75'!B39</f>
        <v>0</v>
      </c>
      <c r="L26" s="40"/>
      <c r="M26" s="182" t="s">
        <v>57</v>
      </c>
      <c r="N26" s="182"/>
      <c r="O26" s="182"/>
      <c r="P26" s="193">
        <f>'75'!A85</f>
        <v>90</v>
      </c>
      <c r="Q26" s="211">
        <f>'75'!B85</f>
        <v>0</v>
      </c>
      <c r="R26" s="231"/>
      <c r="S26" s="182" t="s">
        <v>515</v>
      </c>
      <c r="T26" s="175"/>
      <c r="U26" s="182"/>
      <c r="V26" s="182"/>
      <c r="W26" s="219">
        <f>'75'!A86</f>
        <v>8</v>
      </c>
      <c r="X26" s="232">
        <f>'75'!B86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'75'!A41</f>
        <v>0</v>
      </c>
      <c r="G29" s="198"/>
      <c r="H29" s="218">
        <f>'75'!A42</f>
        <v>0</v>
      </c>
      <c r="I29" s="198"/>
      <c r="J29" s="218">
        <f>'75'!A43</f>
        <v>0</v>
      </c>
      <c r="K29" s="237"/>
      <c r="L29" s="40"/>
      <c r="M29" s="182" t="s">
        <v>59</v>
      </c>
      <c r="N29" s="182"/>
      <c r="O29" s="182"/>
      <c r="P29" s="201">
        <f>'75'!A91</f>
        <v>0</v>
      </c>
      <c r="Q29" s="206">
        <f>'75'!B91</f>
        <v>0</v>
      </c>
      <c r="R29" s="196"/>
      <c r="S29" s="182" t="s">
        <v>69</v>
      </c>
      <c r="T29" s="182"/>
      <c r="U29" s="182"/>
      <c r="V29" s="182"/>
      <c r="W29" s="201">
        <f>'75'!A92</f>
        <v>0</v>
      </c>
      <c r="X29" s="200">
        <f>'75'!B92</f>
        <v>0</v>
      </c>
      <c r="Y29" s="179"/>
    </row>
    <row r="30" spans="2:25" x14ac:dyDescent="0.25">
      <c r="B30" s="168"/>
      <c r="C30" s="40" t="s">
        <v>43</v>
      </c>
      <c r="D30" s="40"/>
      <c r="E30" s="196"/>
      <c r="F30" s="199">
        <f>'75'!A44</f>
        <v>50</v>
      </c>
      <c r="G30" s="205"/>
      <c r="H30" s="196">
        <f>'75'!A45</f>
        <v>21</v>
      </c>
      <c r="I30" s="205"/>
      <c r="J30" s="196">
        <f>'75'!A46</f>
        <v>20</v>
      </c>
      <c r="K30" s="179"/>
      <c r="L30" s="40"/>
      <c r="M30" s="182" t="s">
        <v>60</v>
      </c>
      <c r="N30" s="182"/>
      <c r="O30" s="182"/>
      <c r="P30" s="199">
        <f>'75'!A93</f>
        <v>0</v>
      </c>
      <c r="Q30" s="206">
        <f>'75'!B93</f>
        <v>0</v>
      </c>
      <c r="R30" s="196"/>
      <c r="S30" s="175" t="s">
        <v>70</v>
      </c>
      <c r="T30" s="182"/>
      <c r="U30" s="182"/>
      <c r="V30" s="182"/>
      <c r="W30" s="199">
        <f>'75'!A94</f>
        <v>-500</v>
      </c>
      <c r="X30" s="206">
        <f>'75'!B94</f>
        <v>0</v>
      </c>
      <c r="Y30" s="179"/>
    </row>
    <row r="31" spans="2:25" x14ac:dyDescent="0.25">
      <c r="B31" s="168"/>
      <c r="C31" s="40" t="s">
        <v>44</v>
      </c>
      <c r="D31" s="175"/>
      <c r="E31" s="175"/>
      <c r="F31" s="199">
        <f>'75'!A47</f>
        <v>115</v>
      </c>
      <c r="G31" s="202"/>
      <c r="H31" s="199">
        <f>'75'!A48</f>
        <v>165</v>
      </c>
      <c r="I31" s="202"/>
      <c r="J31" s="199">
        <f>'75'!A49</f>
        <v>325</v>
      </c>
      <c r="K31" s="202"/>
      <c r="L31" s="40"/>
      <c r="M31" s="182" t="s">
        <v>61</v>
      </c>
      <c r="N31" s="182"/>
      <c r="O31" s="182"/>
      <c r="P31" s="199">
        <f>'75'!A73</f>
        <v>0</v>
      </c>
      <c r="Q31" s="206">
        <f>'75'!B73</f>
        <v>0</v>
      </c>
      <c r="R31" s="196"/>
      <c r="S31" s="182" t="s">
        <v>71</v>
      </c>
      <c r="T31" s="182"/>
      <c r="U31" s="182"/>
      <c r="V31" s="182"/>
      <c r="W31" s="199">
        <f>'75'!A74</f>
        <v>0</v>
      </c>
      <c r="X31" s="206">
        <f>'75'!B74</f>
        <v>0</v>
      </c>
      <c r="Y31" s="179"/>
    </row>
    <row r="32" spans="2:25" x14ac:dyDescent="0.25">
      <c r="B32" s="168"/>
      <c r="C32" s="269" t="s">
        <v>45</v>
      </c>
      <c r="D32" s="40"/>
      <c r="E32" s="196"/>
      <c r="F32" s="193">
        <f>'75'!A51</f>
        <v>7</v>
      </c>
      <c r="G32" s="211">
        <f>'75'!B51</f>
        <v>0</v>
      </c>
      <c r="H32" s="209">
        <f>'75'!A52</f>
        <v>7</v>
      </c>
      <c r="I32" s="211">
        <f>'75'!B52</f>
        <v>0</v>
      </c>
      <c r="J32" s="209">
        <f>'75'!A53</f>
        <v>25</v>
      </c>
      <c r="K32" s="211">
        <f>'75'!B53</f>
        <v>0</v>
      </c>
      <c r="L32" s="40"/>
      <c r="M32" s="44" t="s">
        <v>62</v>
      </c>
      <c r="N32" s="182"/>
      <c r="O32" s="182"/>
      <c r="P32" s="193">
        <f>'75'!A72</f>
        <v>200</v>
      </c>
      <c r="Q32" s="211">
        <f>'75'!B72</f>
        <v>0</v>
      </c>
      <c r="R32" s="196"/>
      <c r="S32" s="182" t="s">
        <v>72</v>
      </c>
      <c r="T32" s="182"/>
      <c r="U32" s="182"/>
      <c r="V32" s="182"/>
      <c r="W32" s="193">
        <f>'75'!A99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'75'!A54</f>
        <v>800</v>
      </c>
      <c r="G35" s="238">
        <f>'75'!B54</f>
        <v>0</v>
      </c>
      <c r="H35" s="188">
        <f>'75'!A55</f>
        <v>800</v>
      </c>
      <c r="I35" s="238">
        <f>'75'!B55</f>
        <v>0</v>
      </c>
      <c r="J35" s="188">
        <f>'75'!A56</f>
        <v>0</v>
      </c>
      <c r="K35" s="238">
        <f>'75'!B56</f>
        <v>0</v>
      </c>
      <c r="L35" s="40"/>
      <c r="M35" s="182" t="s">
        <v>64</v>
      </c>
      <c r="N35" s="182"/>
      <c r="O35" s="182"/>
      <c r="P35" s="219">
        <f>'75'!A97</f>
        <v>1</v>
      </c>
      <c r="Q35" s="239"/>
      <c r="R35" s="182"/>
      <c r="S35" s="182" t="s">
        <v>73</v>
      </c>
      <c r="T35" s="182"/>
      <c r="U35" s="182"/>
      <c r="V35" s="182"/>
      <c r="W35" s="219">
        <f>'75'!A98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4">
    <tabColor theme="5" tint="0.59999389629810485"/>
    <pageSetUpPr fitToPage="1"/>
  </sheetPr>
  <dimension ref="A1:AL65"/>
  <sheetViews>
    <sheetView topLeftCell="H1" workbookViewId="0">
      <selection activeCell="Z29" sqref="Z29"/>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'75'!A1</f>
        <v>8</v>
      </c>
      <c r="F1" s="512" t="s">
        <v>87</v>
      </c>
      <c r="H1" s="172">
        <f>'75'!A2</f>
        <v>2</v>
      </c>
      <c r="M1" s="513" t="s">
        <v>88</v>
      </c>
      <c r="T1" s="170" t="s">
        <v>81</v>
      </c>
      <c r="U1" s="172">
        <f>'75'!A4</f>
        <v>2017</v>
      </c>
      <c r="V1" s="164"/>
      <c r="W1" s="171" t="s">
        <v>80</v>
      </c>
      <c r="X1" s="172">
        <f>'75'!A5</f>
        <v>4</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'75'!A108</f>
        <v>1551</v>
      </c>
      <c r="V6" s="251"/>
      <c r="W6" s="196">
        <f>'75'!A109</f>
        <v>1002</v>
      </c>
      <c r="X6" s="182"/>
      <c r="Y6" s="199">
        <f>'75'!A110</f>
        <v>555</v>
      </c>
      <c r="Z6" s="182"/>
      <c r="AA6" s="179"/>
      <c r="AC6" s="40"/>
      <c r="AD6" s="40"/>
      <c r="AE6" s="40"/>
      <c r="AF6" s="196"/>
      <c r="AG6" s="182"/>
      <c r="AH6" s="196"/>
      <c r="AI6" s="182"/>
      <c r="AJ6" s="196"/>
      <c r="AK6" s="182"/>
      <c r="AL6" s="40"/>
    </row>
    <row r="7" spans="2:38" x14ac:dyDescent="0.2">
      <c r="B7" s="244"/>
      <c r="C7" s="175" t="s">
        <v>91</v>
      </c>
      <c r="F7" s="40"/>
      <c r="G7" s="252">
        <f>'75'!A281</f>
        <v>1000</v>
      </c>
      <c r="H7" s="179"/>
      <c r="I7" s="40"/>
      <c r="J7" s="244"/>
      <c r="K7" s="40" t="s">
        <v>129</v>
      </c>
      <c r="L7" s="40"/>
      <c r="M7" s="40"/>
      <c r="N7" s="253">
        <f>'75'!A191</f>
        <v>21</v>
      </c>
      <c r="O7" s="253">
        <f>'75'!A192</f>
        <v>28</v>
      </c>
      <c r="P7" s="179"/>
      <c r="R7" s="244"/>
      <c r="S7" s="40" t="s">
        <v>161</v>
      </c>
      <c r="T7" s="40"/>
      <c r="U7" s="199">
        <f>'75'!A111</f>
        <v>1655</v>
      </c>
      <c r="V7" s="251"/>
      <c r="W7" s="196">
        <f>'75'!A112</f>
        <v>1081</v>
      </c>
      <c r="X7" s="182"/>
      <c r="Y7" s="199">
        <f>'75'!A113</f>
        <v>572</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'75'!A193</f>
        <v>5</v>
      </c>
      <c r="O8" s="253">
        <f>'75'!A194</f>
        <v>12</v>
      </c>
      <c r="P8" s="179"/>
      <c r="R8" s="244"/>
      <c r="S8" s="40" t="s">
        <v>162</v>
      </c>
      <c r="T8" s="40"/>
      <c r="U8" s="199">
        <f>'75'!A114</f>
        <v>45</v>
      </c>
      <c r="V8" s="251"/>
      <c r="W8" s="196">
        <f>'75'!A115</f>
        <v>31</v>
      </c>
      <c r="X8" s="182"/>
      <c r="Y8" s="199">
        <f>'75'!A116</f>
        <v>17</v>
      </c>
      <c r="Z8" s="182"/>
      <c r="AA8" s="179"/>
      <c r="AC8" s="40"/>
      <c r="AD8" s="40"/>
      <c r="AE8" s="40"/>
      <c r="AF8" s="196"/>
      <c r="AG8" s="182"/>
      <c r="AH8" s="196"/>
      <c r="AI8" s="182"/>
      <c r="AJ8" s="196"/>
      <c r="AK8" s="182"/>
      <c r="AL8" s="40"/>
    </row>
    <row r="9" spans="2:38" x14ac:dyDescent="0.2">
      <c r="B9" s="244"/>
      <c r="C9" s="175" t="s">
        <v>93</v>
      </c>
      <c r="F9" s="40"/>
      <c r="G9" s="252">
        <f>G7-G8-G10</f>
        <v>50</v>
      </c>
      <c r="H9" s="179"/>
      <c r="I9" s="40"/>
      <c r="J9" s="244"/>
      <c r="K9" s="40" t="s">
        <v>131</v>
      </c>
      <c r="L9" s="40"/>
      <c r="M9" s="40"/>
      <c r="N9" s="253">
        <f>'75'!A82</f>
        <v>9</v>
      </c>
      <c r="O9" s="253"/>
      <c r="P9" s="179"/>
      <c r="R9" s="244"/>
      <c r="S9" s="40" t="s">
        <v>163</v>
      </c>
      <c r="T9" s="40"/>
      <c r="U9" s="199">
        <f>'75'!A117</f>
        <v>59</v>
      </c>
      <c r="V9" s="254" t="str">
        <f>'75'!B117</f>
        <v>!</v>
      </c>
      <c r="W9" s="196">
        <f>'75'!A118</f>
        <v>48</v>
      </c>
      <c r="X9" s="184" t="str">
        <f>'75'!B118</f>
        <v>!</v>
      </c>
      <c r="Y9" s="199">
        <f>'75'!A119</f>
        <v>0</v>
      </c>
      <c r="Z9" s="184">
        <f>'75'!B119</f>
        <v>0</v>
      </c>
      <c r="AA9" s="179"/>
      <c r="AC9" s="40"/>
      <c r="AD9" s="40"/>
      <c r="AE9" s="40"/>
      <c r="AF9" s="196"/>
      <c r="AG9" s="184"/>
      <c r="AH9" s="196"/>
      <c r="AI9" s="184"/>
      <c r="AJ9" s="196"/>
      <c r="AK9" s="184"/>
      <c r="AL9" s="40"/>
    </row>
    <row r="10" spans="2:38" x14ac:dyDescent="0.2">
      <c r="B10" s="244"/>
      <c r="C10" s="175" t="s">
        <v>94</v>
      </c>
      <c r="F10" s="40"/>
      <c r="G10" s="252">
        <f>'75'!A284</f>
        <v>750</v>
      </c>
      <c r="H10" s="179"/>
      <c r="I10" s="40"/>
      <c r="J10" s="244"/>
      <c r="K10" s="182" t="s">
        <v>132</v>
      </c>
      <c r="L10" s="40"/>
      <c r="M10" s="40"/>
      <c r="N10" s="253">
        <f>'75'!A195</f>
        <v>0</v>
      </c>
      <c r="O10" s="253">
        <f>'75'!A196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187.5</v>
      </c>
      <c r="H11" s="179"/>
      <c r="I11" s="40"/>
      <c r="J11" s="244"/>
      <c r="K11" s="182" t="s">
        <v>133</v>
      </c>
      <c r="L11" s="40"/>
      <c r="M11" s="40"/>
      <c r="N11" s="253">
        <f>N7+N8+N9-N10-N12</f>
        <v>2</v>
      </c>
      <c r="O11" s="253">
        <f>O7+O8+O9-O10-O12</f>
        <v>5</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'75'!A285</f>
        <v>125</v>
      </c>
      <c r="H12" s="179"/>
      <c r="I12" s="40"/>
      <c r="J12" s="244"/>
      <c r="K12" s="40" t="s">
        <v>134</v>
      </c>
      <c r="L12" s="40"/>
      <c r="M12" s="40"/>
      <c r="N12" s="255">
        <f>'75'!A197</f>
        <v>33</v>
      </c>
      <c r="O12" s="255">
        <f>'75'!A198</f>
        <v>35</v>
      </c>
      <c r="P12" s="179"/>
      <c r="R12" s="244"/>
      <c r="S12" s="182" t="s">
        <v>165</v>
      </c>
      <c r="T12" s="40"/>
      <c r="U12" s="199">
        <f>'75'!A121</f>
        <v>867</v>
      </c>
      <c r="V12" s="251"/>
      <c r="W12" s="199">
        <f>'75'!A124</f>
        <v>572</v>
      </c>
      <c r="X12" s="182"/>
      <c r="Y12" s="199">
        <f>'75'!A127</f>
        <v>325</v>
      </c>
      <c r="Z12" s="182"/>
      <c r="AA12" s="179"/>
      <c r="AC12" s="40"/>
      <c r="AD12" s="182"/>
      <c r="AE12" s="40"/>
      <c r="AF12" s="196"/>
      <c r="AG12" s="182"/>
      <c r="AH12" s="196"/>
      <c r="AI12" s="182"/>
      <c r="AJ12" s="196"/>
      <c r="AK12" s="182"/>
      <c r="AL12" s="40"/>
    </row>
    <row r="13" spans="2:38" ht="13.2" x14ac:dyDescent="0.3">
      <c r="B13" s="244"/>
      <c r="C13" s="175" t="s">
        <v>97</v>
      </c>
      <c r="F13" s="40"/>
      <c r="G13" s="252">
        <f>'75'!A286</f>
        <v>330</v>
      </c>
      <c r="H13" s="179"/>
      <c r="I13" s="40"/>
      <c r="J13" s="245"/>
      <c r="K13" s="214"/>
      <c r="L13" s="214"/>
      <c r="M13" s="214"/>
      <c r="N13" s="214"/>
      <c r="O13" s="214"/>
      <c r="P13" s="229"/>
      <c r="R13" s="244"/>
      <c r="S13" s="256" t="s">
        <v>166</v>
      </c>
      <c r="T13" s="40"/>
      <c r="U13" s="199">
        <f>'75'!A122</f>
        <v>105</v>
      </c>
      <c r="V13" s="251"/>
      <c r="W13" s="199">
        <f>'75'!A125</f>
        <v>143</v>
      </c>
      <c r="X13" s="182"/>
      <c r="Y13" s="199">
        <f>'75'!A128</f>
        <v>70</v>
      </c>
      <c r="Z13" s="182"/>
      <c r="AA13" s="179"/>
      <c r="AC13" s="40"/>
      <c r="AD13" s="256"/>
      <c r="AE13" s="40"/>
      <c r="AF13" s="196"/>
      <c r="AG13" s="182"/>
      <c r="AH13" s="196"/>
      <c r="AI13" s="182"/>
      <c r="AJ13" s="196"/>
      <c r="AK13" s="182"/>
      <c r="AL13" s="40"/>
    </row>
    <row r="14" spans="2:38" x14ac:dyDescent="0.2">
      <c r="B14" s="244"/>
      <c r="C14" s="175" t="s">
        <v>98</v>
      </c>
      <c r="F14" s="40"/>
      <c r="G14" s="257">
        <f>'75'!A287</f>
        <v>106</v>
      </c>
      <c r="H14" s="179"/>
      <c r="I14" s="40"/>
      <c r="J14" s="244"/>
      <c r="K14" s="40"/>
      <c r="L14" s="40"/>
      <c r="M14" s="40"/>
      <c r="N14" s="40"/>
      <c r="O14" s="213"/>
      <c r="P14" s="179"/>
      <c r="R14" s="244"/>
      <c r="S14" s="182" t="s">
        <v>167</v>
      </c>
      <c r="T14" s="40"/>
      <c r="U14" s="199">
        <f>'75'!A123</f>
        <v>579</v>
      </c>
      <c r="V14" s="251"/>
      <c r="W14" s="199">
        <f>'75'!A126</f>
        <v>287</v>
      </c>
      <c r="X14" s="182"/>
      <c r="Y14" s="199">
        <f>'75'!A129</f>
        <v>160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1.5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'75'!A305</f>
        <v>11088</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'75'!A306</f>
        <v>176</v>
      </c>
      <c r="P17" s="254">
        <f>'75'!B307</f>
        <v>0</v>
      </c>
      <c r="R17" s="244"/>
      <c r="S17" s="40" t="s">
        <v>169</v>
      </c>
      <c r="T17" s="40"/>
      <c r="U17" s="199">
        <f>'75'!A131</f>
        <v>1178</v>
      </c>
      <c r="V17" s="251"/>
      <c r="W17" s="199">
        <f>'75'!A134</f>
        <v>717</v>
      </c>
      <c r="X17" s="182"/>
      <c r="Y17" s="199">
        <f>'75'!A137</f>
        <v>392</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'75'!A291</f>
        <v>0</v>
      </c>
      <c r="H18" s="179"/>
      <c r="I18" s="40"/>
      <c r="J18" s="244"/>
      <c r="K18" s="182" t="s">
        <v>107</v>
      </c>
      <c r="L18" s="40"/>
      <c r="M18" s="40"/>
      <c r="N18" s="40"/>
      <c r="O18" s="252">
        <f>'75'!A307</f>
        <v>9242</v>
      </c>
      <c r="P18" s="179"/>
      <c r="R18" s="244"/>
      <c r="S18" s="259" t="s">
        <v>170</v>
      </c>
      <c r="T18" s="40"/>
      <c r="U18" s="199">
        <f>'75'!A132</f>
        <v>113</v>
      </c>
      <c r="V18" s="251"/>
      <c r="W18" s="199">
        <f>'75'!A135</f>
        <v>126</v>
      </c>
      <c r="X18" s="182"/>
      <c r="Y18" s="199">
        <f>'75'!A138</f>
        <v>63</v>
      </c>
      <c r="Z18" s="182"/>
      <c r="AA18" s="179"/>
      <c r="AC18" s="40"/>
      <c r="AD18" s="259"/>
      <c r="AE18" s="40"/>
      <c r="AF18" s="196"/>
      <c r="AG18" s="182"/>
      <c r="AH18" s="196"/>
      <c r="AI18" s="182"/>
      <c r="AJ18" s="196"/>
      <c r="AK18" s="182"/>
      <c r="AL18" s="40"/>
    </row>
    <row r="19" spans="2:38" x14ac:dyDescent="0.2">
      <c r="B19" s="244"/>
      <c r="C19" s="40" t="s">
        <v>102</v>
      </c>
      <c r="D19" s="40"/>
      <c r="E19" s="40"/>
      <c r="F19" s="40"/>
      <c r="G19" s="196">
        <f>'75'!A292</f>
        <v>5</v>
      </c>
      <c r="H19" s="179"/>
      <c r="I19" s="40"/>
      <c r="J19" s="244"/>
      <c r="P19" s="179"/>
      <c r="R19" s="244"/>
      <c r="S19" s="40" t="s">
        <v>18</v>
      </c>
      <c r="T19" s="40"/>
      <c r="U19" s="199">
        <f>'75'!A133</f>
        <v>584</v>
      </c>
      <c r="V19" s="251"/>
      <c r="W19" s="199">
        <f>'75'!A136</f>
        <v>395</v>
      </c>
      <c r="X19" s="182"/>
      <c r="Y19" s="199">
        <f>'75'!A139</f>
        <v>234</v>
      </c>
      <c r="Z19" s="182"/>
      <c r="AA19" s="179"/>
      <c r="AC19" s="40"/>
      <c r="AD19" s="40"/>
      <c r="AE19" s="40"/>
      <c r="AF19" s="196"/>
      <c r="AG19" s="182"/>
      <c r="AH19" s="196"/>
      <c r="AI19" s="182"/>
      <c r="AJ19" s="196"/>
      <c r="AK19" s="182"/>
      <c r="AL19" s="40"/>
    </row>
    <row r="20" spans="2:38" x14ac:dyDescent="0.2">
      <c r="B20" s="244"/>
      <c r="C20" s="40" t="s">
        <v>103</v>
      </c>
      <c r="D20" s="40"/>
      <c r="E20" s="40"/>
      <c r="F20" s="196"/>
      <c r="G20" s="196">
        <f>'75'!A293</f>
        <v>0</v>
      </c>
      <c r="H20" s="179"/>
      <c r="I20" s="40"/>
      <c r="J20" s="244"/>
      <c r="K20" s="40" t="s">
        <v>138</v>
      </c>
      <c r="L20" s="40"/>
      <c r="M20" s="40"/>
      <c r="N20" s="40"/>
      <c r="O20" s="196">
        <f>'75'!A308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'75'!A294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'75'!A141</f>
        <v>1016</v>
      </c>
      <c r="V22" s="251"/>
      <c r="W22" s="199">
        <f>'75'!A144</f>
        <v>572</v>
      </c>
      <c r="X22" s="182"/>
      <c r="Y22" s="199">
        <f>'75'!A147</f>
        <v>325</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'75'!A301</f>
        <v>5340</v>
      </c>
      <c r="H23" s="205"/>
      <c r="I23" s="40"/>
      <c r="R23" s="244"/>
      <c r="S23" s="259" t="s">
        <v>170</v>
      </c>
      <c r="T23" s="40"/>
      <c r="U23" s="199">
        <f>'75'!A142</f>
        <v>113</v>
      </c>
      <c r="V23" s="251"/>
      <c r="W23" s="199">
        <f>'75'!A145</f>
        <v>126</v>
      </c>
      <c r="X23" s="182"/>
      <c r="Y23" s="199">
        <f>'75'!A148</f>
        <v>63</v>
      </c>
      <c r="Z23" s="182"/>
      <c r="AA23" s="179"/>
      <c r="AC23" s="40"/>
      <c r="AD23" s="259"/>
      <c r="AE23" s="40"/>
      <c r="AF23" s="196"/>
      <c r="AG23" s="182"/>
      <c r="AH23" s="196"/>
      <c r="AI23" s="182"/>
      <c r="AJ23" s="196"/>
      <c r="AK23" s="182"/>
      <c r="AL23" s="40"/>
    </row>
    <row r="24" spans="2:38" x14ac:dyDescent="0.2">
      <c r="B24" s="244"/>
      <c r="C24" s="40" t="s">
        <v>106</v>
      </c>
      <c r="D24" s="40"/>
      <c r="E24" s="40"/>
      <c r="F24" s="40"/>
      <c r="G24" s="196">
        <f>'75'!A302</f>
        <v>52</v>
      </c>
      <c r="H24" s="260">
        <f>'75'!B302</f>
        <v>0</v>
      </c>
      <c r="I24" s="40"/>
      <c r="J24" s="243"/>
      <c r="K24" s="227"/>
      <c r="L24" s="227"/>
      <c r="M24" s="227"/>
      <c r="N24" s="188"/>
      <c r="O24" s="188"/>
      <c r="P24" s="237"/>
      <c r="R24" s="244"/>
      <c r="S24" s="40" t="s">
        <v>18</v>
      </c>
      <c r="T24" s="40"/>
      <c r="U24" s="199">
        <f>'75'!A143</f>
        <v>579</v>
      </c>
      <c r="V24" s="251"/>
      <c r="W24" s="199">
        <f>'75'!A146</f>
        <v>287</v>
      </c>
      <c r="X24" s="182"/>
      <c r="Y24" s="199">
        <f>'75'!A149</f>
        <v>160</v>
      </c>
      <c r="Z24" s="182"/>
      <c r="AA24" s="179"/>
      <c r="AC24" s="40"/>
      <c r="AD24" s="40"/>
      <c r="AE24" s="40"/>
      <c r="AF24" s="196"/>
      <c r="AG24" s="182"/>
      <c r="AH24" s="196"/>
      <c r="AI24" s="182"/>
      <c r="AJ24" s="196"/>
      <c r="AK24" s="182"/>
      <c r="AL24" s="40"/>
    </row>
    <row r="25" spans="2:38" ht="12" x14ac:dyDescent="0.25">
      <c r="B25" s="244"/>
      <c r="C25" s="182" t="s">
        <v>107</v>
      </c>
      <c r="G25" s="196">
        <f>'75'!A303</f>
        <v>3254</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G19*'75'!A75-G24</f>
        <v>73</v>
      </c>
      <c r="H26" s="179"/>
      <c r="I26" s="40"/>
      <c r="J26" s="244"/>
      <c r="K26" s="182" t="s">
        <v>142</v>
      </c>
      <c r="L26" s="40"/>
      <c r="M26" s="253">
        <f>'75'!A321</f>
        <v>3</v>
      </c>
      <c r="N26" s="253">
        <f>'75'!A322</f>
        <v>1</v>
      </c>
      <c r="O26" s="196">
        <f>IF('75'!A327&gt;0,1,0)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'75'!A304</f>
        <v>93</v>
      </c>
      <c r="H27" s="179"/>
      <c r="I27" s="40"/>
      <c r="J27" s="244"/>
      <c r="K27" s="182" t="s">
        <v>143</v>
      </c>
      <c r="L27" s="40"/>
      <c r="M27" s="253">
        <f>'75'!A323</f>
        <v>0</v>
      </c>
      <c r="N27" s="253">
        <f>'75'!A324</f>
        <v>0</v>
      </c>
      <c r="O27" s="196"/>
      <c r="P27" s="261"/>
      <c r="R27" s="244"/>
      <c r="S27" s="40" t="s">
        <v>169</v>
      </c>
      <c r="T27" s="40"/>
      <c r="U27" s="199">
        <f>'75'!A151</f>
        <v>81</v>
      </c>
      <c r="V27" s="251"/>
      <c r="W27" s="199">
        <f>'75'!A154</f>
        <v>86</v>
      </c>
      <c r="X27" s="182"/>
      <c r="Y27" s="199">
        <f>'75'!A157</f>
        <v>52</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'75'!A152</f>
        <v>0</v>
      </c>
      <c r="V28" s="251"/>
      <c r="W28" s="199">
        <f>'75'!A155</f>
        <v>0</v>
      </c>
      <c r="X28" s="182"/>
      <c r="Y28" s="199">
        <f>'75'!A158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1</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'75'!A311</f>
        <v>1983</v>
      </c>
      <c r="H30" s="179"/>
      <c r="I30" s="40"/>
      <c r="J30" s="244"/>
      <c r="K30" s="182" t="s">
        <v>146</v>
      </c>
      <c r="L30" s="40"/>
      <c r="M30" s="255">
        <f>'75'!A325</f>
        <v>3</v>
      </c>
      <c r="N30" s="255">
        <f>'75'!A326</f>
        <v>2</v>
      </c>
      <c r="O30" s="193">
        <f>IF('75'!A328&gt;0,1,0)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1000*'75'!A57+'75'!A312</f>
        <v>3590</v>
      </c>
      <c r="H31" s="179"/>
      <c r="I31" s="40"/>
      <c r="J31" s="245"/>
      <c r="K31" s="214"/>
      <c r="L31" s="214"/>
      <c r="M31" s="214"/>
      <c r="N31" s="214"/>
      <c r="O31" s="214"/>
      <c r="P31" s="229"/>
      <c r="R31" s="244"/>
      <c r="S31" s="40" t="s">
        <v>169</v>
      </c>
      <c r="T31" s="40"/>
      <c r="U31" s="199">
        <f>'75'!A161</f>
        <v>0</v>
      </c>
      <c r="V31" s="251"/>
      <c r="W31" s="199">
        <f>'75'!A164</f>
        <v>0</v>
      </c>
      <c r="X31" s="182"/>
      <c r="Y31" s="199">
        <f>'75'!A167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'75'!A313</f>
        <v>0</v>
      </c>
      <c r="H32" s="179"/>
      <c r="I32" s="40"/>
      <c r="M32" s="175" t="s">
        <v>0</v>
      </c>
      <c r="R32" s="244"/>
      <c r="S32" s="259" t="s">
        <v>170</v>
      </c>
      <c r="T32" s="40"/>
      <c r="U32" s="199">
        <f>'75'!A162</f>
        <v>43</v>
      </c>
      <c r="V32" s="251"/>
      <c r="W32" s="199">
        <f>'75'!A165</f>
        <v>45</v>
      </c>
      <c r="X32" s="182"/>
      <c r="Y32" s="199">
        <f>'75'!A168</f>
        <v>17</v>
      </c>
      <c r="Z32" s="182"/>
      <c r="AA32" s="179"/>
      <c r="AC32" s="40"/>
      <c r="AD32" s="259"/>
      <c r="AE32" s="40"/>
      <c r="AF32" s="196"/>
      <c r="AG32" s="182"/>
      <c r="AH32" s="196"/>
      <c r="AI32" s="182"/>
      <c r="AJ32" s="196"/>
      <c r="AK32" s="182"/>
      <c r="AL32" s="40"/>
    </row>
    <row r="33" spans="2:38" x14ac:dyDescent="0.2">
      <c r="B33" s="244"/>
      <c r="C33" s="40" t="s">
        <v>114</v>
      </c>
      <c r="D33" s="40"/>
      <c r="E33" s="40"/>
      <c r="F33" s="40"/>
      <c r="G33" s="196">
        <f>'75'!A314</f>
        <v>0</v>
      </c>
      <c r="H33" s="263">
        <f>'75'!B313</f>
        <v>0</v>
      </c>
      <c r="I33" s="40"/>
      <c r="M33" s="40"/>
      <c r="R33" s="244"/>
      <c r="S33" s="40" t="s">
        <v>18</v>
      </c>
      <c r="T33" s="40"/>
      <c r="U33" s="199">
        <f>'75'!A163</f>
        <v>0</v>
      </c>
      <c r="V33" s="251"/>
      <c r="W33" s="199">
        <f>'75'!A166</f>
        <v>0</v>
      </c>
      <c r="X33" s="182"/>
      <c r="Y33" s="199">
        <f>'75'!A169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'75'!A315</f>
        <v>4033</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'75'!A316</f>
        <v>1540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'75'!A295</f>
        <v>1381</v>
      </c>
      <c r="N36" s="199">
        <f>'75'!A297</f>
        <v>500</v>
      </c>
      <c r="O36" s="253">
        <f>'75'!A299</f>
        <v>300</v>
      </c>
      <c r="P36" s="179"/>
      <c r="R36" s="244"/>
      <c r="S36" s="247" t="s">
        <v>174</v>
      </c>
      <c r="T36" s="264"/>
      <c r="U36" s="196">
        <f>'75'!A171</f>
        <v>43</v>
      </c>
      <c r="V36" s="254">
        <f>'75'!B171</f>
        <v>0</v>
      </c>
      <c r="W36" s="196">
        <f>'75'!A172</f>
        <v>29</v>
      </c>
      <c r="X36" s="254">
        <f>'75'!B172</f>
        <v>0</v>
      </c>
      <c r="Y36" s="196">
        <f>'75'!A173</f>
        <v>16</v>
      </c>
      <c r="Z36" s="184">
        <f>'75'!B173</f>
        <v>0</v>
      </c>
      <c r="AA36" s="179"/>
      <c r="AC36" s="40"/>
      <c r="AD36" s="247"/>
      <c r="AE36" s="247"/>
      <c r="AF36" s="196"/>
      <c r="AG36" s="184"/>
      <c r="AH36" s="196"/>
      <c r="AI36" s="184"/>
      <c r="AJ36" s="196"/>
      <c r="AK36" s="184"/>
      <c r="AL36" s="40"/>
    </row>
    <row r="37" spans="2:38" x14ac:dyDescent="0.2">
      <c r="B37" s="244"/>
      <c r="C37" s="40" t="s">
        <v>118</v>
      </c>
      <c r="D37" s="40"/>
      <c r="E37" s="40"/>
      <c r="F37" s="40"/>
      <c r="G37" s="196">
        <f>1000*'75'!A58</f>
        <v>4000</v>
      </c>
      <c r="H37" s="179"/>
      <c r="I37" s="40"/>
      <c r="J37" s="244"/>
      <c r="K37" s="40" t="s">
        <v>149</v>
      </c>
      <c r="L37" s="40"/>
      <c r="M37" s="255">
        <f>'75'!A296</f>
        <v>7</v>
      </c>
      <c r="N37" s="255">
        <f>'75'!A298</f>
        <v>2</v>
      </c>
      <c r="O37" s="255">
        <f>'75'!A300</f>
        <v>4</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'75'!A317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1000*'75'!A59</f>
        <v>4000</v>
      </c>
      <c r="H39" s="179"/>
      <c r="I39" s="40"/>
      <c r="R39" s="244"/>
      <c r="S39" s="247" t="s">
        <v>175</v>
      </c>
      <c r="T39" s="247"/>
      <c r="U39" s="266" t="str">
        <f>'75'!A177</f>
        <v>Major</v>
      </c>
      <c r="V39" s="251"/>
      <c r="W39" s="266" t="str">
        <f>'75'!A178</f>
        <v>Major</v>
      </c>
      <c r="X39" s="182"/>
      <c r="Y39" s="266" t="str">
        <f>'75'!A179</f>
        <v>Major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'75'!A318</f>
        <v>6</v>
      </c>
      <c r="H42" s="179"/>
      <c r="I42" s="40"/>
      <c r="J42" s="244"/>
      <c r="K42" s="215" t="s">
        <v>150</v>
      </c>
      <c r="N42" s="177" t="s">
        <v>154</v>
      </c>
      <c r="P42" s="179"/>
      <c r="R42" s="244"/>
      <c r="S42" s="269" t="s">
        <v>177</v>
      </c>
      <c r="T42" s="40"/>
      <c r="U42" s="199">
        <f>'75'!A181</f>
        <v>500</v>
      </c>
      <c r="V42" s="251"/>
      <c r="W42" s="196">
        <f>'75'!A182</f>
        <v>500</v>
      </c>
      <c r="X42" s="182"/>
      <c r="Y42" s="199">
        <f>'75'!A183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'75'!A319</f>
        <v>18283</v>
      </c>
      <c r="H43" s="179"/>
      <c r="I43" s="40"/>
      <c r="J43" s="244"/>
      <c r="K43" s="175" t="s">
        <v>151</v>
      </c>
      <c r="N43" s="271">
        <f>0.00019*50*G10</f>
        <v>7.125</v>
      </c>
      <c r="P43" s="179"/>
      <c r="R43" s="244"/>
      <c r="S43" s="269" t="s">
        <v>178</v>
      </c>
      <c r="T43" s="40"/>
      <c r="U43" s="199">
        <f>'75'!A54</f>
        <v>800</v>
      </c>
      <c r="V43" s="251"/>
      <c r="W43" s="199">
        <f>'75'!A55</f>
        <v>800</v>
      </c>
      <c r="X43" s="182"/>
      <c r="Y43" s="199">
        <f>'75'!A56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100-'75'!A320/10</f>
        <v>0.29999999999999716</v>
      </c>
      <c r="H44" s="179"/>
      <c r="I44" s="40"/>
      <c r="J44" s="244"/>
      <c r="K44" s="175" t="s">
        <v>152</v>
      </c>
      <c r="N44" s="272">
        <f>0.00052*(6*G25+O18)</f>
        <v>14.958319999999999</v>
      </c>
      <c r="P44" s="179"/>
      <c r="R44" s="244"/>
      <c r="S44" s="269" t="s">
        <v>179</v>
      </c>
      <c r="T44" s="40"/>
      <c r="U44" s="199">
        <f>'75'!A184</f>
        <v>0</v>
      </c>
      <c r="V44" s="251"/>
      <c r="W44" s="196">
        <f>'75'!A185</f>
        <v>0</v>
      </c>
      <c r="X44" s="182"/>
      <c r="Y44" s="199">
        <f>'75'!A186</f>
        <v>0</v>
      </c>
      <c r="Z44" s="182"/>
      <c r="AA44" s="179"/>
      <c r="AC44" s="40"/>
      <c r="AD44" s="269"/>
      <c r="AE44" s="40"/>
      <c r="AF44" s="196"/>
      <c r="AG44" s="182"/>
      <c r="AH44" s="196"/>
      <c r="AI44" s="182"/>
      <c r="AJ44" s="196"/>
      <c r="AK44" s="182"/>
      <c r="AL44" s="40"/>
    </row>
    <row r="45" spans="2:38" x14ac:dyDescent="0.2">
      <c r="B45" s="244"/>
      <c r="C45" s="44" t="s">
        <v>125</v>
      </c>
      <c r="G45" s="175">
        <f>'75'!A329</f>
        <v>79</v>
      </c>
      <c r="H45" s="179"/>
      <c r="I45" s="40"/>
      <c r="J45" s="244"/>
      <c r="K45" s="175" t="s">
        <v>153</v>
      </c>
      <c r="N45" s="271">
        <f>N43+N44</f>
        <v>22.083320000000001</v>
      </c>
      <c r="P45" s="179"/>
      <c r="R45" s="244"/>
      <c r="S45" s="269" t="s">
        <v>180</v>
      </c>
      <c r="T45" s="40"/>
      <c r="U45" s="199">
        <f>'75'!A187</f>
        <v>800</v>
      </c>
      <c r="V45" s="251"/>
      <c r="W45" s="196">
        <f>'75'!A188</f>
        <v>800</v>
      </c>
      <c r="X45" s="182"/>
      <c r="Y45" s="199">
        <f>'75'!A189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3">
    <tabColor theme="5" tint="0.59999389629810485"/>
    <pageSetUpPr fitToPage="1"/>
  </sheetPr>
  <dimension ref="A1:Z59"/>
  <sheetViews>
    <sheetView topLeftCell="A13"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'75'!A1</f>
        <v>8</v>
      </c>
      <c r="F1" s="512" t="s">
        <v>285</v>
      </c>
      <c r="G1" s="175"/>
      <c r="I1" s="172">
        <f>'75'!A2</f>
        <v>2</v>
      </c>
      <c r="J1" s="175"/>
      <c r="K1" s="175"/>
      <c r="L1" s="175"/>
      <c r="M1" s="513" t="s">
        <v>284</v>
      </c>
      <c r="N1" s="175"/>
      <c r="O1" s="175"/>
      <c r="P1" s="175"/>
      <c r="Q1" s="175"/>
      <c r="S1" s="175"/>
      <c r="U1" s="170" t="s">
        <v>81</v>
      </c>
      <c r="V1" s="172">
        <f>'75'!A4</f>
        <v>2017</v>
      </c>
      <c r="W1" s="171" t="s">
        <v>80</v>
      </c>
      <c r="X1" s="172">
        <f>'75'!A5</f>
        <v>4</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'75'!A201</f>
        <v>107000</v>
      </c>
      <c r="G8" s="283"/>
      <c r="H8" s="45"/>
      <c r="I8" s="45" t="s">
        <v>207</v>
      </c>
      <c r="J8" s="45"/>
      <c r="K8" s="45"/>
      <c r="L8" s="286">
        <f>'75'!A241</f>
        <v>1523875</v>
      </c>
      <c r="M8" s="283"/>
      <c r="N8" s="45"/>
      <c r="O8" s="268" t="s">
        <v>234</v>
      </c>
      <c r="P8" s="268"/>
      <c r="Q8" s="45"/>
      <c r="R8" s="45"/>
      <c r="S8" s="283"/>
      <c r="T8" s="45"/>
      <c r="U8" s="290" t="s">
        <v>260</v>
      </c>
      <c r="Y8" s="283"/>
    </row>
    <row r="9" spans="2:26" ht="12" x14ac:dyDescent="0.3">
      <c r="B9" s="281"/>
      <c r="C9" s="325" t="s">
        <v>184</v>
      </c>
      <c r="D9" s="45"/>
      <c r="E9" s="45"/>
      <c r="F9" s="286">
        <f>'75'!A202</f>
        <v>47031</v>
      </c>
      <c r="G9" s="283"/>
      <c r="H9" s="45"/>
      <c r="I9" s="45"/>
      <c r="J9" s="45"/>
      <c r="K9" s="45"/>
      <c r="L9" s="286"/>
      <c r="M9" s="283"/>
      <c r="N9" s="45"/>
      <c r="O9" s="242" t="s">
        <v>235</v>
      </c>
      <c r="Q9" s="289"/>
      <c r="R9" s="289">
        <f>'75'!A261</f>
        <v>50000</v>
      </c>
      <c r="S9" s="283"/>
      <c r="T9" s="45"/>
      <c r="U9" s="45" t="s">
        <v>261</v>
      </c>
      <c r="V9" s="45"/>
      <c r="W9" s="45"/>
      <c r="X9" s="286">
        <f>'75'!A221</f>
        <v>1567504</v>
      </c>
      <c r="Y9" s="283"/>
    </row>
    <row r="10" spans="2:26" x14ac:dyDescent="0.2">
      <c r="B10" s="281"/>
      <c r="C10" s="45" t="s">
        <v>185</v>
      </c>
      <c r="D10" s="45"/>
      <c r="E10" s="45"/>
      <c r="F10" s="286">
        <f>'75'!A203</f>
        <v>20870</v>
      </c>
      <c r="G10" s="283"/>
      <c r="H10" s="45"/>
      <c r="I10" s="45" t="s">
        <v>208</v>
      </c>
      <c r="J10" s="45"/>
      <c r="K10" s="45"/>
      <c r="L10" s="286">
        <f>'75'!A242</f>
        <v>307487</v>
      </c>
      <c r="M10" s="283"/>
      <c r="N10" s="45"/>
      <c r="O10" s="45" t="s">
        <v>236</v>
      </c>
      <c r="P10" s="45"/>
      <c r="Q10" s="289"/>
      <c r="R10" s="289">
        <f>'75'!A262</f>
        <v>375000</v>
      </c>
      <c r="S10" s="283"/>
      <c r="T10" s="45"/>
      <c r="U10" s="45" t="s">
        <v>220</v>
      </c>
      <c r="V10" s="45"/>
      <c r="W10" s="45"/>
      <c r="X10" s="286">
        <f>'75'!A222</f>
        <v>40911</v>
      </c>
      <c r="Y10" s="283"/>
    </row>
    <row r="11" spans="2:26" x14ac:dyDescent="0.2">
      <c r="B11" s="281"/>
      <c r="C11" s="45" t="s">
        <v>186</v>
      </c>
      <c r="D11" s="45"/>
      <c r="E11" s="45"/>
      <c r="F11" s="286">
        <f>'75'!A204</f>
        <v>127706</v>
      </c>
      <c r="G11" s="283"/>
      <c r="H11" s="45"/>
      <c r="I11" s="287" t="s">
        <v>209</v>
      </c>
      <c r="L11" s="286">
        <f>'75'!A243</f>
        <v>271200</v>
      </c>
      <c r="M11" s="283"/>
      <c r="N11" s="45"/>
      <c r="O11" s="45" t="s">
        <v>237</v>
      </c>
      <c r="P11" s="45"/>
      <c r="Q11" s="45"/>
      <c r="R11" s="292">
        <f>'75'!A263</f>
        <v>1303186</v>
      </c>
      <c r="S11" s="283"/>
      <c r="T11" s="45"/>
      <c r="U11" s="45" t="s">
        <v>262</v>
      </c>
      <c r="V11" s="45"/>
      <c r="W11" s="45"/>
      <c r="X11" s="286">
        <f>'75'!A223</f>
        <v>1831575</v>
      </c>
      <c r="Y11" s="283"/>
    </row>
    <row r="12" spans="2:26" x14ac:dyDescent="0.2">
      <c r="B12" s="281"/>
      <c r="C12" s="45" t="s">
        <v>187</v>
      </c>
      <c r="D12" s="45"/>
      <c r="E12" s="45"/>
      <c r="F12" s="286">
        <f>'75'!A205</f>
        <v>18191</v>
      </c>
      <c r="G12" s="283"/>
      <c r="H12" s="45"/>
      <c r="I12" s="45" t="s">
        <v>210</v>
      </c>
      <c r="J12" s="45"/>
      <c r="K12" s="45"/>
      <c r="L12" s="286">
        <f>'75'!A244</f>
        <v>743953</v>
      </c>
      <c r="M12" s="283"/>
      <c r="N12" s="45"/>
      <c r="O12" s="45" t="s">
        <v>238</v>
      </c>
      <c r="P12" s="45"/>
      <c r="Q12" s="45"/>
      <c r="R12" s="286">
        <f>SUM(R9:R11)</f>
        <v>1728186</v>
      </c>
      <c r="S12" s="283"/>
      <c r="T12" s="45"/>
      <c r="U12" s="45" t="s">
        <v>263</v>
      </c>
      <c r="V12" s="45"/>
      <c r="W12" s="45"/>
      <c r="X12" s="288">
        <f>'75'!A224</f>
        <v>0</v>
      </c>
      <c r="Y12" s="283"/>
    </row>
    <row r="13" spans="2:26" x14ac:dyDescent="0.2">
      <c r="B13" s="281"/>
      <c r="C13" s="45" t="s">
        <v>188</v>
      </c>
      <c r="D13" s="45"/>
      <c r="E13" s="45"/>
      <c r="F13" s="286">
        <f>'75'!A206</f>
        <v>10930</v>
      </c>
      <c r="G13" s="283"/>
      <c r="H13" s="45"/>
      <c r="I13" s="45" t="s">
        <v>211</v>
      </c>
      <c r="J13" s="45"/>
      <c r="K13" s="45"/>
      <c r="L13" s="286">
        <f>'75'!A245</f>
        <v>71747</v>
      </c>
      <c r="M13" s="283"/>
      <c r="N13" s="45"/>
      <c r="S13" s="283"/>
      <c r="T13" s="45"/>
      <c r="U13" s="287" t="s">
        <v>264</v>
      </c>
      <c r="X13" s="289">
        <f>X9+X10-X11-X12</f>
        <v>-223160</v>
      </c>
      <c r="Y13" s="283"/>
    </row>
    <row r="14" spans="2:26" x14ac:dyDescent="0.2">
      <c r="B14" s="281"/>
      <c r="C14" s="45" t="s">
        <v>189</v>
      </c>
      <c r="D14" s="45"/>
      <c r="E14" s="45"/>
      <c r="F14" s="286">
        <f>'75'!A207</f>
        <v>91000</v>
      </c>
      <c r="G14" s="283"/>
      <c r="H14" s="45"/>
      <c r="I14" s="45" t="s">
        <v>212</v>
      </c>
      <c r="J14" s="45"/>
      <c r="K14" s="45"/>
      <c r="L14" s="286">
        <f>'75'!A246</f>
        <v>157247</v>
      </c>
      <c r="M14" s="283"/>
      <c r="N14" s="45"/>
      <c r="O14" s="290" t="s">
        <v>239</v>
      </c>
      <c r="S14" s="283"/>
      <c r="T14" s="45"/>
      <c r="Y14" s="283"/>
    </row>
    <row r="15" spans="2:26" ht="12" x14ac:dyDescent="0.3">
      <c r="B15" s="281"/>
      <c r="C15" s="325" t="s">
        <v>190</v>
      </c>
      <c r="D15" s="45"/>
      <c r="E15" s="45"/>
      <c r="F15" s="286">
        <f>'75'!A208</f>
        <v>15000</v>
      </c>
      <c r="G15" s="283"/>
      <c r="H15" s="45"/>
      <c r="I15" s="45" t="s">
        <v>213</v>
      </c>
      <c r="J15" s="45"/>
      <c r="K15" s="45"/>
      <c r="L15" s="286">
        <f>'75'!A247</f>
        <v>123738</v>
      </c>
      <c r="M15" s="283"/>
      <c r="N15" s="45"/>
      <c r="O15" s="45" t="s">
        <v>240</v>
      </c>
      <c r="P15" s="45"/>
      <c r="Q15" s="45"/>
      <c r="R15" s="286">
        <f>'75'!A265</f>
        <v>22833</v>
      </c>
      <c r="S15" s="283"/>
      <c r="T15" s="45"/>
      <c r="U15" s="290" t="s">
        <v>265</v>
      </c>
      <c r="Y15" s="283"/>
    </row>
    <row r="16" spans="2:26" x14ac:dyDescent="0.2">
      <c r="B16" s="281"/>
      <c r="C16" s="45" t="s">
        <v>191</v>
      </c>
      <c r="D16" s="45"/>
      <c r="E16" s="45"/>
      <c r="F16" s="286">
        <f>'75'!A209</f>
        <v>106500</v>
      </c>
      <c r="G16" s="283"/>
      <c r="H16" s="45"/>
      <c r="I16" s="45" t="s">
        <v>214</v>
      </c>
      <c r="J16" s="45"/>
      <c r="K16" s="45"/>
      <c r="L16" s="286">
        <f>'75'!A248</f>
        <v>3308</v>
      </c>
      <c r="M16" s="283"/>
      <c r="N16" s="45"/>
      <c r="O16" s="287" t="s">
        <v>241</v>
      </c>
      <c r="R16" s="286">
        <f>'75'!A266</f>
        <v>271200</v>
      </c>
      <c r="S16" s="283"/>
      <c r="T16" s="45"/>
      <c r="U16" s="45" t="s">
        <v>266</v>
      </c>
      <c r="V16" s="45"/>
      <c r="W16" s="45"/>
      <c r="X16" s="286">
        <f>'75'!A225</f>
        <v>812</v>
      </c>
      <c r="Y16" s="283"/>
    </row>
    <row r="17" spans="2:25" x14ac:dyDescent="0.2">
      <c r="B17" s="281"/>
      <c r="C17" s="45" t="s">
        <v>192</v>
      </c>
      <c r="D17" s="45"/>
      <c r="E17" s="45"/>
      <c r="F17" s="286">
        <f>'75'!A210</f>
        <v>10625</v>
      </c>
      <c r="G17" s="283"/>
      <c r="H17" s="45"/>
      <c r="I17" s="45" t="s">
        <v>215</v>
      </c>
      <c r="L17" s="286">
        <f>'75'!A249</f>
        <v>39400</v>
      </c>
      <c r="M17" s="283"/>
      <c r="N17" s="45"/>
      <c r="O17" s="45" t="s">
        <v>242</v>
      </c>
      <c r="P17" s="45"/>
      <c r="Q17" s="45"/>
      <c r="R17" s="286">
        <f>'75'!A267</f>
        <v>502714</v>
      </c>
      <c r="S17" s="283"/>
      <c r="T17" s="45"/>
      <c r="U17" s="45" t="s">
        <v>267</v>
      </c>
      <c r="X17" s="286">
        <f>'75'!A226</f>
        <v>0</v>
      </c>
      <c r="Y17" s="283"/>
    </row>
    <row r="18" spans="2:25" x14ac:dyDescent="0.2">
      <c r="B18" s="281"/>
      <c r="C18" s="45" t="s">
        <v>193</v>
      </c>
      <c r="D18" s="45"/>
      <c r="E18" s="45"/>
      <c r="F18" s="286">
        <f>'75'!A211</f>
        <v>8077</v>
      </c>
      <c r="G18" s="283"/>
      <c r="H18" s="45"/>
      <c r="I18" s="43" t="s">
        <v>216</v>
      </c>
      <c r="J18" s="45"/>
      <c r="K18" s="45"/>
      <c r="L18" s="288">
        <f>'75'!A250</f>
        <v>796747</v>
      </c>
      <c r="M18" s="283"/>
      <c r="N18" s="45"/>
      <c r="O18" s="45" t="s">
        <v>243</v>
      </c>
      <c r="P18" s="45"/>
      <c r="Q18" s="45"/>
      <c r="R18" s="286">
        <f>'75'!A268</f>
        <v>751502</v>
      </c>
      <c r="S18" s="283"/>
      <c r="T18" s="45"/>
      <c r="U18" s="45" t="s">
        <v>268</v>
      </c>
      <c r="V18" s="45"/>
      <c r="W18" s="45"/>
      <c r="X18" s="288">
        <f>'75'!A227</f>
        <v>100000</v>
      </c>
      <c r="Y18" s="283"/>
    </row>
    <row r="19" spans="2:25" x14ac:dyDescent="0.2">
      <c r="B19" s="281"/>
      <c r="C19" s="45" t="s">
        <v>194</v>
      </c>
      <c r="D19" s="45"/>
      <c r="E19" s="45"/>
      <c r="F19" s="286">
        <f>'75'!A212</f>
        <v>12500</v>
      </c>
      <c r="G19" s="283"/>
      <c r="H19" s="45"/>
      <c r="I19" s="45" t="s">
        <v>217</v>
      </c>
      <c r="J19" s="45"/>
      <c r="K19" s="45"/>
      <c r="L19" s="291">
        <f>'75'!A251</f>
        <v>921333</v>
      </c>
      <c r="M19" s="283"/>
      <c r="N19" s="45"/>
      <c r="O19" s="45" t="s">
        <v>244</v>
      </c>
      <c r="P19" s="45"/>
      <c r="Q19" s="45"/>
      <c r="R19" s="288">
        <f>'75'!A269</f>
        <v>1191095</v>
      </c>
      <c r="S19" s="283"/>
      <c r="T19" s="45"/>
      <c r="U19" s="287" t="s">
        <v>269</v>
      </c>
      <c r="X19" s="289">
        <f>X16+X17-X18</f>
        <v>-99188</v>
      </c>
      <c r="Y19" s="283"/>
    </row>
    <row r="20" spans="2:25" x14ac:dyDescent="0.2">
      <c r="B20" s="281"/>
      <c r="C20" s="45" t="s">
        <v>195</v>
      </c>
      <c r="D20" s="45"/>
      <c r="E20" s="45"/>
      <c r="F20" s="286">
        <f>'75'!A213</f>
        <v>3241</v>
      </c>
      <c r="G20" s="283"/>
      <c r="H20" s="45"/>
      <c r="I20" s="45" t="s">
        <v>218</v>
      </c>
      <c r="J20" s="45"/>
      <c r="K20" s="45"/>
      <c r="L20" s="286">
        <f>'75'!A252</f>
        <v>602542</v>
      </c>
      <c r="M20" s="283"/>
      <c r="N20" s="45"/>
      <c r="O20" s="287" t="s">
        <v>245</v>
      </c>
      <c r="R20" s="515">
        <f>SUM(R15:R19)</f>
        <v>2739344</v>
      </c>
      <c r="S20" s="283"/>
      <c r="T20" s="45"/>
      <c r="Y20" s="283"/>
    </row>
    <row r="21" spans="2:25" x14ac:dyDescent="0.2">
      <c r="B21" s="281"/>
      <c r="C21" s="45" t="s">
        <v>196</v>
      </c>
      <c r="D21" s="45"/>
      <c r="E21" s="45"/>
      <c r="F21" s="286">
        <f>'75'!A214</f>
        <v>11814</v>
      </c>
      <c r="G21" s="283"/>
      <c r="H21" s="45"/>
      <c r="I21" s="45" t="s">
        <v>219</v>
      </c>
      <c r="J21" s="45"/>
      <c r="K21" s="45"/>
      <c r="L21" s="286">
        <f>'75'!A217</f>
        <v>692368</v>
      </c>
      <c r="M21" s="283"/>
      <c r="N21" s="45"/>
      <c r="O21" s="45" t="s">
        <v>246</v>
      </c>
      <c r="P21" s="45"/>
      <c r="Q21" s="45"/>
      <c r="R21" s="286">
        <f>R12+R20</f>
        <v>4467530</v>
      </c>
      <c r="S21" s="283"/>
      <c r="T21" s="45"/>
      <c r="U21" s="290" t="s">
        <v>270</v>
      </c>
      <c r="Y21" s="283"/>
    </row>
    <row r="22" spans="2:25" x14ac:dyDescent="0.2">
      <c r="B22" s="281"/>
      <c r="C22" s="45" t="s">
        <v>197</v>
      </c>
      <c r="D22" s="45"/>
      <c r="E22" s="45"/>
      <c r="F22" s="286">
        <f>'75'!A215</f>
        <v>90000</v>
      </c>
      <c r="G22" s="283"/>
      <c r="H22" s="45"/>
      <c r="I22" s="45" t="s">
        <v>220</v>
      </c>
      <c r="J22" s="45"/>
      <c r="K22" s="45"/>
      <c r="L22" s="286">
        <f>'75'!A222</f>
        <v>40911</v>
      </c>
      <c r="M22" s="283"/>
      <c r="N22" s="45"/>
      <c r="S22" s="283"/>
      <c r="T22" s="45"/>
      <c r="U22" s="242" t="s">
        <v>271</v>
      </c>
      <c r="X22" s="286">
        <f>'75'!A228</f>
        <v>0</v>
      </c>
      <c r="Y22" s="283"/>
    </row>
    <row r="23" spans="2:25" x14ac:dyDescent="0.2">
      <c r="B23" s="281"/>
      <c r="C23" s="45" t="s">
        <v>198</v>
      </c>
      <c r="D23" s="45"/>
      <c r="E23" s="45"/>
      <c r="F23" s="288">
        <f>'75'!A216</f>
        <v>11883</v>
      </c>
      <c r="G23" s="283"/>
      <c r="H23" s="45"/>
      <c r="I23" s="45" t="s">
        <v>221</v>
      </c>
      <c r="J23" s="45"/>
      <c r="K23" s="45"/>
      <c r="L23" s="292">
        <f>'75'!A254</f>
        <v>33414</v>
      </c>
      <c r="M23" s="283"/>
      <c r="N23" s="45"/>
      <c r="O23" s="268" t="s">
        <v>247</v>
      </c>
      <c r="P23" s="45"/>
      <c r="Q23" s="45"/>
      <c r="R23" s="286"/>
      <c r="S23" s="283"/>
      <c r="T23" s="45"/>
      <c r="U23" s="242" t="s">
        <v>272</v>
      </c>
      <c r="V23" s="45"/>
      <c r="W23" s="45"/>
      <c r="X23" s="286">
        <f>'75'!A229</f>
        <v>0</v>
      </c>
      <c r="Y23" s="283"/>
    </row>
    <row r="24" spans="2:25" x14ac:dyDescent="0.2">
      <c r="B24" s="281"/>
      <c r="C24" s="45" t="s">
        <v>199</v>
      </c>
      <c r="D24" s="268"/>
      <c r="E24" s="45"/>
      <c r="F24" s="288">
        <f>'75'!A217</f>
        <v>692368</v>
      </c>
      <c r="G24" s="283"/>
      <c r="H24" s="45"/>
      <c r="I24" s="287" t="s">
        <v>222</v>
      </c>
      <c r="L24" s="286">
        <f>L20-L21+L22-L23</f>
        <v>-82329</v>
      </c>
      <c r="M24" s="283"/>
      <c r="N24" s="45"/>
      <c r="O24" s="45" t="s">
        <v>248</v>
      </c>
      <c r="P24" s="45"/>
      <c r="Q24" s="45"/>
      <c r="R24" s="286">
        <f>'75'!A271</f>
        <v>0</v>
      </c>
      <c r="S24" s="283"/>
      <c r="T24" s="45"/>
      <c r="U24" s="45" t="s">
        <v>273</v>
      </c>
      <c r="V24" s="45"/>
      <c r="W24" s="45"/>
      <c r="X24" s="286">
        <f>'75'!A230</f>
        <v>0</v>
      </c>
      <c r="Y24" s="283"/>
    </row>
    <row r="25" spans="2:25" ht="12" x14ac:dyDescent="0.3">
      <c r="B25" s="281"/>
      <c r="C25" s="45"/>
      <c r="F25" s="293"/>
      <c r="G25" s="283"/>
      <c r="H25" s="45"/>
      <c r="I25" s="45" t="s">
        <v>223</v>
      </c>
      <c r="J25" s="45"/>
      <c r="K25" s="45"/>
      <c r="L25" s="286">
        <f>'75'!A225</f>
        <v>812</v>
      </c>
      <c r="M25" s="283"/>
      <c r="N25" s="45"/>
      <c r="O25" s="325" t="s">
        <v>249</v>
      </c>
      <c r="P25" s="45"/>
      <c r="Q25" s="45"/>
      <c r="R25" s="286">
        <f>'75'!A272</f>
        <v>703608</v>
      </c>
      <c r="S25" s="283"/>
      <c r="T25" s="45"/>
      <c r="U25" s="45" t="s">
        <v>274</v>
      </c>
      <c r="V25" s="45"/>
      <c r="W25" s="45"/>
      <c r="X25" s="286">
        <f>'75'!A231</f>
        <v>0</v>
      </c>
      <c r="Y25" s="283"/>
    </row>
    <row r="26" spans="2:25" x14ac:dyDescent="0.2">
      <c r="B26" s="281"/>
      <c r="C26" s="326" t="s">
        <v>200</v>
      </c>
      <c r="D26" s="45"/>
      <c r="E26" s="45"/>
      <c r="F26" s="286"/>
      <c r="G26" s="283"/>
      <c r="H26" s="45"/>
      <c r="I26" s="45" t="s">
        <v>224</v>
      </c>
      <c r="J26" s="45"/>
      <c r="K26" s="45"/>
      <c r="L26" s="288">
        <f>'75'!A232</f>
        <v>0</v>
      </c>
      <c r="M26" s="283"/>
      <c r="N26" s="45"/>
      <c r="O26" s="45" t="s">
        <v>250</v>
      </c>
      <c r="P26" s="45"/>
      <c r="Q26" s="45"/>
      <c r="R26" s="288">
        <f>'75'!A273</f>
        <v>0</v>
      </c>
      <c r="S26" s="283"/>
      <c r="T26" s="45"/>
      <c r="U26" s="45" t="s">
        <v>275</v>
      </c>
      <c r="V26" s="45"/>
      <c r="W26" s="45"/>
      <c r="X26" s="288">
        <f>'75'!A232</f>
        <v>0</v>
      </c>
      <c r="Y26" s="283"/>
    </row>
    <row r="27" spans="2:25" x14ac:dyDescent="0.2">
      <c r="B27" s="281"/>
      <c r="C27" s="287" t="s">
        <v>201</v>
      </c>
      <c r="D27" s="45"/>
      <c r="E27" s="45"/>
      <c r="F27" s="289">
        <f>L27</f>
        <v>-81517</v>
      </c>
      <c r="G27" s="283"/>
      <c r="H27" s="45"/>
      <c r="I27" s="287" t="s">
        <v>225</v>
      </c>
      <c r="J27" s="45"/>
      <c r="K27" s="45"/>
      <c r="L27" s="289">
        <f>L24+L25-L26</f>
        <v>-81517</v>
      </c>
      <c r="M27" s="283"/>
      <c r="N27" s="45"/>
      <c r="O27" s="43" t="s">
        <v>251</v>
      </c>
      <c r="P27" s="45"/>
      <c r="Q27" s="45"/>
      <c r="R27" s="286">
        <f>SUM(R24:R26)</f>
        <v>703608</v>
      </c>
      <c r="S27" s="283"/>
      <c r="T27" s="45"/>
      <c r="U27" s="287" t="s">
        <v>276</v>
      </c>
      <c r="X27" s="289">
        <f>X22-X23-X24+X25-X26</f>
        <v>0</v>
      </c>
      <c r="Y27" s="283"/>
    </row>
    <row r="28" spans="2:25" x14ac:dyDescent="0.2">
      <c r="B28" s="281"/>
      <c r="C28" s="287" t="s">
        <v>202</v>
      </c>
      <c r="D28" s="45"/>
      <c r="E28" s="45"/>
      <c r="F28" s="288">
        <f>'75'!A240</f>
        <v>-154561</v>
      </c>
      <c r="G28" s="283"/>
      <c r="H28" s="45"/>
      <c r="I28" s="45" t="s">
        <v>226</v>
      </c>
      <c r="J28" s="45"/>
      <c r="K28" s="45"/>
      <c r="L28" s="288">
        <f>'75'!A255</f>
        <v>0</v>
      </c>
      <c r="M28" s="283"/>
      <c r="N28" s="45"/>
      <c r="O28" s="45" t="s">
        <v>252</v>
      </c>
      <c r="P28" s="45"/>
      <c r="Q28" s="45"/>
      <c r="R28" s="286">
        <f>'75'!A274</f>
        <v>0</v>
      </c>
      <c r="S28" s="283"/>
      <c r="X28" s="294"/>
      <c r="Y28" s="283"/>
    </row>
    <row r="29" spans="2:25" x14ac:dyDescent="0.2">
      <c r="B29" s="281"/>
      <c r="C29" s="287" t="s">
        <v>203</v>
      </c>
      <c r="F29" s="289">
        <f>'75'!A257</f>
        <v>-236078</v>
      </c>
      <c r="G29" s="283"/>
      <c r="H29" s="45"/>
      <c r="I29" s="45" t="s">
        <v>227</v>
      </c>
      <c r="J29" s="45"/>
      <c r="K29" s="45"/>
      <c r="L29" s="286">
        <f>'75'!A256</f>
        <v>-81517</v>
      </c>
      <c r="M29" s="283"/>
      <c r="N29" s="45"/>
      <c r="S29" s="283"/>
      <c r="U29" s="45" t="s">
        <v>277</v>
      </c>
      <c r="V29" s="45"/>
      <c r="W29" s="45"/>
      <c r="X29" s="289">
        <f>'75'!A233</f>
        <v>-322348</v>
      </c>
      <c r="Y29" s="283"/>
    </row>
    <row r="30" spans="2:25" x14ac:dyDescent="0.2">
      <c r="B30" s="281"/>
      <c r="C30" s="45"/>
      <c r="G30" s="283"/>
      <c r="H30" s="45"/>
      <c r="I30" s="287" t="s">
        <v>228</v>
      </c>
      <c r="L30" s="295">
        <f>IF(R33&gt;0,100*L29/R33,0)</f>
        <v>-2.037925</v>
      </c>
      <c r="M30" s="283"/>
      <c r="N30" s="45"/>
      <c r="O30" s="45" t="s">
        <v>253</v>
      </c>
      <c r="P30" s="45"/>
      <c r="Q30" s="45"/>
      <c r="R30" s="286">
        <f>R21-R27-R28</f>
        <v>3763922</v>
      </c>
      <c r="S30" s="283"/>
      <c r="U30" s="287" t="s">
        <v>278</v>
      </c>
      <c r="V30" s="45"/>
      <c r="W30" s="45"/>
      <c r="X30" s="292">
        <f>'75'!A234</f>
        <v>1513443</v>
      </c>
      <c r="Y30" s="283"/>
    </row>
    <row r="31" spans="2:25" x14ac:dyDescent="0.2">
      <c r="B31" s="281"/>
      <c r="C31" s="45"/>
      <c r="G31" s="283"/>
      <c r="H31" s="45"/>
      <c r="M31" s="283"/>
      <c r="N31" s="45"/>
      <c r="S31" s="283"/>
      <c r="U31" s="287" t="s">
        <v>279</v>
      </c>
      <c r="X31" s="45">
        <f>R19-R26</f>
        <v>1191095</v>
      </c>
      <c r="Y31" s="283"/>
    </row>
    <row r="32" spans="2:25" x14ac:dyDescent="0.2">
      <c r="B32" s="281"/>
      <c r="G32" s="283"/>
      <c r="H32" s="45"/>
      <c r="I32" s="43" t="s">
        <v>229</v>
      </c>
      <c r="J32" s="45"/>
      <c r="K32" s="45"/>
      <c r="L32" s="288">
        <f>'75'!A230</f>
        <v>0</v>
      </c>
      <c r="M32" s="283"/>
      <c r="N32" s="45"/>
      <c r="O32" s="290" t="s">
        <v>254</v>
      </c>
      <c r="S32" s="283"/>
      <c r="U32" s="242" t="s">
        <v>280</v>
      </c>
      <c r="X32" s="289">
        <f>'75'!A270</f>
        <v>650000</v>
      </c>
      <c r="Y32" s="296" t="s">
        <v>9</v>
      </c>
    </row>
    <row r="33" spans="1:25" x14ac:dyDescent="0.2">
      <c r="B33" s="281"/>
      <c r="C33" s="45" t="s">
        <v>204</v>
      </c>
      <c r="D33" s="45"/>
      <c r="E33" s="45"/>
      <c r="F33" s="286">
        <f>'75'!A219</f>
        <v>42880</v>
      </c>
      <c r="G33" s="283"/>
      <c r="H33" s="45"/>
      <c r="I33" s="45" t="s">
        <v>230</v>
      </c>
      <c r="J33" s="45"/>
      <c r="K33" s="45"/>
      <c r="L33" s="286">
        <f>L29-L32</f>
        <v>-81517</v>
      </c>
      <c r="M33" s="283"/>
      <c r="O33" s="43" t="s">
        <v>255</v>
      </c>
      <c r="P33" s="45"/>
      <c r="Q33" s="45"/>
      <c r="R33" s="286">
        <f>'75'!A275</f>
        <v>4000000</v>
      </c>
      <c r="S33" s="283"/>
      <c r="Y33" s="283"/>
    </row>
    <row r="34" spans="1:25" x14ac:dyDescent="0.2">
      <c r="B34" s="281"/>
      <c r="C34" s="45" t="s">
        <v>205</v>
      </c>
      <c r="D34" s="45"/>
      <c r="E34" s="45"/>
      <c r="F34" s="286">
        <f>'75'!A220</f>
        <v>1969</v>
      </c>
      <c r="G34" s="283"/>
      <c r="H34" s="45"/>
      <c r="I34" s="242" t="s">
        <v>231</v>
      </c>
      <c r="J34" s="45"/>
      <c r="K34" s="45"/>
      <c r="L34" s="288">
        <f>'75'!A260</f>
        <v>-154561</v>
      </c>
      <c r="M34" s="283"/>
      <c r="O34" s="242" t="s">
        <v>256</v>
      </c>
      <c r="R34" s="286">
        <f>'75'!A276</f>
        <v>0</v>
      </c>
      <c r="S34" s="283"/>
      <c r="U34" s="45" t="s">
        <v>281</v>
      </c>
      <c r="V34" s="45"/>
      <c r="W34" s="45"/>
      <c r="X34" s="289">
        <f>'75'!A238</f>
        <v>584000</v>
      </c>
      <c r="Y34" s="283"/>
    </row>
    <row r="35" spans="1:25" x14ac:dyDescent="0.2">
      <c r="B35" s="281"/>
      <c r="C35" s="45"/>
      <c r="G35" s="283"/>
      <c r="I35" s="242" t="s">
        <v>232</v>
      </c>
      <c r="L35" s="289">
        <f>L33+L34</f>
        <v>-236078</v>
      </c>
      <c r="M35" s="283"/>
      <c r="O35" s="45" t="s">
        <v>257</v>
      </c>
      <c r="P35" s="45"/>
      <c r="Q35" s="45"/>
      <c r="R35" s="288">
        <f>R36-R33-R34</f>
        <v>-236078</v>
      </c>
      <c r="S35" s="283"/>
      <c r="U35" s="45" t="s">
        <v>282</v>
      </c>
      <c r="V35" s="45"/>
      <c r="W35" s="45"/>
      <c r="X35" s="289">
        <f>'75'!A239</f>
        <v>1307000</v>
      </c>
      <c r="Y35" s="283"/>
    </row>
    <row r="36" spans="1:25" x14ac:dyDescent="0.2">
      <c r="B36" s="281"/>
      <c r="G36" s="283"/>
      <c r="M36" s="283"/>
      <c r="O36" s="45" t="s">
        <v>258</v>
      </c>
      <c r="P36" s="45"/>
      <c r="Q36" s="45"/>
      <c r="R36" s="286">
        <f>'75'!A277</f>
        <v>3763922</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4">
    <tabColor theme="5" tint="0.59999389629810485"/>
    <pageSetUpPr fitToPage="1"/>
  </sheetPr>
  <dimension ref="B1:Q122"/>
  <sheetViews>
    <sheetView topLeftCell="A85" workbookViewId="0">
      <selection activeCell="L56" sqref="L56"/>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'75'!$A1</f>
        <v>8</v>
      </c>
      <c r="K1" s="170" t="s">
        <v>81</v>
      </c>
      <c r="L1" s="172">
        <f>'75'!$A4</f>
        <v>2017</v>
      </c>
      <c r="M1" s="170" t="s">
        <v>289</v>
      </c>
      <c r="N1" s="517">
        <f>'75'!$A5</f>
        <v>4</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'75'!A505</f>
        <v>4199</v>
      </c>
      <c r="H5" s="187">
        <f>'75'!A506</f>
        <v>4310</v>
      </c>
      <c r="I5" s="187">
        <f>'75'!A504</f>
        <v>6153</v>
      </c>
      <c r="K5" s="182"/>
      <c r="M5" s="40"/>
      <c r="N5" s="179"/>
    </row>
    <row r="6" spans="2:14" ht="13.2" x14ac:dyDescent="0.3">
      <c r="B6" s="244"/>
      <c r="C6" s="259" t="s">
        <v>292</v>
      </c>
      <c r="D6" s="40"/>
      <c r="E6" s="40"/>
      <c r="F6" s="40"/>
      <c r="G6" s="301">
        <f>'75'!A507/10</f>
        <v>8.3000000000000007</v>
      </c>
      <c r="H6" s="301">
        <f>'75'!A508/10</f>
        <v>4.3</v>
      </c>
      <c r="I6" s="217"/>
      <c r="K6" s="182"/>
      <c r="L6" s="196"/>
      <c r="M6" s="40"/>
      <c r="N6" s="179"/>
    </row>
    <row r="7" spans="2:14" x14ac:dyDescent="0.2">
      <c r="B7" s="244"/>
      <c r="C7" s="182" t="s">
        <v>293</v>
      </c>
      <c r="D7" s="40"/>
      <c r="E7" s="40"/>
      <c r="F7" s="40"/>
      <c r="G7" s="187">
        <f>'75'!A509</f>
        <v>1715</v>
      </c>
      <c r="H7" s="187">
        <f>'75'!A510</f>
        <v>1531</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'75'!A501/10</f>
        <v>0.5</v>
      </c>
      <c r="H10" s="301">
        <f>'75'!A502/10</f>
        <v>1.1000000000000001</v>
      </c>
      <c r="I10" s="182" t="s">
        <v>302</v>
      </c>
      <c r="J10" s="182"/>
      <c r="K10" s="196"/>
      <c r="L10" s="302">
        <f>'75'!A511/100</f>
        <v>0.82</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'75'!A518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412</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'75'!A515</f>
        <v>79336</v>
      </c>
      <c r="H20" s="304">
        <f>'75'!A516</f>
        <v>75369</v>
      </c>
      <c r="I20" s="304">
        <f>'75'!A517</f>
        <v>71403</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'75'!A681</f>
        <v>US shale developments are likely to have a long term impact</v>
      </c>
      <c r="G23" s="40"/>
      <c r="H23" s="40"/>
      <c r="I23" s="182"/>
      <c r="J23" s="40"/>
      <c r="K23" s="40"/>
      <c r="L23" s="40"/>
      <c r="M23" s="40"/>
      <c r="N23" s="179"/>
    </row>
    <row r="24" spans="2:14" ht="12" x14ac:dyDescent="0.25">
      <c r="B24" s="244"/>
      <c r="C24" s="247"/>
      <c r="F24" s="233" t="str">
        <f>'75'!A682</f>
        <v>on energy provision.American exports are reducing prices of</v>
      </c>
      <c r="G24" s="40"/>
      <c r="H24" s="40"/>
      <c r="I24" s="182"/>
      <c r="J24" s="40"/>
      <c r="K24" s="40"/>
      <c r="L24" s="40"/>
      <c r="M24" s="40"/>
      <c r="N24" s="179"/>
    </row>
    <row r="25" spans="2:14" ht="12" x14ac:dyDescent="0.25">
      <c r="B25" s="244"/>
      <c r="C25" s="247"/>
      <c r="F25" s="233" t="str">
        <f>'75'!A683</f>
        <v>oil and gas globally. This is having political as well as</v>
      </c>
      <c r="G25" s="40"/>
      <c r="H25" s="40"/>
      <c r="I25" s="182"/>
      <c r="J25" s="40"/>
      <c r="K25" s="40"/>
      <c r="L25" s="40"/>
      <c r="M25" s="40"/>
      <c r="N25" s="179"/>
    </row>
    <row r="26" spans="2:14" x14ac:dyDescent="0.2">
      <c r="B26" s="244"/>
      <c r="C26" s="233"/>
      <c r="F26" s="233" t="str">
        <f>'75'!A684</f>
        <v>economic effects.</v>
      </c>
      <c r="G26" s="233"/>
      <c r="H26" s="233"/>
      <c r="I26" s="184"/>
      <c r="J26" s="233"/>
      <c r="K26" s="40"/>
      <c r="L26" s="40"/>
      <c r="M26" s="40"/>
      <c r="N26" s="179"/>
    </row>
    <row r="27" spans="2:14" x14ac:dyDescent="0.2">
      <c r="B27" s="244"/>
      <c r="C27" s="233"/>
      <c r="F27" s="233" t="str">
        <f>'75'!A685</f>
        <v xml:space="preserve"> </v>
      </c>
      <c r="G27" s="233"/>
      <c r="H27" s="233"/>
      <c r="I27" s="184"/>
      <c r="J27" s="233"/>
      <c r="K27" s="40"/>
      <c r="L27" s="40"/>
      <c r="M27" s="40"/>
      <c r="N27" s="179"/>
    </row>
    <row r="28" spans="2:14" x14ac:dyDescent="0.2">
      <c r="B28" s="244"/>
      <c r="C28" s="233"/>
      <c r="F28" s="233" t="str">
        <f>'75'!A686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'75'!A521</f>
        <v>1</v>
      </c>
      <c r="G33" s="309">
        <f>'75'!A541</f>
        <v>2</v>
      </c>
      <c r="H33" s="309">
        <f>'75'!A561</f>
        <v>3</v>
      </c>
      <c r="I33" s="309">
        <f>'75'!A581</f>
        <v>4</v>
      </c>
      <c r="J33" s="309">
        <f>'75'!A601</f>
        <v>5</v>
      </c>
      <c r="K33" s="309">
        <f>'75'!A621</f>
        <v>6</v>
      </c>
      <c r="L33" s="309">
        <f>'75'!A641</f>
        <v>7</v>
      </c>
      <c r="M33" s="309">
        <f>'75'!A661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'75'!A522/100</f>
        <v>91.12</v>
      </c>
      <c r="G35" s="310">
        <f>'75'!A542/100</f>
        <v>94.55</v>
      </c>
      <c r="H35" s="310">
        <f>'75'!A562/100</f>
        <v>104.82</v>
      </c>
      <c r="I35" s="310">
        <f>'75'!A582/100</f>
        <v>96.55</v>
      </c>
      <c r="J35" s="310">
        <f>'75'!A602/100</f>
        <v>100.51</v>
      </c>
      <c r="K35" s="310">
        <f>'75'!A622/100</f>
        <v>99</v>
      </c>
      <c r="L35" s="310">
        <f>'75'!A642/100</f>
        <v>101.94</v>
      </c>
      <c r="M35" s="310">
        <f>'75'!A662/100</f>
        <v>0</v>
      </c>
      <c r="N35" s="204"/>
    </row>
    <row r="36" spans="2:17" x14ac:dyDescent="0.2">
      <c r="B36" s="244"/>
      <c r="C36" s="40" t="s">
        <v>310</v>
      </c>
      <c r="D36" s="40"/>
      <c r="E36" s="40"/>
      <c r="F36" s="310">
        <f>'75'!A523</f>
        <v>3644800</v>
      </c>
      <c r="G36" s="310">
        <f>'75'!A543</f>
        <v>3782000</v>
      </c>
      <c r="H36" s="310">
        <f>'75'!A563</f>
        <v>4192800</v>
      </c>
      <c r="I36" s="310">
        <f>'75'!A583</f>
        <v>3862000</v>
      </c>
      <c r="J36" s="310">
        <f>'75'!A603</f>
        <v>4020400</v>
      </c>
      <c r="K36" s="310">
        <f>'75'!A623</f>
        <v>3960000</v>
      </c>
      <c r="L36" s="310">
        <f>'75'!A643</f>
        <v>4077600</v>
      </c>
      <c r="M36" s="310">
        <f>'75'!A663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'75'!A524</f>
        <v>0</v>
      </c>
      <c r="G38" s="310">
        <f>'75'!A544</f>
        <v>0</v>
      </c>
      <c r="H38" s="310">
        <f>'75'!A564</f>
        <v>0</v>
      </c>
      <c r="I38" s="310">
        <f>'75'!A584</f>
        <v>0</v>
      </c>
      <c r="J38" s="310">
        <f>'75'!A604</f>
        <v>0</v>
      </c>
      <c r="K38" s="310">
        <f>'75'!A624</f>
        <v>0</v>
      </c>
      <c r="L38" s="310">
        <f>'75'!A644</f>
        <v>0</v>
      </c>
      <c r="M38" s="310">
        <f>'75'!A664</f>
        <v>0</v>
      </c>
      <c r="N38" s="204"/>
    </row>
    <row r="39" spans="2:17" x14ac:dyDescent="0.2">
      <c r="B39" s="244"/>
      <c r="C39" s="40" t="s">
        <v>312</v>
      </c>
      <c r="D39" s="40"/>
      <c r="E39" s="40"/>
      <c r="F39" s="310">
        <f>'75'!A525</f>
        <v>3644800</v>
      </c>
      <c r="G39" s="310">
        <f>'75'!A545</f>
        <v>3782000</v>
      </c>
      <c r="H39" s="310">
        <f>'75'!A565</f>
        <v>4192800</v>
      </c>
      <c r="I39" s="310">
        <f>'75'!A585</f>
        <v>3862000</v>
      </c>
      <c r="J39" s="310">
        <f>'75'!A605</f>
        <v>4020400</v>
      </c>
      <c r="K39" s="310">
        <f>'75'!A625</f>
        <v>3960000</v>
      </c>
      <c r="L39" s="310">
        <f>'75'!A645</f>
        <v>4077600</v>
      </c>
      <c r="M39" s="310">
        <f>'75'!A665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'75'!A526</f>
        <v>325</v>
      </c>
      <c r="G43" s="310">
        <f>'75'!A546</f>
        <v>320</v>
      </c>
      <c r="H43" s="310">
        <f>'75'!A566</f>
        <v>335</v>
      </c>
      <c r="I43" s="310">
        <f>'75'!A586</f>
        <v>320</v>
      </c>
      <c r="J43" s="310">
        <f>'75'!A606</f>
        <v>325</v>
      </c>
      <c r="K43" s="310">
        <f>'75'!A626</f>
        <v>300</v>
      </c>
      <c r="L43" s="310">
        <f>'75'!A646</f>
        <v>335</v>
      </c>
      <c r="M43" s="310">
        <f>'75'!A666</f>
        <v>0</v>
      </c>
      <c r="N43" s="204"/>
    </row>
    <row r="44" spans="2:17" x14ac:dyDescent="0.2">
      <c r="B44" s="244"/>
      <c r="C44" s="40" t="s">
        <v>1</v>
      </c>
      <c r="D44" s="182" t="s">
        <v>19</v>
      </c>
      <c r="E44" s="40"/>
      <c r="F44" s="310">
        <f>'75'!A527</f>
        <v>335</v>
      </c>
      <c r="G44" s="310">
        <f>'75'!A547</f>
        <v>345</v>
      </c>
      <c r="H44" s="310">
        <f>'75'!A567</f>
        <v>345</v>
      </c>
      <c r="I44" s="310">
        <f>'75'!A587</f>
        <v>325</v>
      </c>
      <c r="J44" s="310">
        <f>'75'!A607</f>
        <v>335</v>
      </c>
      <c r="K44" s="310">
        <f>'75'!A627</f>
        <v>320</v>
      </c>
      <c r="L44" s="310">
        <f>'75'!A647</f>
        <v>345</v>
      </c>
      <c r="M44" s="310">
        <f>'75'!A667</f>
        <v>0</v>
      </c>
      <c r="N44" s="204"/>
    </row>
    <row r="45" spans="2:17" x14ac:dyDescent="0.2">
      <c r="B45" s="244"/>
      <c r="C45" s="40"/>
      <c r="D45" s="40" t="s">
        <v>18</v>
      </c>
      <c r="E45" s="40"/>
      <c r="F45" s="310">
        <f>'75'!A528</f>
        <v>355</v>
      </c>
      <c r="G45" s="310">
        <f>'75'!A548</f>
        <v>380</v>
      </c>
      <c r="H45" s="310">
        <f>'75'!A568</f>
        <v>385</v>
      </c>
      <c r="I45" s="310">
        <f>'75'!A588</f>
        <v>360</v>
      </c>
      <c r="J45" s="310">
        <f>'75'!A608</f>
        <v>365</v>
      </c>
      <c r="K45" s="310">
        <f>'75'!A628</f>
        <v>350</v>
      </c>
      <c r="L45" s="310">
        <f>'75'!A648</f>
        <v>375</v>
      </c>
      <c r="M45" s="310">
        <f>'75'!A668</f>
        <v>0</v>
      </c>
      <c r="N45" s="204"/>
    </row>
    <row r="46" spans="2:17" x14ac:dyDescent="0.2">
      <c r="B46" s="244"/>
      <c r="C46" s="40" t="s">
        <v>316</v>
      </c>
      <c r="D46" s="40"/>
      <c r="E46" s="40"/>
      <c r="F46" s="310">
        <f>'75'!A529</f>
        <v>490</v>
      </c>
      <c r="G46" s="310">
        <f>'75'!A549</f>
        <v>500</v>
      </c>
      <c r="H46" s="310">
        <f>'75'!A569</f>
        <v>490</v>
      </c>
      <c r="I46" s="310">
        <f>'75'!A589</f>
        <v>550</v>
      </c>
      <c r="J46" s="310">
        <f>'75'!A609</f>
        <v>490</v>
      </c>
      <c r="K46" s="310">
        <f>'75'!A629</f>
        <v>470</v>
      </c>
      <c r="L46" s="310">
        <f>'75'!A649</f>
        <v>490</v>
      </c>
      <c r="M46" s="310">
        <f>'75'!A669</f>
        <v>0</v>
      </c>
      <c r="N46" s="204"/>
    </row>
    <row r="47" spans="2:17" x14ac:dyDescent="0.2">
      <c r="B47" s="244"/>
      <c r="C47" s="40" t="s">
        <v>1</v>
      </c>
      <c r="D47" s="182" t="s">
        <v>19</v>
      </c>
      <c r="E47" s="40"/>
      <c r="F47" s="310">
        <f>'75'!A530</f>
        <v>490</v>
      </c>
      <c r="G47" s="310">
        <f>'75'!A550</f>
        <v>500</v>
      </c>
      <c r="H47" s="310">
        <f>'75'!A570</f>
        <v>490</v>
      </c>
      <c r="I47" s="310">
        <f>'75'!A590</f>
        <v>550</v>
      </c>
      <c r="J47" s="310">
        <f>'75'!A610</f>
        <v>490</v>
      </c>
      <c r="K47" s="310">
        <f>'75'!A630</f>
        <v>480</v>
      </c>
      <c r="L47" s="310">
        <f>'75'!A650</f>
        <v>490</v>
      </c>
      <c r="M47" s="310">
        <f>'75'!A670</f>
        <v>0</v>
      </c>
      <c r="N47" s="204"/>
    </row>
    <row r="48" spans="2:17" x14ac:dyDescent="0.2">
      <c r="B48" s="244"/>
      <c r="C48" s="40"/>
      <c r="D48" s="40" t="s">
        <v>20</v>
      </c>
      <c r="E48" s="40"/>
      <c r="F48" s="310">
        <f>'75'!A531</f>
        <v>550</v>
      </c>
      <c r="G48" s="310">
        <f>'75'!A551</f>
        <v>600</v>
      </c>
      <c r="H48" s="310">
        <f>'75'!A571</f>
        <v>595</v>
      </c>
      <c r="I48" s="310">
        <f>'75'!A591</f>
        <v>650</v>
      </c>
      <c r="J48" s="310">
        <f>'75'!A611</f>
        <v>560</v>
      </c>
      <c r="K48" s="310">
        <f>'75'!A631</f>
        <v>545</v>
      </c>
      <c r="L48" s="310">
        <f>'75'!A651</f>
        <v>590</v>
      </c>
      <c r="M48" s="310">
        <f>'75'!A671</f>
        <v>0</v>
      </c>
      <c r="N48" s="204"/>
    </row>
    <row r="49" spans="2:14" x14ac:dyDescent="0.2">
      <c r="B49" s="244"/>
      <c r="C49" s="40" t="s">
        <v>317</v>
      </c>
      <c r="D49" s="40"/>
      <c r="E49" s="40"/>
      <c r="F49" s="310">
        <f>'75'!A532</f>
        <v>700</v>
      </c>
      <c r="G49" s="310">
        <f>'75'!A552</f>
        <v>705</v>
      </c>
      <c r="H49" s="310">
        <f>'75'!A572</f>
        <v>680</v>
      </c>
      <c r="I49" s="310">
        <f>'75'!A592</f>
        <v>710</v>
      </c>
      <c r="J49" s="310">
        <f>'75'!A612</f>
        <v>700</v>
      </c>
      <c r="K49" s="310">
        <f>'75'!A632</f>
        <v>680</v>
      </c>
      <c r="L49" s="310">
        <f>'75'!A652</f>
        <v>700</v>
      </c>
      <c r="M49" s="310">
        <f>'75'!A672</f>
        <v>0</v>
      </c>
      <c r="N49" s="204"/>
    </row>
    <row r="50" spans="2:14" x14ac:dyDescent="0.2">
      <c r="B50" s="244"/>
      <c r="C50" s="40" t="s">
        <v>1</v>
      </c>
      <c r="D50" s="182" t="s">
        <v>19</v>
      </c>
      <c r="E50" s="40"/>
      <c r="F50" s="310">
        <f>'75'!A533</f>
        <v>725</v>
      </c>
      <c r="G50" s="310">
        <f>'75'!A553</f>
        <v>735</v>
      </c>
      <c r="H50" s="310">
        <f>'75'!A573</f>
        <v>705</v>
      </c>
      <c r="I50" s="310">
        <f>'75'!A593</f>
        <v>735</v>
      </c>
      <c r="J50" s="310">
        <f>'75'!A613</f>
        <v>725</v>
      </c>
      <c r="K50" s="310">
        <f>'75'!A633</f>
        <v>700</v>
      </c>
      <c r="L50" s="310">
        <f>'75'!A653</f>
        <v>725</v>
      </c>
      <c r="M50" s="310">
        <f>'75'!A673</f>
        <v>0</v>
      </c>
      <c r="N50" s="204"/>
    </row>
    <row r="51" spans="2:14" x14ac:dyDescent="0.2">
      <c r="B51" s="244"/>
      <c r="C51" s="40"/>
      <c r="D51" s="40" t="s">
        <v>18</v>
      </c>
      <c r="E51" s="40"/>
      <c r="F51" s="310">
        <f>'75'!A534</f>
        <v>780</v>
      </c>
      <c r="G51" s="310">
        <f>'75'!A554</f>
        <v>855</v>
      </c>
      <c r="H51" s="310">
        <f>'75'!A574</f>
        <v>810</v>
      </c>
      <c r="I51" s="310">
        <f>'75'!A594</f>
        <v>820</v>
      </c>
      <c r="J51" s="310">
        <f>'75'!A614</f>
        <v>790</v>
      </c>
      <c r="K51" s="310">
        <f>'75'!A634</f>
        <v>800</v>
      </c>
      <c r="L51" s="310">
        <f>'75'!A654</f>
        <v>850</v>
      </c>
      <c r="M51" s="310">
        <f>'75'!A674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'75'!A535</f>
        <v>71</v>
      </c>
      <c r="G53" s="310">
        <f>'75'!A555</f>
        <v>61</v>
      </c>
      <c r="H53" s="310">
        <f>'75'!A575</f>
        <v>60</v>
      </c>
      <c r="I53" s="310">
        <f>'75'!A595</f>
        <v>53</v>
      </c>
      <c r="J53" s="310">
        <f>'75'!A615</f>
        <v>56</v>
      </c>
      <c r="K53" s="310">
        <f>'75'!A635</f>
        <v>101</v>
      </c>
      <c r="L53" s="310">
        <f>'75'!A655</f>
        <v>64</v>
      </c>
      <c r="M53" s="310">
        <f>'75'!A675</f>
        <v>0</v>
      </c>
      <c r="N53" s="204"/>
    </row>
    <row r="54" spans="2:14" ht="13.2" x14ac:dyDescent="0.3">
      <c r="B54" s="244"/>
      <c r="C54" s="256" t="s">
        <v>319</v>
      </c>
      <c r="D54" s="40"/>
      <c r="E54" s="40"/>
      <c r="F54" s="310">
        <f>'75'!A536</f>
        <v>1270</v>
      </c>
      <c r="G54" s="310">
        <f>'75'!A556</f>
        <v>1260</v>
      </c>
      <c r="H54" s="310">
        <f>'75'!A576</f>
        <v>1250</v>
      </c>
      <c r="I54" s="310">
        <f>'75'!A596</f>
        <v>1300</v>
      </c>
      <c r="J54" s="310">
        <f>'75'!A616</f>
        <v>1250</v>
      </c>
      <c r="K54" s="310">
        <f>'75'!A636</f>
        <v>1220</v>
      </c>
      <c r="L54" s="310">
        <f>'75'!A656</f>
        <v>1350</v>
      </c>
      <c r="M54" s="310">
        <f>'75'!A676</f>
        <v>0</v>
      </c>
      <c r="N54" s="204"/>
    </row>
    <row r="55" spans="2:14" x14ac:dyDescent="0.2">
      <c r="B55" s="244"/>
      <c r="C55" s="40" t="s">
        <v>320</v>
      </c>
      <c r="D55" s="40"/>
      <c r="E55" s="40"/>
      <c r="F55" s="310">
        <f>'75'!A537</f>
        <v>4</v>
      </c>
      <c r="G55" s="310">
        <f>'75'!A557</f>
        <v>4</v>
      </c>
      <c r="H55" s="310">
        <f>'75'!A577</f>
        <v>7</v>
      </c>
      <c r="I55" s="310">
        <f>'75'!A597</f>
        <v>4</v>
      </c>
      <c r="J55" s="310">
        <f>'75'!A617</f>
        <v>4</v>
      </c>
      <c r="K55" s="310">
        <f>'75'!A637</f>
        <v>8</v>
      </c>
      <c r="L55" s="310">
        <f>'75'!A657</f>
        <v>4</v>
      </c>
      <c r="M55" s="310">
        <f>'75'!A677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'75'!$A59</f>
        <v>4</v>
      </c>
      <c r="K61" s="170" t="s">
        <v>81</v>
      </c>
      <c r="L61" s="172">
        <f>'75'!$A62</f>
        <v>10</v>
      </c>
      <c r="M61" s="170" t="s">
        <v>289</v>
      </c>
      <c r="N61" s="517">
        <f>'75'!$A63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'75'!A701</f>
        <v>1</v>
      </c>
      <c r="G65" s="319">
        <f>'75'!A721</f>
        <v>2</v>
      </c>
      <c r="H65" s="319">
        <f>'75'!A741</f>
        <v>3</v>
      </c>
      <c r="I65" s="319">
        <f>'75'!A761</f>
        <v>4</v>
      </c>
      <c r="J65" s="319">
        <f>'75'!A781</f>
        <v>5</v>
      </c>
      <c r="K65" s="319">
        <f>'75'!A801</f>
        <v>6</v>
      </c>
      <c r="L65" s="319">
        <f>'75'!A821</f>
        <v>7</v>
      </c>
      <c r="M65" s="319">
        <f>'75'!A841</f>
        <v>0</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'75'!A702</f>
        <v>2038374</v>
      </c>
      <c r="G67" s="310">
        <f>'75'!A722</f>
        <v>1728186</v>
      </c>
      <c r="H67" s="310">
        <f>'75'!A742</f>
        <v>2225686</v>
      </c>
      <c r="I67" s="310">
        <f>'75'!A762</f>
        <v>1610498</v>
      </c>
      <c r="J67" s="310">
        <f>'75'!A782</f>
        <v>1650498</v>
      </c>
      <c r="K67" s="310">
        <f>'75'!A802</f>
        <v>2330874</v>
      </c>
      <c r="L67" s="310">
        <f>'75'!A822</f>
        <v>1678186</v>
      </c>
      <c r="M67" s="310">
        <f>'75'!A842</f>
        <v>0</v>
      </c>
      <c r="N67" s="179"/>
    </row>
    <row r="68" spans="2:14" x14ac:dyDescent="0.2">
      <c r="B68" s="244"/>
      <c r="C68" s="40" t="s">
        <v>326</v>
      </c>
      <c r="D68" s="40"/>
      <c r="E68" s="40"/>
      <c r="F68" s="310">
        <f>'75'!A703</f>
        <v>441727</v>
      </c>
      <c r="G68" s="310">
        <f>'75'!A723</f>
        <v>796747</v>
      </c>
      <c r="H68" s="310">
        <f>'75'!A743</f>
        <v>231912</v>
      </c>
      <c r="I68" s="310">
        <f>'75'!A763</f>
        <v>637723</v>
      </c>
      <c r="J68" s="310">
        <f>'75'!A783</f>
        <v>667420</v>
      </c>
      <c r="K68" s="310">
        <f>'75'!A803</f>
        <v>582137</v>
      </c>
      <c r="L68" s="310">
        <f>'75'!A823</f>
        <v>207495</v>
      </c>
      <c r="M68" s="310">
        <f>'75'!A843</f>
        <v>0</v>
      </c>
      <c r="N68" s="179"/>
    </row>
    <row r="69" spans="2:14" x14ac:dyDescent="0.2">
      <c r="B69" s="244"/>
      <c r="C69" s="40" t="s">
        <v>327</v>
      </c>
      <c r="D69" s="40"/>
      <c r="E69" s="40"/>
      <c r="F69" s="310">
        <f>'75'!A704</f>
        <v>779907</v>
      </c>
      <c r="G69" s="310">
        <f>'75'!A724</f>
        <v>751502</v>
      </c>
      <c r="H69" s="310">
        <f>'75'!A744</f>
        <v>939937</v>
      </c>
      <c r="I69" s="310">
        <f>'75'!A764</f>
        <v>720126</v>
      </c>
      <c r="J69" s="310">
        <f>'75'!A784</f>
        <v>823314</v>
      </c>
      <c r="K69" s="310">
        <f>'75'!A804</f>
        <v>1174806</v>
      </c>
      <c r="L69" s="310">
        <f>'75'!A824</f>
        <v>824059</v>
      </c>
      <c r="M69" s="310">
        <f>'75'!A844</f>
        <v>0</v>
      </c>
      <c r="N69" s="179"/>
    </row>
    <row r="70" spans="2:14" x14ac:dyDescent="0.2">
      <c r="B70" s="244"/>
      <c r="C70" s="40" t="s">
        <v>328</v>
      </c>
      <c r="D70" s="40"/>
      <c r="E70" s="40"/>
      <c r="F70" s="310">
        <f>'75'!A705</f>
        <v>1150000</v>
      </c>
      <c r="G70" s="310">
        <f>'75'!A725</f>
        <v>1191095</v>
      </c>
      <c r="H70" s="310">
        <f>'75'!A745</f>
        <v>1150000</v>
      </c>
      <c r="I70" s="310">
        <f>'75'!A765</f>
        <v>1322931</v>
      </c>
      <c r="J70" s="310">
        <f>'75'!A785</f>
        <v>1360940</v>
      </c>
      <c r="K70" s="310">
        <f>'75'!A805</f>
        <v>1150000</v>
      </c>
      <c r="L70" s="310">
        <f>'75'!A825</f>
        <v>1726103</v>
      </c>
      <c r="M70" s="310">
        <f>'75'!A845</f>
        <v>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'75'!A708</f>
        <v>0</v>
      </c>
      <c r="G73" s="310">
        <f>'75'!A728</f>
        <v>0</v>
      </c>
      <c r="H73" s="310">
        <f>'75'!A748</f>
        <v>0</v>
      </c>
      <c r="I73" s="310">
        <f>'75'!A768</f>
        <v>0</v>
      </c>
      <c r="J73" s="310">
        <f>'75'!A788</f>
        <v>0</v>
      </c>
      <c r="K73" s="310">
        <f>'75'!A808</f>
        <v>0</v>
      </c>
      <c r="L73" s="310">
        <f>'75'!A828</f>
        <v>0</v>
      </c>
      <c r="M73" s="310">
        <f>'75'!A848</f>
        <v>0</v>
      </c>
      <c r="N73" s="179"/>
    </row>
    <row r="74" spans="2:14" x14ac:dyDescent="0.2">
      <c r="B74" s="244"/>
      <c r="C74" s="321" t="s">
        <v>331</v>
      </c>
      <c r="D74" s="40"/>
      <c r="E74" s="40"/>
      <c r="F74" s="310">
        <f>'75'!A709</f>
        <v>533146</v>
      </c>
      <c r="G74" s="310">
        <f>'75'!A729</f>
        <v>703608</v>
      </c>
      <c r="H74" s="310">
        <f>'75'!A749</f>
        <v>400373</v>
      </c>
      <c r="I74" s="310">
        <f>'75'!A769</f>
        <v>410688</v>
      </c>
      <c r="J74" s="310">
        <f>'75'!A789</f>
        <v>625393</v>
      </c>
      <c r="K74" s="310">
        <f>'75'!A809</f>
        <v>299402</v>
      </c>
      <c r="L74" s="310">
        <f>'75'!A829</f>
        <v>472939</v>
      </c>
      <c r="M74" s="310">
        <f>'75'!A849</f>
        <v>0</v>
      </c>
      <c r="N74" s="179"/>
    </row>
    <row r="75" spans="2:14" x14ac:dyDescent="0.2">
      <c r="B75" s="244"/>
      <c r="C75" s="40" t="s">
        <v>332</v>
      </c>
      <c r="D75" s="40"/>
      <c r="E75" s="40"/>
      <c r="F75" s="310">
        <f>'75'!A710</f>
        <v>141856</v>
      </c>
      <c r="G75" s="310">
        <f>'75'!A730</f>
        <v>0</v>
      </c>
      <c r="H75" s="310">
        <f>'75'!A750</f>
        <v>238954</v>
      </c>
      <c r="I75" s="310">
        <f>'75'!A770</f>
        <v>0</v>
      </c>
      <c r="J75" s="310">
        <f>'75'!A790</f>
        <v>0</v>
      </c>
      <c r="K75" s="310">
        <f>'75'!A810</f>
        <v>1256149</v>
      </c>
      <c r="L75" s="310">
        <f>'75'!A830</f>
        <v>0</v>
      </c>
      <c r="M75" s="310">
        <f>'75'!A850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'75'!A712</f>
        <v>0</v>
      </c>
      <c r="G77" s="310">
        <f>'75'!A732</f>
        <v>0</v>
      </c>
      <c r="H77" s="310">
        <f>'75'!A752</f>
        <v>0</v>
      </c>
      <c r="I77" s="310">
        <f>'75'!A772</f>
        <v>0</v>
      </c>
      <c r="J77" s="310">
        <f>'75'!A792</f>
        <v>0</v>
      </c>
      <c r="K77" s="310">
        <f>'75'!A812</f>
        <v>0</v>
      </c>
      <c r="L77" s="310">
        <f>'75'!A832</f>
        <v>0</v>
      </c>
      <c r="M77" s="310">
        <f>'75'!A852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'75'!A714</f>
        <v>4000000</v>
      </c>
      <c r="G80" s="310">
        <f>'75'!A734</f>
        <v>4000000</v>
      </c>
      <c r="H80" s="310">
        <f>'75'!A754</f>
        <v>4000000</v>
      </c>
      <c r="I80" s="310">
        <f>'75'!A774</f>
        <v>4000000</v>
      </c>
      <c r="J80" s="310">
        <f>'75'!A794</f>
        <v>4000000</v>
      </c>
      <c r="K80" s="310">
        <f>'75'!A814</f>
        <v>4000000</v>
      </c>
      <c r="L80" s="310">
        <f>'75'!A834</f>
        <v>4000000</v>
      </c>
      <c r="M80" s="310">
        <f>'75'!A854</f>
        <v>0</v>
      </c>
      <c r="N80" s="179"/>
    </row>
    <row r="81" spans="2:14" x14ac:dyDescent="0.2">
      <c r="B81" s="244"/>
      <c r="C81" s="40" t="s">
        <v>336</v>
      </c>
      <c r="D81" s="40"/>
      <c r="E81" s="40"/>
      <c r="F81" s="310">
        <f>'75'!A715</f>
        <v>0</v>
      </c>
      <c r="G81" s="310">
        <f>'75'!A735</f>
        <v>0</v>
      </c>
      <c r="H81" s="310">
        <f>'75'!A755</f>
        <v>0</v>
      </c>
      <c r="I81" s="310">
        <f>'75'!A775</f>
        <v>0</v>
      </c>
      <c r="J81" s="310">
        <f>'75'!A795</f>
        <v>0</v>
      </c>
      <c r="K81" s="310">
        <f>'75'!A815</f>
        <v>0</v>
      </c>
      <c r="L81" s="310">
        <f>'75'!A835</f>
        <v>0</v>
      </c>
      <c r="M81" s="310">
        <f>'75'!A855</f>
        <v>0</v>
      </c>
      <c r="N81" s="179"/>
    </row>
    <row r="82" spans="2:14" x14ac:dyDescent="0.2">
      <c r="B82" s="244"/>
      <c r="C82" s="40" t="s">
        <v>337</v>
      </c>
      <c r="D82" s="40"/>
      <c r="E82" s="40"/>
      <c r="F82" s="310">
        <f>'75'!A716</f>
        <v>-264994</v>
      </c>
      <c r="G82" s="310">
        <f>'75'!A736</f>
        <v>-236078</v>
      </c>
      <c r="H82" s="310">
        <f>'75'!A756</f>
        <v>-91792</v>
      </c>
      <c r="I82" s="310">
        <f>'75'!A776</f>
        <v>-119410</v>
      </c>
      <c r="J82" s="310">
        <f>'75'!A796</f>
        <v>-123221</v>
      </c>
      <c r="K82" s="310">
        <f>'75'!A816</f>
        <v>-317734</v>
      </c>
      <c r="L82" s="310">
        <f>'75'!A836</f>
        <v>-37096</v>
      </c>
      <c r="M82" s="310">
        <f>'75'!A856</f>
        <v>0</v>
      </c>
      <c r="N82" s="179"/>
    </row>
    <row r="83" spans="2:14" ht="12" x14ac:dyDescent="0.25">
      <c r="B83" s="244"/>
      <c r="C83" s="247" t="s">
        <v>338</v>
      </c>
      <c r="D83" s="40"/>
      <c r="E83" s="40"/>
      <c r="F83" s="310">
        <f t="shared" ref="F83:M83" si="0">SUM(F80:F82)</f>
        <v>3735006</v>
      </c>
      <c r="G83" s="310">
        <f t="shared" si="0"/>
        <v>3763922</v>
      </c>
      <c r="H83" s="310">
        <f t="shared" si="0"/>
        <v>3908208</v>
      </c>
      <c r="I83" s="310">
        <f t="shared" si="0"/>
        <v>3880590</v>
      </c>
      <c r="J83" s="310">
        <f t="shared" si="0"/>
        <v>3876779</v>
      </c>
      <c r="K83" s="310">
        <f t="shared" si="0"/>
        <v>3682266</v>
      </c>
      <c r="L83" s="310">
        <f t="shared" si="0"/>
        <v>3962904</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878" t="str">
        <f>'75'!A330</f>
        <v xml:space="preserve"> </v>
      </c>
      <c r="N88" s="179"/>
    </row>
    <row r="89" spans="2:14" ht="12" x14ac:dyDescent="0.25">
      <c r="B89" s="244"/>
      <c r="C89" s="40"/>
      <c r="D89" s="175" t="s">
        <v>340</v>
      </c>
      <c r="F89" s="309">
        <f>'75'!A331</f>
        <v>1</v>
      </c>
      <c r="G89" s="309">
        <f>'75'!A341</f>
        <v>2</v>
      </c>
      <c r="H89" s="309">
        <f>'75'!A351</f>
        <v>3</v>
      </c>
      <c r="I89" s="309">
        <f>'75'!A361</f>
        <v>4</v>
      </c>
      <c r="J89" s="309">
        <f>'75'!A371</f>
        <v>5</v>
      </c>
      <c r="K89" s="309">
        <f>'75'!A381</f>
        <v>6</v>
      </c>
      <c r="L89" s="309">
        <f>'75'!A391</f>
        <v>7</v>
      </c>
      <c r="M89" s="309">
        <f>'75'!A401</f>
        <v>8</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'75'!A332</f>
        <v xml:space="preserve">  4.1</v>
      </c>
      <c r="G91" s="213" t="str">
        <f>'75'!A342</f>
        <v xml:space="preserve">  4.4</v>
      </c>
      <c r="H91" s="213" t="str">
        <f>'75'!A352</f>
        <v xml:space="preserve">  4.3</v>
      </c>
      <c r="I91" s="213" t="str">
        <f>'75'!A362</f>
        <v xml:space="preserve">  4.4</v>
      </c>
      <c r="J91" s="213" t="str">
        <f>'75'!A372</f>
        <v xml:space="preserve">  4.2</v>
      </c>
      <c r="K91" s="213" t="str">
        <f>'75'!A382</f>
        <v xml:space="preserve">  7.7</v>
      </c>
      <c r="L91" s="213" t="str">
        <f>'75'!A392</f>
        <v xml:space="preserve">  4.5</v>
      </c>
      <c r="M91" s="213">
        <f>'75'!A402</f>
        <v>0</v>
      </c>
      <c r="N91" s="179"/>
    </row>
    <row r="92" spans="2:14" x14ac:dyDescent="0.2">
      <c r="B92" s="244"/>
      <c r="C92" s="40"/>
      <c r="D92" s="182" t="s">
        <v>23</v>
      </c>
      <c r="E92" s="40"/>
      <c r="F92" s="213" t="str">
        <f>'75'!A333</f>
        <v xml:space="preserve">  1.1</v>
      </c>
      <c r="G92" s="213" t="str">
        <f>'75'!A343</f>
        <v xml:space="preserve">  0.9</v>
      </c>
      <c r="H92" s="213" t="str">
        <f>'75'!A353</f>
        <v xml:space="preserve">  1.4</v>
      </c>
      <c r="I92" s="213" t="str">
        <f>'75'!A363</f>
        <v xml:space="preserve">  1.0</v>
      </c>
      <c r="J92" s="213" t="str">
        <f>'75'!A373</f>
        <v xml:space="preserve">  1.0</v>
      </c>
      <c r="K92" s="213" t="str">
        <f>'75'!A383</f>
        <v xml:space="preserve">  3.1</v>
      </c>
      <c r="L92" s="213" t="str">
        <f>'75'!A393</f>
        <v xml:space="preserve">  1.2</v>
      </c>
      <c r="M92" s="213">
        <f>'75'!A403</f>
        <v>0</v>
      </c>
      <c r="N92" s="179"/>
    </row>
    <row r="93" spans="2:14" x14ac:dyDescent="0.2">
      <c r="B93" s="244"/>
      <c r="C93" s="40"/>
      <c r="D93" s="182" t="s">
        <v>24</v>
      </c>
      <c r="E93" s="40"/>
      <c r="F93" s="213" t="str">
        <f>'75'!A334</f>
        <v xml:space="preserve">  2.4</v>
      </c>
      <c r="G93" s="213" t="str">
        <f>'75'!A344</f>
        <v xml:space="preserve">  5.9</v>
      </c>
      <c r="H93" s="213" t="str">
        <f>'75'!A354</f>
        <v xml:space="preserve">  4.1</v>
      </c>
      <c r="I93" s="213" t="str">
        <f>'75'!A364</f>
        <v xml:space="preserve">  5.3</v>
      </c>
      <c r="J93" s="213" t="str">
        <f>'75'!A374</f>
        <v xml:space="preserve">  5.1</v>
      </c>
      <c r="K93" s="213" t="str">
        <f>'75'!A384</f>
        <v xml:space="preserve">  5.5</v>
      </c>
      <c r="L93" s="213" t="str">
        <f>'75'!A394</f>
        <v xml:space="preserve">  6.7</v>
      </c>
      <c r="M93" s="213">
        <f>'75'!A404</f>
        <v>0</v>
      </c>
      <c r="N93" s="179"/>
    </row>
    <row r="94" spans="2:14" x14ac:dyDescent="0.2">
      <c r="B94" s="244"/>
      <c r="C94" s="40" t="s">
        <v>343</v>
      </c>
      <c r="D94" s="40"/>
      <c r="E94" s="40"/>
      <c r="F94" s="213" t="str">
        <f>'75'!A335</f>
        <v xml:space="preserve">  5.1</v>
      </c>
      <c r="G94" s="213" t="str">
        <f>'75'!A345</f>
        <v xml:space="preserve">  4.9</v>
      </c>
      <c r="H94" s="213" t="str">
        <f>'75'!A355</f>
        <v xml:space="preserve">  5.5</v>
      </c>
      <c r="I94" s="213" t="str">
        <f>'75'!A365</f>
        <v xml:space="preserve">  4.0</v>
      </c>
      <c r="J94" s="213" t="str">
        <f>'75'!A375</f>
        <v xml:space="preserve">  5.6</v>
      </c>
      <c r="K94" s="213" t="str">
        <f>'75'!A385</f>
        <v xml:space="preserve">  8.6</v>
      </c>
      <c r="L94" s="213" t="str">
        <f>'75'!A395</f>
        <v xml:space="preserve">  5.1</v>
      </c>
      <c r="M94" s="213">
        <f>'75'!A405</f>
        <v>0</v>
      </c>
      <c r="N94" s="179"/>
    </row>
    <row r="95" spans="2:14" x14ac:dyDescent="0.2">
      <c r="B95" s="244"/>
      <c r="C95" s="40"/>
      <c r="D95" s="182" t="s">
        <v>23</v>
      </c>
      <c r="E95" s="40"/>
      <c r="F95" s="213" t="str">
        <f>'75'!A336</f>
        <v xml:space="preserve">  1.7</v>
      </c>
      <c r="G95" s="213" t="str">
        <f>'75'!A346</f>
        <v xml:space="preserve">  2.0</v>
      </c>
      <c r="H95" s="213" t="str">
        <f>'75'!A356</f>
        <v xml:space="preserve">  2.9</v>
      </c>
      <c r="I95" s="213" t="str">
        <f>'75'!A366</f>
        <v xml:space="preserve">  1.2</v>
      </c>
      <c r="J95" s="213" t="str">
        <f>'75'!A376</f>
        <v xml:space="preserve">  1.9</v>
      </c>
      <c r="K95" s="213" t="str">
        <f>'75'!A386</f>
        <v xml:space="preserve">  4.7</v>
      </c>
      <c r="L95" s="213" t="str">
        <f>'75'!A396</f>
        <v xml:space="preserve">  2.0</v>
      </c>
      <c r="M95" s="213">
        <f>'75'!A406</f>
        <v>0</v>
      </c>
      <c r="N95" s="179"/>
    </row>
    <row r="96" spans="2:14" x14ac:dyDescent="0.2">
      <c r="B96" s="244"/>
      <c r="C96" s="40"/>
      <c r="D96" s="224" t="s">
        <v>25</v>
      </c>
      <c r="E96" s="40"/>
      <c r="F96" s="213" t="str">
        <f>'75'!A337</f>
        <v xml:space="preserve">  2.9</v>
      </c>
      <c r="G96" s="213" t="str">
        <f>'75'!A347</f>
        <v xml:space="preserve">  5.8</v>
      </c>
      <c r="H96" s="213" t="str">
        <f>'75'!A357</f>
        <v xml:space="preserve">  5.3</v>
      </c>
      <c r="I96" s="213" t="str">
        <f>'75'!A367</f>
        <v xml:space="preserve">  3.4</v>
      </c>
      <c r="J96" s="213" t="str">
        <f>'75'!A377</f>
        <v xml:space="preserve">  6.5</v>
      </c>
      <c r="K96" s="213" t="str">
        <f>'75'!A387</f>
        <v xml:space="preserve">  5.3</v>
      </c>
      <c r="L96" s="213" t="str">
        <f>'75'!A397</f>
        <v xml:space="preserve">  7.9</v>
      </c>
      <c r="M96" s="213">
        <f>'75'!A407</f>
        <v>0</v>
      </c>
      <c r="N96" s="179"/>
    </row>
    <row r="97" spans="2:14" x14ac:dyDescent="0.2">
      <c r="B97" s="244"/>
      <c r="C97" s="40" t="s">
        <v>344</v>
      </c>
      <c r="D97" s="40"/>
      <c r="E97" s="40"/>
      <c r="F97" s="213" t="str">
        <f>'75'!A338</f>
        <v xml:space="preserve">  6.6</v>
      </c>
      <c r="G97" s="213" t="str">
        <f>'75'!A348</f>
        <v xml:space="preserve">  6.6</v>
      </c>
      <c r="H97" s="213" t="str">
        <f>'75'!A358</f>
        <v xml:space="preserve"> 10.0</v>
      </c>
      <c r="I97" s="213" t="str">
        <f>'75'!A368</f>
        <v xml:space="preserve">  6.3</v>
      </c>
      <c r="J97" s="213" t="str">
        <f>'75'!A378</f>
        <v xml:space="preserve">  8.7</v>
      </c>
      <c r="K97" s="213" t="str">
        <f>'75'!A388</f>
        <v xml:space="preserve">  6.4</v>
      </c>
      <c r="L97" s="213" t="str">
        <f>'75'!A398</f>
        <v xml:space="preserve">  7.6</v>
      </c>
      <c r="M97" s="213">
        <f>'75'!A408</f>
        <v>0</v>
      </c>
      <c r="N97" s="179"/>
    </row>
    <row r="98" spans="2:14" x14ac:dyDescent="0.2">
      <c r="B98" s="244"/>
      <c r="C98" s="40"/>
      <c r="D98" s="182" t="s">
        <v>23</v>
      </c>
      <c r="E98" s="40"/>
      <c r="F98" s="213" t="str">
        <f>'75'!A339</f>
        <v xml:space="preserve">  2.4</v>
      </c>
      <c r="G98" s="213" t="str">
        <f>'75'!A349</f>
        <v xml:space="preserve">  2.6</v>
      </c>
      <c r="H98" s="213" t="str">
        <f>'75'!A359</f>
        <v xml:space="preserve">  5.1</v>
      </c>
      <c r="I98" s="213" t="str">
        <f>'75'!A369</f>
        <v xml:space="preserve">  3.1</v>
      </c>
      <c r="J98" s="213" t="str">
        <f>'75'!A379</f>
        <v xml:space="preserve">  2.7</v>
      </c>
      <c r="K98" s="213" t="str">
        <f>'75'!A389</f>
        <v xml:space="preserve">  4.0</v>
      </c>
      <c r="L98" s="213" t="str">
        <f>'75'!A399</f>
        <v xml:space="preserve">  2.6</v>
      </c>
      <c r="M98" s="213">
        <f>'75'!A409</f>
        <v>0</v>
      </c>
      <c r="N98" s="179"/>
    </row>
    <row r="99" spans="2:14" x14ac:dyDescent="0.2">
      <c r="B99" s="244"/>
      <c r="C99" s="40"/>
      <c r="D99" s="182" t="s">
        <v>24</v>
      </c>
      <c r="E99" s="40"/>
      <c r="F99" s="213" t="str">
        <f>'75'!A340</f>
        <v xml:space="preserve">  4.4</v>
      </c>
      <c r="G99" s="213" t="str">
        <f>'75'!A350</f>
        <v xml:space="preserve">  7.0</v>
      </c>
      <c r="H99" s="213" t="str">
        <f>'75'!A360</f>
        <v xml:space="preserve">  8.0</v>
      </c>
      <c r="I99" s="213" t="str">
        <f>'75'!A370</f>
        <v xml:space="preserve">  6.5</v>
      </c>
      <c r="J99" s="213" t="str">
        <f>'75'!A380</f>
        <v xml:space="preserve"> 11.2</v>
      </c>
      <c r="K99" s="213" t="str">
        <f>'75'!A390</f>
        <v xml:space="preserve">  5.2</v>
      </c>
      <c r="L99" s="213" t="str">
        <f>'75'!A400</f>
        <v xml:space="preserve">  9.2</v>
      </c>
      <c r="M99" s="213">
        <f>'75'!A410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'75'!A420</f>
        <v xml:space="preserve"> </v>
      </c>
      <c r="L102" s="40"/>
      <c r="M102" s="40"/>
      <c r="N102" s="179"/>
    </row>
    <row r="103" spans="2:14" ht="12" x14ac:dyDescent="0.25">
      <c r="B103" s="244"/>
      <c r="C103" s="40"/>
      <c r="D103" s="40" t="s">
        <v>346</v>
      </c>
      <c r="E103" s="40"/>
      <c r="F103" s="309">
        <f>'75'!A421</f>
        <v>1</v>
      </c>
      <c r="G103" s="309">
        <f>'75'!A428</f>
        <v>2</v>
      </c>
      <c r="H103" s="309">
        <f>'75'!A435</f>
        <v>3</v>
      </c>
      <c r="I103" s="309">
        <f>'75'!A442</f>
        <v>4</v>
      </c>
      <c r="J103" s="309">
        <f>'75'!A449</f>
        <v>5</v>
      </c>
      <c r="K103" s="309">
        <f>'75'!A456</f>
        <v>6</v>
      </c>
      <c r="L103" s="309">
        <f>'75'!A463</f>
        <v>7</v>
      </c>
      <c r="M103" s="309">
        <f>'75'!A470</f>
        <v>8</v>
      </c>
      <c r="N103" s="179"/>
    </row>
    <row r="104" spans="2:14" x14ac:dyDescent="0.2">
      <c r="B104" s="244"/>
      <c r="C104" s="40" t="s">
        <v>347</v>
      </c>
      <c r="D104" s="40"/>
      <c r="E104" s="40"/>
      <c r="F104" s="310">
        <f>'75'!A422</f>
        <v>105000</v>
      </c>
      <c r="G104" s="310">
        <f>'75'!A429</f>
        <v>107000</v>
      </c>
      <c r="H104" s="310">
        <f>'75'!A436</f>
        <v>110000</v>
      </c>
      <c r="I104" s="310">
        <f>'75'!A443</f>
        <v>83000</v>
      </c>
      <c r="J104" s="310">
        <f>'75'!A450</f>
        <v>105000</v>
      </c>
      <c r="K104" s="310">
        <f>'75'!A457</f>
        <v>60000</v>
      </c>
      <c r="L104" s="310">
        <f>'75'!A464</f>
        <v>101000</v>
      </c>
      <c r="M104" s="310">
        <f>'75'!A471</f>
        <v>0</v>
      </c>
      <c r="N104" s="179"/>
    </row>
    <row r="105" spans="2:14" x14ac:dyDescent="0.2">
      <c r="B105" s="244"/>
      <c r="C105" s="40" t="s">
        <v>348</v>
      </c>
      <c r="D105" s="40"/>
      <c r="E105" s="40"/>
      <c r="F105" s="310">
        <f>'75'!A423</f>
        <v>65000</v>
      </c>
      <c r="G105" s="310">
        <f>'75'!A430</f>
        <v>91000</v>
      </c>
      <c r="H105" s="310">
        <f>'75'!A437</f>
        <v>75000</v>
      </c>
      <c r="I105" s="310">
        <f>'75'!A444</f>
        <v>60000</v>
      </c>
      <c r="J105" s="310">
        <f>'75'!A451</f>
        <v>70000</v>
      </c>
      <c r="K105" s="310">
        <f>'75'!A458</f>
        <v>35000</v>
      </c>
      <c r="L105" s="310">
        <f>'75'!A465</f>
        <v>60000</v>
      </c>
      <c r="M105" s="310">
        <f>'75'!A472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'75'!A424</f>
        <v xml:space="preserve">  ***</v>
      </c>
      <c r="G107" s="323" t="str">
        <f>'75'!A431</f>
        <v xml:space="preserve">    *</v>
      </c>
      <c r="H107" s="323" t="str">
        <f>'75'!A438</f>
        <v xml:space="preserve">   **</v>
      </c>
      <c r="I107" s="323" t="str">
        <f>'75'!A445</f>
        <v xml:space="preserve">    *</v>
      </c>
      <c r="J107" s="323" t="str">
        <f>'75'!A452</f>
        <v xml:space="preserve">   **</v>
      </c>
      <c r="K107" s="323" t="str">
        <f>'75'!A459</f>
        <v xml:space="preserve">   **</v>
      </c>
      <c r="L107" s="323" t="str">
        <f>'75'!A466</f>
        <v xml:space="preserve">   **</v>
      </c>
      <c r="M107" s="323">
        <f>'75'!A473</f>
        <v>0</v>
      </c>
      <c r="N107" s="179"/>
    </row>
    <row r="108" spans="2:14" x14ac:dyDescent="0.2">
      <c r="B108" s="244"/>
      <c r="C108" s="40" t="s">
        <v>351</v>
      </c>
      <c r="D108" s="40"/>
      <c r="E108" s="40"/>
      <c r="F108" s="323" t="str">
        <f>'75'!A425</f>
        <v xml:space="preserve">   **</v>
      </c>
      <c r="G108" s="323" t="str">
        <f>'75'!A432</f>
        <v xml:space="preserve">  ***</v>
      </c>
      <c r="H108" s="323" t="str">
        <f>'75'!A439</f>
        <v xml:space="preserve">   **</v>
      </c>
      <c r="I108" s="323" t="str">
        <f>'75'!A446</f>
        <v xml:space="preserve">   **</v>
      </c>
      <c r="J108" s="323" t="str">
        <f>'75'!A453</f>
        <v xml:space="preserve">  ***</v>
      </c>
      <c r="K108" s="323" t="str">
        <f>'75'!A460</f>
        <v xml:space="preserve">  ***</v>
      </c>
      <c r="L108" s="323" t="str">
        <f>'75'!A467</f>
        <v xml:space="preserve">   **</v>
      </c>
      <c r="M108" s="323">
        <f>'75'!A474</f>
        <v>0</v>
      </c>
      <c r="N108" s="179"/>
    </row>
    <row r="109" spans="2:14" x14ac:dyDescent="0.2">
      <c r="B109" s="244"/>
      <c r="C109" s="40" t="s">
        <v>352</v>
      </c>
      <c r="D109" s="40"/>
      <c r="E109" s="40"/>
      <c r="F109" s="323" t="str">
        <f>'75'!A426</f>
        <v xml:space="preserve">   **</v>
      </c>
      <c r="G109" s="323" t="str">
        <f>'75'!A433</f>
        <v xml:space="preserve">   **</v>
      </c>
      <c r="H109" s="323" t="str">
        <f>'75'!A440</f>
        <v xml:space="preserve">   **</v>
      </c>
      <c r="I109" s="323" t="str">
        <f>'75'!A447</f>
        <v xml:space="preserve">   **</v>
      </c>
      <c r="J109" s="323" t="str">
        <f>'75'!A454</f>
        <v xml:space="preserve">   **</v>
      </c>
      <c r="K109" s="323" t="str">
        <f>'75'!A461</f>
        <v xml:space="preserve">   **</v>
      </c>
      <c r="L109" s="323" t="str">
        <f>'75'!A468</f>
        <v xml:space="preserve">   **</v>
      </c>
      <c r="M109" s="323">
        <f>'75'!A475</f>
        <v>0</v>
      </c>
      <c r="N109" s="179"/>
    </row>
    <row r="110" spans="2:14" x14ac:dyDescent="0.2">
      <c r="B110" s="244"/>
      <c r="C110" s="40" t="s">
        <v>353</v>
      </c>
      <c r="D110" s="40"/>
      <c r="E110" s="40"/>
      <c r="F110" s="323" t="str">
        <f>'75'!A427</f>
        <v xml:space="preserve">  ***</v>
      </c>
      <c r="G110" s="323" t="str">
        <f>'75'!A434</f>
        <v xml:space="preserve">  ***</v>
      </c>
      <c r="H110" s="323" t="str">
        <f>'75'!A441</f>
        <v xml:space="preserve">  ***</v>
      </c>
      <c r="I110" s="323" t="str">
        <f>'75'!A448</f>
        <v xml:space="preserve">  ***</v>
      </c>
      <c r="J110" s="323" t="str">
        <f>'75'!A455</f>
        <v xml:space="preserve">  ***</v>
      </c>
      <c r="K110" s="323" t="str">
        <f>'75'!A462</f>
        <v xml:space="preserve">  ***</v>
      </c>
      <c r="L110" s="323" t="str">
        <f>'75'!A469</f>
        <v xml:space="preserve">  ***</v>
      </c>
      <c r="M110" s="323">
        <f>'75'!A476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5">
    <tabColor theme="5" tint="0.59999389629810485"/>
    <pageSetUpPr fitToPage="1"/>
  </sheetPr>
  <dimension ref="A1:B840"/>
  <sheetViews>
    <sheetView workbookViewId="0">
      <selection sqref="A1:AG1000"/>
    </sheetView>
  </sheetViews>
  <sheetFormatPr baseColWidth="10" defaultColWidth="9.109375" defaultRowHeight="13.2" x14ac:dyDescent="0.25"/>
  <cols>
    <col min="1" max="1" width="59.6640625" bestFit="1" customWidth="1"/>
    <col min="2" max="2" width="1.6640625" style="695" bestFit="1" customWidth="1"/>
    <col min="257" max="257" width="59.6640625" bestFit="1" customWidth="1"/>
    <col min="258" max="258" width="1.6640625" bestFit="1" customWidth="1"/>
    <col min="513" max="513" width="59.6640625" bestFit="1" customWidth="1"/>
    <col min="514" max="514" width="1.6640625" bestFit="1" customWidth="1"/>
    <col min="769" max="769" width="59.6640625" bestFit="1" customWidth="1"/>
    <col min="770" max="770" width="1.6640625" bestFit="1" customWidth="1"/>
    <col min="1025" max="1025" width="59.6640625" bestFit="1" customWidth="1"/>
    <col min="1026" max="1026" width="1.6640625" bestFit="1" customWidth="1"/>
    <col min="1281" max="1281" width="59.6640625" bestFit="1" customWidth="1"/>
    <col min="1282" max="1282" width="1.6640625" bestFit="1" customWidth="1"/>
    <col min="1537" max="1537" width="59.6640625" bestFit="1" customWidth="1"/>
    <col min="1538" max="1538" width="1.6640625" bestFit="1" customWidth="1"/>
    <col min="1793" max="1793" width="59.6640625" bestFit="1" customWidth="1"/>
    <col min="1794" max="1794" width="1.6640625" bestFit="1" customWidth="1"/>
    <col min="2049" max="2049" width="59.6640625" bestFit="1" customWidth="1"/>
    <col min="2050" max="2050" width="1.6640625" bestFit="1" customWidth="1"/>
    <col min="2305" max="2305" width="59.6640625" bestFit="1" customWidth="1"/>
    <col min="2306" max="2306" width="1.6640625" bestFit="1" customWidth="1"/>
    <col min="2561" max="2561" width="59.6640625" bestFit="1" customWidth="1"/>
    <col min="2562" max="2562" width="1.6640625" bestFit="1" customWidth="1"/>
    <col min="2817" max="2817" width="59.6640625" bestFit="1" customWidth="1"/>
    <col min="2818" max="2818" width="1.6640625" bestFit="1" customWidth="1"/>
    <col min="3073" max="3073" width="59.6640625" bestFit="1" customWidth="1"/>
    <col min="3074" max="3074" width="1.6640625" bestFit="1" customWidth="1"/>
    <col min="3329" max="3329" width="59.6640625" bestFit="1" customWidth="1"/>
    <col min="3330" max="3330" width="1.6640625" bestFit="1" customWidth="1"/>
    <col min="3585" max="3585" width="59.6640625" bestFit="1" customWidth="1"/>
    <col min="3586" max="3586" width="1.6640625" bestFit="1" customWidth="1"/>
    <col min="3841" max="3841" width="59.6640625" bestFit="1" customWidth="1"/>
    <col min="3842" max="3842" width="1.6640625" bestFit="1" customWidth="1"/>
    <col min="4097" max="4097" width="59.6640625" bestFit="1" customWidth="1"/>
    <col min="4098" max="4098" width="1.6640625" bestFit="1" customWidth="1"/>
    <col min="4353" max="4353" width="59.6640625" bestFit="1" customWidth="1"/>
    <col min="4354" max="4354" width="1.6640625" bestFit="1" customWidth="1"/>
    <col min="4609" max="4609" width="59.6640625" bestFit="1" customWidth="1"/>
    <col min="4610" max="4610" width="1.6640625" bestFit="1" customWidth="1"/>
    <col min="4865" max="4865" width="59.6640625" bestFit="1" customWidth="1"/>
    <col min="4866" max="4866" width="1.6640625" bestFit="1" customWidth="1"/>
    <col min="5121" max="5121" width="59.6640625" bestFit="1" customWidth="1"/>
    <col min="5122" max="5122" width="1.6640625" bestFit="1" customWidth="1"/>
    <col min="5377" max="5377" width="59.6640625" bestFit="1" customWidth="1"/>
    <col min="5378" max="5378" width="1.6640625" bestFit="1" customWidth="1"/>
    <col min="5633" max="5633" width="59.6640625" bestFit="1" customWidth="1"/>
    <col min="5634" max="5634" width="1.6640625" bestFit="1" customWidth="1"/>
    <col min="5889" max="5889" width="59.6640625" bestFit="1" customWidth="1"/>
    <col min="5890" max="5890" width="1.6640625" bestFit="1" customWidth="1"/>
    <col min="6145" max="6145" width="59.6640625" bestFit="1" customWidth="1"/>
    <col min="6146" max="6146" width="1.6640625" bestFit="1" customWidth="1"/>
    <col min="6401" max="6401" width="59.6640625" bestFit="1" customWidth="1"/>
    <col min="6402" max="6402" width="1.6640625" bestFit="1" customWidth="1"/>
    <col min="6657" max="6657" width="59.6640625" bestFit="1" customWidth="1"/>
    <col min="6658" max="6658" width="1.6640625" bestFit="1" customWidth="1"/>
    <col min="6913" max="6913" width="59.6640625" bestFit="1" customWidth="1"/>
    <col min="6914" max="6914" width="1.6640625" bestFit="1" customWidth="1"/>
    <col min="7169" max="7169" width="59.6640625" bestFit="1" customWidth="1"/>
    <col min="7170" max="7170" width="1.6640625" bestFit="1" customWidth="1"/>
    <col min="7425" max="7425" width="59.6640625" bestFit="1" customWidth="1"/>
    <col min="7426" max="7426" width="1.6640625" bestFit="1" customWidth="1"/>
    <col min="7681" max="7681" width="59.6640625" bestFit="1" customWidth="1"/>
    <col min="7682" max="7682" width="1.6640625" bestFit="1" customWidth="1"/>
    <col min="7937" max="7937" width="59.6640625" bestFit="1" customWidth="1"/>
    <col min="7938" max="7938" width="1.6640625" bestFit="1" customWidth="1"/>
    <col min="8193" max="8193" width="59.6640625" bestFit="1" customWidth="1"/>
    <col min="8194" max="8194" width="1.6640625" bestFit="1" customWidth="1"/>
    <col min="8449" max="8449" width="59.6640625" bestFit="1" customWidth="1"/>
    <col min="8450" max="8450" width="1.6640625" bestFit="1" customWidth="1"/>
    <col min="8705" max="8705" width="59.6640625" bestFit="1" customWidth="1"/>
    <col min="8706" max="8706" width="1.6640625" bestFit="1" customWidth="1"/>
    <col min="8961" max="8961" width="59.6640625" bestFit="1" customWidth="1"/>
    <col min="8962" max="8962" width="1.6640625" bestFit="1" customWidth="1"/>
    <col min="9217" max="9217" width="59.6640625" bestFit="1" customWidth="1"/>
    <col min="9218" max="9218" width="1.6640625" bestFit="1" customWidth="1"/>
    <col min="9473" max="9473" width="59.6640625" bestFit="1" customWidth="1"/>
    <col min="9474" max="9474" width="1.6640625" bestFit="1" customWidth="1"/>
    <col min="9729" max="9729" width="59.6640625" bestFit="1" customWidth="1"/>
    <col min="9730" max="9730" width="1.6640625" bestFit="1" customWidth="1"/>
    <col min="9985" max="9985" width="59.6640625" bestFit="1" customWidth="1"/>
    <col min="9986" max="9986" width="1.6640625" bestFit="1" customWidth="1"/>
    <col min="10241" max="10241" width="59.6640625" bestFit="1" customWidth="1"/>
    <col min="10242" max="10242" width="1.6640625" bestFit="1" customWidth="1"/>
    <col min="10497" max="10497" width="59.6640625" bestFit="1" customWidth="1"/>
    <col min="10498" max="10498" width="1.6640625" bestFit="1" customWidth="1"/>
    <col min="10753" max="10753" width="59.6640625" bestFit="1" customWidth="1"/>
    <col min="10754" max="10754" width="1.6640625" bestFit="1" customWidth="1"/>
    <col min="11009" max="11009" width="59.6640625" bestFit="1" customWidth="1"/>
    <col min="11010" max="11010" width="1.6640625" bestFit="1" customWidth="1"/>
    <col min="11265" max="11265" width="59.6640625" bestFit="1" customWidth="1"/>
    <col min="11266" max="11266" width="1.6640625" bestFit="1" customWidth="1"/>
    <col min="11521" max="11521" width="59.6640625" bestFit="1" customWidth="1"/>
    <col min="11522" max="11522" width="1.6640625" bestFit="1" customWidth="1"/>
    <col min="11777" max="11777" width="59.6640625" bestFit="1" customWidth="1"/>
    <col min="11778" max="11778" width="1.6640625" bestFit="1" customWidth="1"/>
    <col min="12033" max="12033" width="59.6640625" bestFit="1" customWidth="1"/>
    <col min="12034" max="12034" width="1.6640625" bestFit="1" customWidth="1"/>
    <col min="12289" max="12289" width="59.6640625" bestFit="1" customWidth="1"/>
    <col min="12290" max="12290" width="1.6640625" bestFit="1" customWidth="1"/>
    <col min="12545" max="12545" width="59.6640625" bestFit="1" customWidth="1"/>
    <col min="12546" max="12546" width="1.6640625" bestFit="1" customWidth="1"/>
    <col min="12801" max="12801" width="59.6640625" bestFit="1" customWidth="1"/>
    <col min="12802" max="12802" width="1.6640625" bestFit="1" customWidth="1"/>
    <col min="13057" max="13057" width="59.6640625" bestFit="1" customWidth="1"/>
    <col min="13058" max="13058" width="1.6640625" bestFit="1" customWidth="1"/>
    <col min="13313" max="13313" width="59.6640625" bestFit="1" customWidth="1"/>
    <col min="13314" max="13314" width="1.6640625" bestFit="1" customWidth="1"/>
    <col min="13569" max="13569" width="59.6640625" bestFit="1" customWidth="1"/>
    <col min="13570" max="13570" width="1.6640625" bestFit="1" customWidth="1"/>
    <col min="13825" max="13825" width="59.6640625" bestFit="1" customWidth="1"/>
    <col min="13826" max="13826" width="1.6640625" bestFit="1" customWidth="1"/>
    <col min="14081" max="14081" width="59.6640625" bestFit="1" customWidth="1"/>
    <col min="14082" max="14082" width="1.6640625" bestFit="1" customWidth="1"/>
    <col min="14337" max="14337" width="59.6640625" bestFit="1" customWidth="1"/>
    <col min="14338" max="14338" width="1.6640625" bestFit="1" customWidth="1"/>
    <col min="14593" max="14593" width="59.6640625" bestFit="1" customWidth="1"/>
    <col min="14594" max="14594" width="1.6640625" bestFit="1" customWidth="1"/>
    <col min="14849" max="14849" width="59.6640625" bestFit="1" customWidth="1"/>
    <col min="14850" max="14850" width="1.6640625" bestFit="1" customWidth="1"/>
    <col min="15105" max="15105" width="59.6640625" bestFit="1" customWidth="1"/>
    <col min="15106" max="15106" width="1.6640625" bestFit="1" customWidth="1"/>
    <col min="15361" max="15361" width="59.6640625" bestFit="1" customWidth="1"/>
    <col min="15362" max="15362" width="1.6640625" bestFit="1" customWidth="1"/>
    <col min="15617" max="15617" width="59.6640625" bestFit="1" customWidth="1"/>
    <col min="15618" max="15618" width="1.6640625" bestFit="1" customWidth="1"/>
    <col min="15873" max="15873" width="59.6640625" bestFit="1" customWidth="1"/>
    <col min="15874" max="15874" width="1.6640625" bestFit="1" customWidth="1"/>
    <col min="16129" max="16129" width="59.6640625" bestFit="1" customWidth="1"/>
    <col min="16130" max="16130" width="1.6640625" bestFit="1" customWidth="1"/>
  </cols>
  <sheetData>
    <row r="1" spans="1:1" x14ac:dyDescent="0.25">
      <c r="A1">
        <v>8</v>
      </c>
    </row>
    <row r="2" spans="1:1" x14ac:dyDescent="0.25">
      <c r="A2">
        <v>2</v>
      </c>
    </row>
    <row r="3" spans="1:1" x14ac:dyDescent="0.25">
      <c r="A3">
        <v>999</v>
      </c>
    </row>
    <row r="4" spans="1:1" x14ac:dyDescent="0.25">
      <c r="A4">
        <v>2017</v>
      </c>
    </row>
    <row r="5" spans="1:1" x14ac:dyDescent="0.25">
      <c r="A5">
        <v>4</v>
      </c>
    </row>
    <row r="6" spans="1:1" x14ac:dyDescent="0.25">
      <c r="A6" t="s">
        <v>682</v>
      </c>
    </row>
    <row r="7" spans="1:1" x14ac:dyDescent="0.25">
      <c r="A7">
        <v>20</v>
      </c>
    </row>
    <row r="8" spans="1:1" x14ac:dyDescent="0.25">
      <c r="A8">
        <v>15</v>
      </c>
    </row>
    <row r="9" spans="1:1" x14ac:dyDescent="0.25">
      <c r="A9">
        <v>20</v>
      </c>
    </row>
    <row r="10" spans="1:1" x14ac:dyDescent="0.25">
      <c r="A10">
        <v>0</v>
      </c>
    </row>
    <row r="11" spans="1:1" x14ac:dyDescent="0.25">
      <c r="A11">
        <v>6</v>
      </c>
    </row>
    <row r="12" spans="1:1" x14ac:dyDescent="0.25">
      <c r="A12">
        <v>6</v>
      </c>
    </row>
    <row r="13" spans="1:1" x14ac:dyDescent="0.25">
      <c r="A13">
        <v>6</v>
      </c>
    </row>
    <row r="14" spans="1:1" x14ac:dyDescent="0.25">
      <c r="A14">
        <v>5</v>
      </c>
    </row>
    <row r="15" spans="1:1" x14ac:dyDescent="0.25">
      <c r="A15">
        <v>6</v>
      </c>
    </row>
    <row r="16" spans="1:1" x14ac:dyDescent="0.25">
      <c r="A16">
        <v>6</v>
      </c>
    </row>
    <row r="17" spans="1:2" x14ac:dyDescent="0.25">
      <c r="A17">
        <v>5</v>
      </c>
    </row>
    <row r="18" spans="1:2" x14ac:dyDescent="0.25">
      <c r="A18">
        <v>6</v>
      </c>
    </row>
    <row r="19" spans="1:2" x14ac:dyDescent="0.25">
      <c r="A19">
        <v>6</v>
      </c>
    </row>
    <row r="20" spans="1:2" x14ac:dyDescent="0.25">
      <c r="A20">
        <v>0</v>
      </c>
    </row>
    <row r="21" spans="1:2" x14ac:dyDescent="0.25">
      <c r="A21">
        <v>320</v>
      </c>
    </row>
    <row r="22" spans="1:2" x14ac:dyDescent="0.25">
      <c r="A22">
        <v>345</v>
      </c>
    </row>
    <row r="23" spans="1:2" x14ac:dyDescent="0.25">
      <c r="A23">
        <v>380</v>
      </c>
    </row>
    <row r="24" spans="1:2" x14ac:dyDescent="0.25">
      <c r="A24">
        <v>500</v>
      </c>
    </row>
    <row r="25" spans="1:2" x14ac:dyDescent="0.25">
      <c r="A25">
        <v>500</v>
      </c>
    </row>
    <row r="26" spans="1:2" x14ac:dyDescent="0.25">
      <c r="A26">
        <v>600</v>
      </c>
    </row>
    <row r="27" spans="1:2" x14ac:dyDescent="0.25">
      <c r="A27">
        <v>705</v>
      </c>
    </row>
    <row r="28" spans="1:2" x14ac:dyDescent="0.25">
      <c r="A28">
        <v>735</v>
      </c>
    </row>
    <row r="29" spans="1:2" x14ac:dyDescent="0.25">
      <c r="A29">
        <v>855</v>
      </c>
    </row>
    <row r="30" spans="1:2" x14ac:dyDescent="0.25">
      <c r="A30">
        <v>0</v>
      </c>
    </row>
    <row r="31" spans="1:2" x14ac:dyDescent="0.25">
      <c r="A31">
        <v>900</v>
      </c>
      <c r="B31" s="695" t="s">
        <v>27</v>
      </c>
    </row>
    <row r="32" spans="1:2" x14ac:dyDescent="0.25">
      <c r="A32">
        <v>110</v>
      </c>
      <c r="B32" s="695" t="s">
        <v>27</v>
      </c>
    </row>
    <row r="33" spans="1:2" x14ac:dyDescent="0.25">
      <c r="A33">
        <v>600</v>
      </c>
      <c r="B33" s="695" t="s">
        <v>27</v>
      </c>
    </row>
    <row r="34" spans="1:2" x14ac:dyDescent="0.25">
      <c r="A34">
        <v>600</v>
      </c>
      <c r="B34" s="695" t="s">
        <v>27</v>
      </c>
    </row>
    <row r="35" spans="1:2" x14ac:dyDescent="0.25">
      <c r="A35">
        <v>150</v>
      </c>
      <c r="B35" s="695" t="s">
        <v>27</v>
      </c>
    </row>
    <row r="36" spans="1:2" x14ac:dyDescent="0.25">
      <c r="A36">
        <v>300</v>
      </c>
      <c r="B36" s="695" t="s">
        <v>27</v>
      </c>
    </row>
    <row r="37" spans="1:2" x14ac:dyDescent="0.25">
      <c r="A37">
        <v>325</v>
      </c>
    </row>
    <row r="38" spans="1:2" x14ac:dyDescent="0.25">
      <c r="A38">
        <v>70</v>
      </c>
    </row>
    <row r="39" spans="1:2" x14ac:dyDescent="0.25">
      <c r="A39">
        <v>160</v>
      </c>
    </row>
    <row r="40" spans="1:2" x14ac:dyDescent="0.25">
      <c r="A40">
        <v>0</v>
      </c>
    </row>
    <row r="41" spans="1:2" x14ac:dyDescent="0.25">
      <c r="A41">
        <v>0</v>
      </c>
    </row>
    <row r="42" spans="1:2" x14ac:dyDescent="0.25">
      <c r="A42">
        <v>0</v>
      </c>
    </row>
    <row r="43" spans="1:2" x14ac:dyDescent="0.25">
      <c r="A43">
        <v>0</v>
      </c>
    </row>
    <row r="44" spans="1:2" x14ac:dyDescent="0.25">
      <c r="A44">
        <v>50</v>
      </c>
    </row>
    <row r="45" spans="1:2" x14ac:dyDescent="0.25">
      <c r="A45">
        <v>21</v>
      </c>
    </row>
    <row r="46" spans="1:2" x14ac:dyDescent="0.25">
      <c r="A46">
        <v>20</v>
      </c>
    </row>
    <row r="47" spans="1:2" x14ac:dyDescent="0.25">
      <c r="A47">
        <v>115</v>
      </c>
    </row>
    <row r="48" spans="1:2" x14ac:dyDescent="0.25">
      <c r="A48">
        <v>165</v>
      </c>
    </row>
    <row r="49" spans="1:1" x14ac:dyDescent="0.25">
      <c r="A49">
        <v>325</v>
      </c>
    </row>
    <row r="50" spans="1:1" x14ac:dyDescent="0.25">
      <c r="A50">
        <v>0</v>
      </c>
    </row>
    <row r="51" spans="1:1" x14ac:dyDescent="0.25">
      <c r="A51">
        <v>7</v>
      </c>
    </row>
    <row r="52" spans="1:1" x14ac:dyDescent="0.25">
      <c r="A52">
        <v>7</v>
      </c>
    </row>
    <row r="53" spans="1:1" x14ac:dyDescent="0.25">
      <c r="A53">
        <v>25</v>
      </c>
    </row>
    <row r="54" spans="1:1" x14ac:dyDescent="0.25">
      <c r="A54">
        <v>800</v>
      </c>
    </row>
    <row r="55" spans="1:1" x14ac:dyDescent="0.25">
      <c r="A55">
        <v>800</v>
      </c>
    </row>
    <row r="56" spans="1:1" x14ac:dyDescent="0.25">
      <c r="A56">
        <v>0</v>
      </c>
    </row>
    <row r="57" spans="1:1" x14ac:dyDescent="0.25">
      <c r="A57">
        <v>3</v>
      </c>
    </row>
    <row r="58" spans="1:1" x14ac:dyDescent="0.25">
      <c r="A58">
        <v>4</v>
      </c>
    </row>
    <row r="59" spans="1:1" x14ac:dyDescent="0.25">
      <c r="A59">
        <v>4</v>
      </c>
    </row>
    <row r="60" spans="1:1" x14ac:dyDescent="0.25">
      <c r="A60">
        <v>0</v>
      </c>
    </row>
    <row r="61" spans="1:1" x14ac:dyDescent="0.25">
      <c r="A61">
        <v>3</v>
      </c>
    </row>
    <row r="62" spans="1:1" x14ac:dyDescent="0.25">
      <c r="A62">
        <v>10</v>
      </c>
    </row>
    <row r="63" spans="1:1" x14ac:dyDescent="0.25">
      <c r="A63">
        <v>7</v>
      </c>
    </row>
    <row r="64" spans="1:1" x14ac:dyDescent="0.25">
      <c r="A64">
        <v>2</v>
      </c>
    </row>
    <row r="65" spans="1:1" x14ac:dyDescent="0.25">
      <c r="A65">
        <v>9</v>
      </c>
    </row>
    <row r="66" spans="1:1" x14ac:dyDescent="0.25">
      <c r="A66">
        <v>7</v>
      </c>
    </row>
    <row r="67" spans="1:1" x14ac:dyDescent="0.25">
      <c r="A67">
        <v>0</v>
      </c>
    </row>
    <row r="68" spans="1:1" x14ac:dyDescent="0.25">
      <c r="A68">
        <v>10</v>
      </c>
    </row>
    <row r="69" spans="1:1" x14ac:dyDescent="0.25">
      <c r="A69">
        <v>7</v>
      </c>
    </row>
    <row r="70" spans="1:1" x14ac:dyDescent="0.25">
      <c r="A70">
        <v>0</v>
      </c>
    </row>
    <row r="71" spans="1:1" x14ac:dyDescent="0.25">
      <c r="A71">
        <v>0</v>
      </c>
    </row>
    <row r="72" spans="1:1" x14ac:dyDescent="0.25">
      <c r="A72">
        <v>200</v>
      </c>
    </row>
    <row r="73" spans="1:1" x14ac:dyDescent="0.25">
      <c r="A73">
        <v>0</v>
      </c>
    </row>
    <row r="74" spans="1:1" x14ac:dyDescent="0.25">
      <c r="A74">
        <v>0</v>
      </c>
    </row>
    <row r="75" spans="1:1" x14ac:dyDescent="0.25">
      <c r="A75">
        <v>25</v>
      </c>
    </row>
    <row r="76" spans="1:1" x14ac:dyDescent="0.25">
      <c r="A76">
        <v>2</v>
      </c>
    </row>
    <row r="77" spans="1:1" x14ac:dyDescent="0.25">
      <c r="A77">
        <v>6</v>
      </c>
    </row>
    <row r="78" spans="1:1" x14ac:dyDescent="0.25">
      <c r="A78">
        <v>15</v>
      </c>
    </row>
    <row r="79" spans="1:1" x14ac:dyDescent="0.25">
      <c r="A79">
        <v>0</v>
      </c>
    </row>
    <row r="80" spans="1:1" x14ac:dyDescent="0.25">
      <c r="A80">
        <v>0</v>
      </c>
    </row>
    <row r="81" spans="1:1" x14ac:dyDescent="0.25">
      <c r="A81">
        <v>5</v>
      </c>
    </row>
    <row r="82" spans="1:1" x14ac:dyDescent="0.25">
      <c r="A82">
        <v>9</v>
      </c>
    </row>
    <row r="83" spans="1:1" x14ac:dyDescent="0.25">
      <c r="A83">
        <v>1260</v>
      </c>
    </row>
    <row r="84" spans="1:1" x14ac:dyDescent="0.25">
      <c r="A84">
        <v>0</v>
      </c>
    </row>
    <row r="85" spans="1:1" x14ac:dyDescent="0.25">
      <c r="A85">
        <v>90</v>
      </c>
    </row>
    <row r="86" spans="1:1" x14ac:dyDescent="0.25">
      <c r="A86">
        <v>8</v>
      </c>
    </row>
    <row r="87" spans="1:1" x14ac:dyDescent="0.25">
      <c r="A87">
        <v>0</v>
      </c>
    </row>
    <row r="88" spans="1:1" x14ac:dyDescent="0.25">
      <c r="A88">
        <v>0</v>
      </c>
    </row>
    <row r="89" spans="1:1" x14ac:dyDescent="0.25">
      <c r="A89">
        <v>0</v>
      </c>
    </row>
    <row r="90" spans="1:1" x14ac:dyDescent="0.25">
      <c r="A90">
        <v>0</v>
      </c>
    </row>
    <row r="91" spans="1:1" x14ac:dyDescent="0.25">
      <c r="A91">
        <v>0</v>
      </c>
    </row>
    <row r="92" spans="1:1" x14ac:dyDescent="0.25">
      <c r="A92">
        <v>0</v>
      </c>
    </row>
    <row r="93" spans="1:1" x14ac:dyDescent="0.25">
      <c r="A93">
        <v>0</v>
      </c>
    </row>
    <row r="94" spans="1:1" x14ac:dyDescent="0.25">
      <c r="A94">
        <v>-500</v>
      </c>
    </row>
    <row r="95" spans="1:1" x14ac:dyDescent="0.25">
      <c r="A95">
        <v>0</v>
      </c>
    </row>
    <row r="96" spans="1:1" x14ac:dyDescent="0.25">
      <c r="A96">
        <v>0</v>
      </c>
    </row>
    <row r="97" spans="1:1" x14ac:dyDescent="0.25">
      <c r="A97">
        <v>1</v>
      </c>
    </row>
    <row r="98" spans="1:1" x14ac:dyDescent="0.25">
      <c r="A98">
        <v>1</v>
      </c>
    </row>
    <row r="99" spans="1:1" x14ac:dyDescent="0.25">
      <c r="A99">
        <v>1</v>
      </c>
    </row>
    <row r="100" spans="1:1" x14ac:dyDescent="0.25">
      <c r="A100">
        <v>999</v>
      </c>
    </row>
    <row r="101" spans="1:1" x14ac:dyDescent="0.25">
      <c r="A101">
        <v>999</v>
      </c>
    </row>
    <row r="102" spans="1:1" x14ac:dyDescent="0.25">
      <c r="A102">
        <v>89</v>
      </c>
    </row>
    <row r="103" spans="1:1" x14ac:dyDescent="0.25">
      <c r="A103">
        <v>112</v>
      </c>
    </row>
    <row r="104" spans="1:1" x14ac:dyDescent="0.25">
      <c r="A104">
        <v>95</v>
      </c>
    </row>
    <row r="105" spans="1:1" x14ac:dyDescent="0.25">
      <c r="A105" t="s">
        <v>711</v>
      </c>
    </row>
    <row r="106" spans="1:1" x14ac:dyDescent="0.25">
      <c r="A106" t="s">
        <v>609</v>
      </c>
    </row>
    <row r="107" spans="1:1" x14ac:dyDescent="0.25">
      <c r="A107" t="s">
        <v>643</v>
      </c>
    </row>
    <row r="108" spans="1:1" x14ac:dyDescent="0.25">
      <c r="A108">
        <v>1551</v>
      </c>
    </row>
    <row r="109" spans="1:1" x14ac:dyDescent="0.25">
      <c r="A109">
        <v>1002</v>
      </c>
    </row>
    <row r="110" spans="1:1" x14ac:dyDescent="0.25">
      <c r="A110">
        <v>555</v>
      </c>
    </row>
    <row r="111" spans="1:1" x14ac:dyDescent="0.25">
      <c r="A111">
        <v>1655</v>
      </c>
    </row>
    <row r="112" spans="1:1" x14ac:dyDescent="0.25">
      <c r="A112">
        <v>1081</v>
      </c>
    </row>
    <row r="113" spans="1:2" x14ac:dyDescent="0.25">
      <c r="A113">
        <v>572</v>
      </c>
    </row>
    <row r="114" spans="1:2" x14ac:dyDescent="0.25">
      <c r="A114">
        <v>45</v>
      </c>
    </row>
    <row r="115" spans="1:2" x14ac:dyDescent="0.25">
      <c r="A115">
        <v>31</v>
      </c>
    </row>
    <row r="116" spans="1:2" x14ac:dyDescent="0.25">
      <c r="A116">
        <v>17</v>
      </c>
    </row>
    <row r="117" spans="1:2" x14ac:dyDescent="0.25">
      <c r="A117">
        <v>59</v>
      </c>
      <c r="B117" s="695" t="s">
        <v>7</v>
      </c>
    </row>
    <row r="118" spans="1:2" x14ac:dyDescent="0.25">
      <c r="A118">
        <v>48</v>
      </c>
      <c r="B118" s="695" t="s">
        <v>7</v>
      </c>
    </row>
    <row r="119" spans="1:2" x14ac:dyDescent="0.25">
      <c r="A119">
        <v>0</v>
      </c>
    </row>
    <row r="120" spans="1:2" x14ac:dyDescent="0.25">
      <c r="A120">
        <v>999</v>
      </c>
    </row>
    <row r="121" spans="1:2" x14ac:dyDescent="0.25">
      <c r="A121">
        <v>867</v>
      </c>
    </row>
    <row r="122" spans="1:2" x14ac:dyDescent="0.25">
      <c r="A122">
        <v>105</v>
      </c>
    </row>
    <row r="123" spans="1:2" x14ac:dyDescent="0.25">
      <c r="A123">
        <v>579</v>
      </c>
    </row>
    <row r="124" spans="1:2" x14ac:dyDescent="0.25">
      <c r="A124">
        <v>572</v>
      </c>
    </row>
    <row r="125" spans="1:2" x14ac:dyDescent="0.25">
      <c r="A125">
        <v>143</v>
      </c>
    </row>
    <row r="126" spans="1:2" x14ac:dyDescent="0.25">
      <c r="A126">
        <v>287</v>
      </c>
    </row>
    <row r="127" spans="1:2" x14ac:dyDescent="0.25">
      <c r="A127">
        <v>325</v>
      </c>
    </row>
    <row r="128" spans="1:2" x14ac:dyDescent="0.25">
      <c r="A128">
        <v>70</v>
      </c>
    </row>
    <row r="129" spans="1:1" x14ac:dyDescent="0.25">
      <c r="A129">
        <v>160</v>
      </c>
    </row>
    <row r="130" spans="1:1" x14ac:dyDescent="0.25">
      <c r="A130">
        <v>999</v>
      </c>
    </row>
    <row r="131" spans="1:1" x14ac:dyDescent="0.25">
      <c r="A131">
        <v>1178</v>
      </c>
    </row>
    <row r="132" spans="1:1" x14ac:dyDescent="0.25">
      <c r="A132">
        <v>113</v>
      </c>
    </row>
    <row r="133" spans="1:1" x14ac:dyDescent="0.25">
      <c r="A133">
        <v>584</v>
      </c>
    </row>
    <row r="134" spans="1:1" x14ac:dyDescent="0.25">
      <c r="A134">
        <v>717</v>
      </c>
    </row>
    <row r="135" spans="1:1" x14ac:dyDescent="0.25">
      <c r="A135">
        <v>126</v>
      </c>
    </row>
    <row r="136" spans="1:1" x14ac:dyDescent="0.25">
      <c r="A136">
        <v>395</v>
      </c>
    </row>
    <row r="137" spans="1:1" x14ac:dyDescent="0.25">
      <c r="A137">
        <v>392</v>
      </c>
    </row>
    <row r="138" spans="1:1" x14ac:dyDescent="0.25">
      <c r="A138">
        <v>63</v>
      </c>
    </row>
    <row r="139" spans="1:1" x14ac:dyDescent="0.25">
      <c r="A139">
        <v>234</v>
      </c>
    </row>
    <row r="140" spans="1:1" x14ac:dyDescent="0.25">
      <c r="A140">
        <v>999</v>
      </c>
    </row>
    <row r="141" spans="1:1" x14ac:dyDescent="0.25">
      <c r="A141">
        <v>1016</v>
      </c>
    </row>
    <row r="142" spans="1:1" x14ac:dyDescent="0.25">
      <c r="A142">
        <v>113</v>
      </c>
    </row>
    <row r="143" spans="1:1" x14ac:dyDescent="0.25">
      <c r="A143">
        <v>579</v>
      </c>
    </row>
    <row r="144" spans="1:1" x14ac:dyDescent="0.25">
      <c r="A144">
        <v>572</v>
      </c>
    </row>
    <row r="145" spans="1:1" x14ac:dyDescent="0.25">
      <c r="A145">
        <v>126</v>
      </c>
    </row>
    <row r="146" spans="1:1" x14ac:dyDescent="0.25">
      <c r="A146">
        <v>287</v>
      </c>
    </row>
    <row r="147" spans="1:1" x14ac:dyDescent="0.25">
      <c r="A147">
        <v>325</v>
      </c>
    </row>
    <row r="148" spans="1:1" x14ac:dyDescent="0.25">
      <c r="A148">
        <v>63</v>
      </c>
    </row>
    <row r="149" spans="1:1" x14ac:dyDescent="0.25">
      <c r="A149">
        <v>160</v>
      </c>
    </row>
    <row r="150" spans="1:1" x14ac:dyDescent="0.25">
      <c r="A150">
        <v>999</v>
      </c>
    </row>
    <row r="151" spans="1:1" x14ac:dyDescent="0.25">
      <c r="A151">
        <v>81</v>
      </c>
    </row>
    <row r="152" spans="1:1" x14ac:dyDescent="0.25">
      <c r="A152">
        <v>0</v>
      </c>
    </row>
    <row r="153" spans="1:1" x14ac:dyDescent="0.25">
      <c r="A153">
        <v>0</v>
      </c>
    </row>
    <row r="154" spans="1:1" x14ac:dyDescent="0.25">
      <c r="A154">
        <v>86</v>
      </c>
    </row>
    <row r="155" spans="1:1" x14ac:dyDescent="0.25">
      <c r="A155">
        <v>0</v>
      </c>
    </row>
    <row r="156" spans="1:1" x14ac:dyDescent="0.25">
      <c r="A156">
        <v>0</v>
      </c>
    </row>
    <row r="157" spans="1:1" x14ac:dyDescent="0.25">
      <c r="A157">
        <v>52</v>
      </c>
    </row>
    <row r="158" spans="1:1" x14ac:dyDescent="0.25">
      <c r="A158">
        <v>0</v>
      </c>
    </row>
    <row r="159" spans="1:1" x14ac:dyDescent="0.25">
      <c r="A159">
        <v>0</v>
      </c>
    </row>
    <row r="160" spans="1:1" x14ac:dyDescent="0.25">
      <c r="A160">
        <v>999</v>
      </c>
    </row>
    <row r="161" spans="1:1" x14ac:dyDescent="0.25">
      <c r="A161">
        <v>0</v>
      </c>
    </row>
    <row r="162" spans="1:1" x14ac:dyDescent="0.25">
      <c r="A162">
        <v>43</v>
      </c>
    </row>
    <row r="163" spans="1:1" x14ac:dyDescent="0.25">
      <c r="A163">
        <v>0</v>
      </c>
    </row>
    <row r="164" spans="1:1" x14ac:dyDescent="0.25">
      <c r="A164">
        <v>0</v>
      </c>
    </row>
    <row r="165" spans="1:1" x14ac:dyDescent="0.25">
      <c r="A165">
        <v>45</v>
      </c>
    </row>
    <row r="166" spans="1:1" x14ac:dyDescent="0.25">
      <c r="A166">
        <v>0</v>
      </c>
    </row>
    <row r="167" spans="1:1" x14ac:dyDescent="0.25">
      <c r="A167">
        <v>0</v>
      </c>
    </row>
    <row r="168" spans="1:1" x14ac:dyDescent="0.25">
      <c r="A168">
        <v>17</v>
      </c>
    </row>
    <row r="169" spans="1:1" x14ac:dyDescent="0.25">
      <c r="A169">
        <v>0</v>
      </c>
    </row>
    <row r="170" spans="1:1" x14ac:dyDescent="0.25">
      <c r="A170">
        <v>999</v>
      </c>
    </row>
    <row r="171" spans="1:1" x14ac:dyDescent="0.25">
      <c r="A171">
        <v>43</v>
      </c>
    </row>
    <row r="172" spans="1:1" x14ac:dyDescent="0.25">
      <c r="A172">
        <v>29</v>
      </c>
    </row>
    <row r="173" spans="1:1" x14ac:dyDescent="0.25">
      <c r="A173">
        <v>16</v>
      </c>
    </row>
    <row r="174" spans="1:1" x14ac:dyDescent="0.25">
      <c r="A174">
        <v>999</v>
      </c>
    </row>
    <row r="175" spans="1:1" x14ac:dyDescent="0.25">
      <c r="A175">
        <v>999</v>
      </c>
    </row>
    <row r="176" spans="1:1" x14ac:dyDescent="0.25">
      <c r="A176">
        <v>999</v>
      </c>
    </row>
    <row r="177" spans="1:1" x14ac:dyDescent="0.25">
      <c r="A177" t="s">
        <v>11</v>
      </c>
    </row>
    <row r="178" spans="1:1" x14ac:dyDescent="0.25">
      <c r="A178" t="s">
        <v>11</v>
      </c>
    </row>
    <row r="179" spans="1:1" x14ac:dyDescent="0.25">
      <c r="A179" t="s">
        <v>11</v>
      </c>
    </row>
    <row r="180" spans="1:1" x14ac:dyDescent="0.25">
      <c r="A180">
        <v>999</v>
      </c>
    </row>
    <row r="181" spans="1:1" x14ac:dyDescent="0.25">
      <c r="A181">
        <v>500</v>
      </c>
    </row>
    <row r="182" spans="1:1" x14ac:dyDescent="0.25">
      <c r="A182">
        <v>500</v>
      </c>
    </row>
    <row r="183" spans="1:1" x14ac:dyDescent="0.25">
      <c r="A183">
        <v>0</v>
      </c>
    </row>
    <row r="184" spans="1:1" x14ac:dyDescent="0.25">
      <c r="A184">
        <v>0</v>
      </c>
    </row>
    <row r="185" spans="1:1" x14ac:dyDescent="0.25">
      <c r="A185">
        <v>0</v>
      </c>
    </row>
    <row r="186" spans="1:1" x14ac:dyDescent="0.25">
      <c r="A186">
        <v>0</v>
      </c>
    </row>
    <row r="187" spans="1:1" x14ac:dyDescent="0.25">
      <c r="A187">
        <v>800</v>
      </c>
    </row>
    <row r="188" spans="1:1" x14ac:dyDescent="0.25">
      <c r="A188">
        <v>800</v>
      </c>
    </row>
    <row r="189" spans="1:1" x14ac:dyDescent="0.25">
      <c r="A189">
        <v>0</v>
      </c>
    </row>
    <row r="190" spans="1:1" x14ac:dyDescent="0.25">
      <c r="A190">
        <v>999</v>
      </c>
    </row>
    <row r="191" spans="1:1" x14ac:dyDescent="0.25">
      <c r="A191">
        <v>21</v>
      </c>
    </row>
    <row r="192" spans="1:1" x14ac:dyDescent="0.25">
      <c r="A192">
        <v>28</v>
      </c>
    </row>
    <row r="193" spans="1:1" x14ac:dyDescent="0.25">
      <c r="A193">
        <v>5</v>
      </c>
    </row>
    <row r="194" spans="1:1" x14ac:dyDescent="0.25">
      <c r="A194">
        <v>12</v>
      </c>
    </row>
    <row r="195" spans="1:1" x14ac:dyDescent="0.25">
      <c r="A195">
        <v>0</v>
      </c>
    </row>
    <row r="196" spans="1:1" x14ac:dyDescent="0.25">
      <c r="A196">
        <v>0</v>
      </c>
    </row>
    <row r="197" spans="1:1" x14ac:dyDescent="0.25">
      <c r="A197">
        <v>33</v>
      </c>
    </row>
    <row r="198" spans="1:1" x14ac:dyDescent="0.25">
      <c r="A198">
        <v>35</v>
      </c>
    </row>
    <row r="199" spans="1:1" x14ac:dyDescent="0.25">
      <c r="A199">
        <v>999</v>
      </c>
    </row>
    <row r="200" spans="1:1" x14ac:dyDescent="0.25">
      <c r="A200">
        <v>999</v>
      </c>
    </row>
    <row r="201" spans="1:1" x14ac:dyDescent="0.25">
      <c r="A201">
        <v>107000</v>
      </c>
    </row>
    <row r="202" spans="1:1" x14ac:dyDescent="0.25">
      <c r="A202">
        <v>47031</v>
      </c>
    </row>
    <row r="203" spans="1:1" x14ac:dyDescent="0.25">
      <c r="A203">
        <v>20870</v>
      </c>
    </row>
    <row r="204" spans="1:1" x14ac:dyDescent="0.25">
      <c r="A204">
        <v>127706</v>
      </c>
    </row>
    <row r="205" spans="1:1" x14ac:dyDescent="0.25">
      <c r="A205">
        <v>18191</v>
      </c>
    </row>
    <row r="206" spans="1:1" x14ac:dyDescent="0.25">
      <c r="A206">
        <v>10930</v>
      </c>
    </row>
    <row r="207" spans="1:1" x14ac:dyDescent="0.25">
      <c r="A207">
        <v>91000</v>
      </c>
    </row>
    <row r="208" spans="1:1" x14ac:dyDescent="0.25">
      <c r="A208">
        <v>15000</v>
      </c>
    </row>
    <row r="209" spans="1:1" x14ac:dyDescent="0.25">
      <c r="A209">
        <v>106500</v>
      </c>
    </row>
    <row r="210" spans="1:1" x14ac:dyDescent="0.25">
      <c r="A210">
        <v>10625</v>
      </c>
    </row>
    <row r="211" spans="1:1" x14ac:dyDescent="0.25">
      <c r="A211">
        <v>8077</v>
      </c>
    </row>
    <row r="212" spans="1:1" x14ac:dyDescent="0.25">
      <c r="A212">
        <v>12500</v>
      </c>
    </row>
    <row r="213" spans="1:1" x14ac:dyDescent="0.25">
      <c r="A213">
        <v>3241</v>
      </c>
    </row>
    <row r="214" spans="1:1" x14ac:dyDescent="0.25">
      <c r="A214">
        <v>11814</v>
      </c>
    </row>
    <row r="215" spans="1:1" x14ac:dyDescent="0.25">
      <c r="A215">
        <v>90000</v>
      </c>
    </row>
    <row r="216" spans="1:1" x14ac:dyDescent="0.25">
      <c r="A216">
        <v>11883</v>
      </c>
    </row>
    <row r="217" spans="1:1" x14ac:dyDescent="0.25">
      <c r="A217">
        <v>692368</v>
      </c>
    </row>
    <row r="218" spans="1:1" x14ac:dyDescent="0.25">
      <c r="A218">
        <v>1567504</v>
      </c>
    </row>
    <row r="219" spans="1:1" x14ac:dyDescent="0.25">
      <c r="A219">
        <v>42880</v>
      </c>
    </row>
    <row r="220" spans="1:1" x14ac:dyDescent="0.25">
      <c r="A220">
        <v>1969</v>
      </c>
    </row>
    <row r="221" spans="1:1" x14ac:dyDescent="0.25">
      <c r="A221">
        <v>1567504</v>
      </c>
    </row>
    <row r="222" spans="1:1" x14ac:dyDescent="0.25">
      <c r="A222">
        <v>40911</v>
      </c>
    </row>
    <row r="223" spans="1:1" x14ac:dyDescent="0.25">
      <c r="A223">
        <v>1831575</v>
      </c>
    </row>
    <row r="224" spans="1:1" x14ac:dyDescent="0.25">
      <c r="A224">
        <v>0</v>
      </c>
    </row>
    <row r="225" spans="1:1" x14ac:dyDescent="0.25">
      <c r="A225">
        <v>812</v>
      </c>
    </row>
    <row r="226" spans="1:1" x14ac:dyDescent="0.25">
      <c r="A226">
        <v>0</v>
      </c>
    </row>
    <row r="227" spans="1:1" x14ac:dyDescent="0.25">
      <c r="A227">
        <v>100000</v>
      </c>
    </row>
    <row r="228" spans="1:1" x14ac:dyDescent="0.25">
      <c r="A228">
        <v>0</v>
      </c>
    </row>
    <row r="229" spans="1:1" x14ac:dyDescent="0.25">
      <c r="A229">
        <v>0</v>
      </c>
    </row>
    <row r="230" spans="1:1" x14ac:dyDescent="0.25">
      <c r="A230">
        <v>0</v>
      </c>
    </row>
    <row r="231" spans="1:1" x14ac:dyDescent="0.25">
      <c r="A231">
        <v>0</v>
      </c>
    </row>
    <row r="232" spans="1:1" x14ac:dyDescent="0.25">
      <c r="A232">
        <v>0</v>
      </c>
    </row>
    <row r="233" spans="1:1" x14ac:dyDescent="0.25">
      <c r="A233">
        <v>-322348</v>
      </c>
    </row>
    <row r="234" spans="1:1" x14ac:dyDescent="0.25">
      <c r="A234">
        <v>1513443</v>
      </c>
    </row>
    <row r="235" spans="1:1" x14ac:dyDescent="0.25">
      <c r="A235">
        <v>999</v>
      </c>
    </row>
    <row r="236" spans="1:1" x14ac:dyDescent="0.25">
      <c r="A236">
        <v>999</v>
      </c>
    </row>
    <row r="237" spans="1:1" x14ac:dyDescent="0.25">
      <c r="A237">
        <v>999</v>
      </c>
    </row>
    <row r="238" spans="1:1" x14ac:dyDescent="0.25">
      <c r="A238">
        <v>584000</v>
      </c>
    </row>
    <row r="239" spans="1:1" x14ac:dyDescent="0.25">
      <c r="A239">
        <v>1307000</v>
      </c>
    </row>
    <row r="240" spans="1:1" x14ac:dyDescent="0.25">
      <c r="A240">
        <v>-154561</v>
      </c>
    </row>
    <row r="241" spans="1:1" x14ac:dyDescent="0.25">
      <c r="A241">
        <v>1523875</v>
      </c>
    </row>
    <row r="242" spans="1:1" x14ac:dyDescent="0.25">
      <c r="A242">
        <v>307487</v>
      </c>
    </row>
    <row r="243" spans="1:1" x14ac:dyDescent="0.25">
      <c r="A243">
        <v>271200</v>
      </c>
    </row>
    <row r="244" spans="1:1" x14ac:dyDescent="0.25">
      <c r="A244">
        <v>743953</v>
      </c>
    </row>
    <row r="245" spans="1:1" x14ac:dyDescent="0.25">
      <c r="A245">
        <v>71747</v>
      </c>
    </row>
    <row r="246" spans="1:1" x14ac:dyDescent="0.25">
      <c r="A246">
        <v>157247</v>
      </c>
    </row>
    <row r="247" spans="1:1" x14ac:dyDescent="0.25">
      <c r="A247">
        <v>123738</v>
      </c>
    </row>
    <row r="248" spans="1:1" x14ac:dyDescent="0.25">
      <c r="A248">
        <v>3308</v>
      </c>
    </row>
    <row r="249" spans="1:1" x14ac:dyDescent="0.25">
      <c r="A249">
        <v>39400</v>
      </c>
    </row>
    <row r="250" spans="1:1" x14ac:dyDescent="0.25">
      <c r="A250">
        <v>796747</v>
      </c>
    </row>
    <row r="251" spans="1:1" x14ac:dyDescent="0.25">
      <c r="A251">
        <v>921333</v>
      </c>
    </row>
    <row r="252" spans="1:1" x14ac:dyDescent="0.25">
      <c r="A252">
        <v>602542</v>
      </c>
    </row>
    <row r="253" spans="1:1" x14ac:dyDescent="0.25">
      <c r="A253">
        <v>0</v>
      </c>
    </row>
    <row r="254" spans="1:1" x14ac:dyDescent="0.25">
      <c r="A254">
        <v>33414</v>
      </c>
    </row>
    <row r="255" spans="1:1" x14ac:dyDescent="0.25">
      <c r="A255">
        <v>0</v>
      </c>
    </row>
    <row r="256" spans="1:1" x14ac:dyDescent="0.25">
      <c r="A256">
        <v>-81517</v>
      </c>
    </row>
    <row r="257" spans="1:1" x14ac:dyDescent="0.25">
      <c r="A257">
        <v>-236078</v>
      </c>
    </row>
    <row r="258" spans="1:1" x14ac:dyDescent="0.25">
      <c r="A258">
        <v>999</v>
      </c>
    </row>
    <row r="259" spans="1:1" x14ac:dyDescent="0.25">
      <c r="A259">
        <v>999</v>
      </c>
    </row>
    <row r="260" spans="1:1" x14ac:dyDescent="0.25">
      <c r="A260">
        <v>-154561</v>
      </c>
    </row>
    <row r="261" spans="1:1" x14ac:dyDescent="0.25">
      <c r="A261">
        <v>50000</v>
      </c>
    </row>
    <row r="262" spans="1:1" x14ac:dyDescent="0.25">
      <c r="A262">
        <v>375000</v>
      </c>
    </row>
    <row r="263" spans="1:1" x14ac:dyDescent="0.25">
      <c r="A263">
        <v>1303186</v>
      </c>
    </row>
    <row r="264" spans="1:1" x14ac:dyDescent="0.25">
      <c r="A264">
        <v>0</v>
      </c>
    </row>
    <row r="265" spans="1:1" x14ac:dyDescent="0.25">
      <c r="A265">
        <v>22833</v>
      </c>
    </row>
    <row r="266" spans="1:1" x14ac:dyDescent="0.25">
      <c r="A266">
        <v>271200</v>
      </c>
    </row>
    <row r="267" spans="1:1" x14ac:dyDescent="0.25">
      <c r="A267">
        <v>502714</v>
      </c>
    </row>
    <row r="268" spans="1:1" x14ac:dyDescent="0.25">
      <c r="A268">
        <v>751502</v>
      </c>
    </row>
    <row r="269" spans="1:1" x14ac:dyDescent="0.25">
      <c r="A269">
        <v>1191095</v>
      </c>
    </row>
    <row r="270" spans="1:1" x14ac:dyDescent="0.25">
      <c r="A270">
        <v>650000</v>
      </c>
    </row>
    <row r="271" spans="1:1" x14ac:dyDescent="0.25">
      <c r="A271">
        <v>0</v>
      </c>
    </row>
    <row r="272" spans="1:1" x14ac:dyDescent="0.25">
      <c r="A272">
        <v>703608</v>
      </c>
    </row>
    <row r="273" spans="1:1" x14ac:dyDescent="0.25">
      <c r="A273">
        <v>0</v>
      </c>
    </row>
    <row r="274" spans="1:1" x14ac:dyDescent="0.25">
      <c r="A274">
        <v>0</v>
      </c>
    </row>
    <row r="275" spans="1:1" x14ac:dyDescent="0.25">
      <c r="A275">
        <v>4000000</v>
      </c>
    </row>
    <row r="276" spans="1:1" x14ac:dyDescent="0.25">
      <c r="A276">
        <v>0</v>
      </c>
    </row>
    <row r="277" spans="1:1" x14ac:dyDescent="0.25">
      <c r="A277">
        <v>3763922</v>
      </c>
    </row>
    <row r="278" spans="1:1" x14ac:dyDescent="0.25">
      <c r="A278">
        <v>999</v>
      </c>
    </row>
    <row r="279" spans="1:1" x14ac:dyDescent="0.25">
      <c r="A279">
        <v>999</v>
      </c>
    </row>
    <row r="280" spans="1:1" x14ac:dyDescent="0.25">
      <c r="A280">
        <v>999</v>
      </c>
    </row>
    <row r="281" spans="1:1" x14ac:dyDescent="0.25">
      <c r="A281">
        <v>1000</v>
      </c>
    </row>
    <row r="282" spans="1:1" x14ac:dyDescent="0.25">
      <c r="A282">
        <v>999</v>
      </c>
    </row>
    <row r="283" spans="1:1" x14ac:dyDescent="0.25">
      <c r="A283">
        <v>999</v>
      </c>
    </row>
    <row r="284" spans="1:1" x14ac:dyDescent="0.25">
      <c r="A284">
        <v>750</v>
      </c>
    </row>
    <row r="285" spans="1:1" x14ac:dyDescent="0.25">
      <c r="A285">
        <v>125</v>
      </c>
    </row>
    <row r="286" spans="1:1" x14ac:dyDescent="0.25">
      <c r="A286">
        <v>330</v>
      </c>
    </row>
    <row r="287" spans="1:1" x14ac:dyDescent="0.25">
      <c r="A287">
        <v>106</v>
      </c>
    </row>
    <row r="288" spans="1:1" x14ac:dyDescent="0.25">
      <c r="A288">
        <v>999</v>
      </c>
    </row>
    <row r="289" spans="1:1" x14ac:dyDescent="0.25">
      <c r="A289">
        <v>999</v>
      </c>
    </row>
    <row r="290" spans="1:1" x14ac:dyDescent="0.25">
      <c r="A290">
        <v>999</v>
      </c>
    </row>
    <row r="291" spans="1:1" x14ac:dyDescent="0.25">
      <c r="A291">
        <v>0</v>
      </c>
    </row>
    <row r="292" spans="1:1" x14ac:dyDescent="0.25">
      <c r="A292">
        <v>5</v>
      </c>
    </row>
    <row r="293" spans="1:1" x14ac:dyDescent="0.25">
      <c r="A293">
        <v>0</v>
      </c>
    </row>
    <row r="294" spans="1:1" x14ac:dyDescent="0.25">
      <c r="A294">
        <v>5</v>
      </c>
    </row>
    <row r="295" spans="1:1" x14ac:dyDescent="0.25">
      <c r="A295">
        <v>1381</v>
      </c>
    </row>
    <row r="296" spans="1:1" x14ac:dyDescent="0.25">
      <c r="A296">
        <v>7</v>
      </c>
    </row>
    <row r="297" spans="1:1" x14ac:dyDescent="0.25">
      <c r="A297">
        <v>500</v>
      </c>
    </row>
    <row r="298" spans="1:1" x14ac:dyDescent="0.25">
      <c r="A298">
        <v>2</v>
      </c>
    </row>
    <row r="299" spans="1:1" x14ac:dyDescent="0.25">
      <c r="A299">
        <v>300</v>
      </c>
    </row>
    <row r="300" spans="1:1" x14ac:dyDescent="0.25">
      <c r="A300">
        <v>4</v>
      </c>
    </row>
    <row r="301" spans="1:1" x14ac:dyDescent="0.25">
      <c r="A301">
        <v>5340</v>
      </c>
    </row>
    <row r="302" spans="1:1" x14ac:dyDescent="0.25">
      <c r="A302">
        <v>52</v>
      </c>
    </row>
    <row r="303" spans="1:1" x14ac:dyDescent="0.25">
      <c r="A303">
        <v>3254</v>
      </c>
    </row>
    <row r="304" spans="1:1" x14ac:dyDescent="0.25">
      <c r="A304">
        <v>93</v>
      </c>
    </row>
    <row r="305" spans="1:1" x14ac:dyDescent="0.25">
      <c r="A305">
        <v>11088</v>
      </c>
    </row>
    <row r="306" spans="1:1" x14ac:dyDescent="0.25">
      <c r="A306">
        <v>176</v>
      </c>
    </row>
    <row r="307" spans="1:1" x14ac:dyDescent="0.25">
      <c r="A307">
        <v>9242</v>
      </c>
    </row>
    <row r="308" spans="1:1" x14ac:dyDescent="0.25">
      <c r="A308">
        <v>0</v>
      </c>
    </row>
    <row r="309" spans="1:1" x14ac:dyDescent="0.25">
      <c r="A309">
        <v>999</v>
      </c>
    </row>
    <row r="310" spans="1:1" x14ac:dyDescent="0.25">
      <c r="A310">
        <v>999</v>
      </c>
    </row>
    <row r="311" spans="1:1" x14ac:dyDescent="0.25">
      <c r="A311">
        <v>1983</v>
      </c>
    </row>
    <row r="312" spans="1:1" x14ac:dyDescent="0.25">
      <c r="A312">
        <v>590</v>
      </c>
    </row>
    <row r="313" spans="1:1" x14ac:dyDescent="0.25">
      <c r="A313">
        <v>0</v>
      </c>
    </row>
    <row r="314" spans="1:1" x14ac:dyDescent="0.25">
      <c r="A314">
        <v>0</v>
      </c>
    </row>
    <row r="315" spans="1:1" x14ac:dyDescent="0.25">
      <c r="A315">
        <v>4033</v>
      </c>
    </row>
    <row r="316" spans="1:1" x14ac:dyDescent="0.25">
      <c r="A316">
        <v>1540</v>
      </c>
    </row>
    <row r="317" spans="1:1" x14ac:dyDescent="0.25">
      <c r="A317">
        <v>0</v>
      </c>
    </row>
    <row r="318" spans="1:1" x14ac:dyDescent="0.25">
      <c r="A318">
        <v>6</v>
      </c>
    </row>
    <row r="319" spans="1:1" x14ac:dyDescent="0.25">
      <c r="A319">
        <v>18283</v>
      </c>
    </row>
    <row r="320" spans="1:1" x14ac:dyDescent="0.25">
      <c r="A320">
        <v>997</v>
      </c>
    </row>
    <row r="321" spans="1:1" x14ac:dyDescent="0.25">
      <c r="A321">
        <v>3</v>
      </c>
    </row>
    <row r="322" spans="1:1" x14ac:dyDescent="0.25">
      <c r="A322">
        <v>1</v>
      </c>
    </row>
    <row r="323" spans="1:1" x14ac:dyDescent="0.25">
      <c r="A323">
        <v>0</v>
      </c>
    </row>
    <row r="324" spans="1:1" x14ac:dyDescent="0.25">
      <c r="A324">
        <v>0</v>
      </c>
    </row>
    <row r="325" spans="1:1" x14ac:dyDescent="0.25">
      <c r="A325">
        <v>3</v>
      </c>
    </row>
    <row r="326" spans="1:1" x14ac:dyDescent="0.25">
      <c r="A326">
        <v>2</v>
      </c>
    </row>
    <row r="327" spans="1:1" x14ac:dyDescent="0.25">
      <c r="A327">
        <v>5</v>
      </c>
    </row>
    <row r="328" spans="1:1" x14ac:dyDescent="0.25">
      <c r="A328">
        <v>6</v>
      </c>
    </row>
    <row r="329" spans="1:1" x14ac:dyDescent="0.25">
      <c r="A329">
        <v>79</v>
      </c>
    </row>
    <row r="330" spans="1:1" x14ac:dyDescent="0.25">
      <c r="A330" s="695" t="s">
        <v>0</v>
      </c>
    </row>
    <row r="331" spans="1:1" x14ac:dyDescent="0.25">
      <c r="A331">
        <v>1</v>
      </c>
    </row>
    <row r="332" spans="1:1" x14ac:dyDescent="0.25">
      <c r="A332" t="s">
        <v>647</v>
      </c>
    </row>
    <row r="333" spans="1:1" x14ac:dyDescent="0.25">
      <c r="A333" t="s">
        <v>629</v>
      </c>
    </row>
    <row r="334" spans="1:1" x14ac:dyDescent="0.25">
      <c r="A334" t="s">
        <v>617</v>
      </c>
    </row>
    <row r="335" spans="1:1" x14ac:dyDescent="0.25">
      <c r="A335" t="s">
        <v>635</v>
      </c>
    </row>
    <row r="336" spans="1:1" x14ac:dyDescent="0.25">
      <c r="A336" t="s">
        <v>644</v>
      </c>
    </row>
    <row r="337" spans="1:1" x14ac:dyDescent="0.25">
      <c r="A337" t="s">
        <v>623</v>
      </c>
    </row>
    <row r="338" spans="1:1" x14ac:dyDescent="0.25">
      <c r="A338" t="s">
        <v>652</v>
      </c>
    </row>
    <row r="339" spans="1:1" x14ac:dyDescent="0.25">
      <c r="A339" t="s">
        <v>617</v>
      </c>
    </row>
    <row r="340" spans="1:1" x14ac:dyDescent="0.25">
      <c r="A340" t="s">
        <v>622</v>
      </c>
    </row>
    <row r="341" spans="1:1" x14ac:dyDescent="0.25">
      <c r="A341">
        <v>2</v>
      </c>
    </row>
    <row r="342" spans="1:1" x14ac:dyDescent="0.25">
      <c r="A342" t="s">
        <v>622</v>
      </c>
    </row>
    <row r="343" spans="1:1" x14ac:dyDescent="0.25">
      <c r="A343" t="s">
        <v>712</v>
      </c>
    </row>
    <row r="344" spans="1:1" x14ac:dyDescent="0.25">
      <c r="A344" t="s">
        <v>666</v>
      </c>
    </row>
    <row r="345" spans="1:1" x14ac:dyDescent="0.25">
      <c r="A345" t="s">
        <v>661</v>
      </c>
    </row>
    <row r="346" spans="1:1" x14ac:dyDescent="0.25">
      <c r="A346" t="s">
        <v>625</v>
      </c>
    </row>
    <row r="347" spans="1:1" x14ac:dyDescent="0.25">
      <c r="A347" t="s">
        <v>613</v>
      </c>
    </row>
    <row r="348" spans="1:1" x14ac:dyDescent="0.25">
      <c r="A348" t="s">
        <v>652</v>
      </c>
    </row>
    <row r="349" spans="1:1" x14ac:dyDescent="0.25">
      <c r="A349" t="s">
        <v>638</v>
      </c>
    </row>
    <row r="350" spans="1:1" x14ac:dyDescent="0.25">
      <c r="A350" t="s">
        <v>641</v>
      </c>
    </row>
    <row r="351" spans="1:1" x14ac:dyDescent="0.25">
      <c r="A351">
        <v>3</v>
      </c>
    </row>
    <row r="352" spans="1:1" x14ac:dyDescent="0.25">
      <c r="A352" t="s">
        <v>649</v>
      </c>
    </row>
    <row r="353" spans="1:1" x14ac:dyDescent="0.25">
      <c r="A353" t="s">
        <v>614</v>
      </c>
    </row>
    <row r="354" spans="1:1" x14ac:dyDescent="0.25">
      <c r="A354" t="s">
        <v>647</v>
      </c>
    </row>
    <row r="355" spans="1:1" x14ac:dyDescent="0.25">
      <c r="A355" t="s">
        <v>669</v>
      </c>
    </row>
    <row r="356" spans="1:1" x14ac:dyDescent="0.25">
      <c r="A356" t="s">
        <v>623</v>
      </c>
    </row>
    <row r="357" spans="1:1" x14ac:dyDescent="0.25">
      <c r="A357" t="s">
        <v>639</v>
      </c>
    </row>
    <row r="358" spans="1:1" x14ac:dyDescent="0.25">
      <c r="A358" t="s">
        <v>671</v>
      </c>
    </row>
    <row r="359" spans="1:1" x14ac:dyDescent="0.25">
      <c r="A359" t="s">
        <v>635</v>
      </c>
    </row>
    <row r="360" spans="1:1" x14ac:dyDescent="0.25">
      <c r="A360" t="s">
        <v>646</v>
      </c>
    </row>
    <row r="361" spans="1:1" x14ac:dyDescent="0.25">
      <c r="A361">
        <v>4</v>
      </c>
    </row>
    <row r="362" spans="1:1" x14ac:dyDescent="0.25">
      <c r="A362" t="s">
        <v>622</v>
      </c>
    </row>
    <row r="363" spans="1:1" x14ac:dyDescent="0.25">
      <c r="A363" t="s">
        <v>636</v>
      </c>
    </row>
    <row r="364" spans="1:1" x14ac:dyDescent="0.25">
      <c r="A364" t="s">
        <v>639</v>
      </c>
    </row>
    <row r="365" spans="1:1" x14ac:dyDescent="0.25">
      <c r="A365" t="s">
        <v>630</v>
      </c>
    </row>
    <row r="366" spans="1:1" x14ac:dyDescent="0.25">
      <c r="A366" t="s">
        <v>619</v>
      </c>
    </row>
    <row r="367" spans="1:1" x14ac:dyDescent="0.25">
      <c r="A367" t="s">
        <v>615</v>
      </c>
    </row>
    <row r="368" spans="1:1" x14ac:dyDescent="0.25">
      <c r="A368" t="s">
        <v>640</v>
      </c>
    </row>
    <row r="369" spans="1:1" x14ac:dyDescent="0.25">
      <c r="A369" t="s">
        <v>621</v>
      </c>
    </row>
    <row r="370" spans="1:1" x14ac:dyDescent="0.25">
      <c r="A370" t="s">
        <v>633</v>
      </c>
    </row>
    <row r="371" spans="1:1" x14ac:dyDescent="0.25">
      <c r="A371">
        <v>5</v>
      </c>
    </row>
    <row r="372" spans="1:1" x14ac:dyDescent="0.25">
      <c r="A372" t="s">
        <v>626</v>
      </c>
    </row>
    <row r="373" spans="1:1" x14ac:dyDescent="0.25">
      <c r="A373" t="s">
        <v>636</v>
      </c>
    </row>
    <row r="374" spans="1:1" x14ac:dyDescent="0.25">
      <c r="A374" t="s">
        <v>635</v>
      </c>
    </row>
    <row r="375" spans="1:1" x14ac:dyDescent="0.25">
      <c r="A375" t="s">
        <v>631</v>
      </c>
    </row>
    <row r="376" spans="1:1" x14ac:dyDescent="0.25">
      <c r="A376" t="s">
        <v>632</v>
      </c>
    </row>
    <row r="377" spans="1:1" x14ac:dyDescent="0.25">
      <c r="A377" t="s">
        <v>633</v>
      </c>
    </row>
    <row r="378" spans="1:1" x14ac:dyDescent="0.25">
      <c r="A378" t="s">
        <v>658</v>
      </c>
    </row>
    <row r="379" spans="1:1" x14ac:dyDescent="0.25">
      <c r="A379" t="s">
        <v>612</v>
      </c>
    </row>
    <row r="380" spans="1:1" x14ac:dyDescent="0.25">
      <c r="A380" t="s">
        <v>713</v>
      </c>
    </row>
    <row r="381" spans="1:1" x14ac:dyDescent="0.25">
      <c r="A381">
        <v>6</v>
      </c>
    </row>
    <row r="382" spans="1:1" x14ac:dyDescent="0.25">
      <c r="A382" t="s">
        <v>659</v>
      </c>
    </row>
    <row r="383" spans="1:1" x14ac:dyDescent="0.25">
      <c r="A383" t="s">
        <v>621</v>
      </c>
    </row>
    <row r="384" spans="1:1" x14ac:dyDescent="0.25">
      <c r="A384" t="s">
        <v>669</v>
      </c>
    </row>
    <row r="385" spans="1:1" x14ac:dyDescent="0.25">
      <c r="A385" t="s">
        <v>620</v>
      </c>
    </row>
    <row r="386" spans="1:1" x14ac:dyDescent="0.25">
      <c r="A386" t="s">
        <v>651</v>
      </c>
    </row>
    <row r="387" spans="1:1" x14ac:dyDescent="0.25">
      <c r="A387" t="s">
        <v>639</v>
      </c>
    </row>
    <row r="388" spans="1:1" x14ac:dyDescent="0.25">
      <c r="A388" t="s">
        <v>648</v>
      </c>
    </row>
    <row r="389" spans="1:1" x14ac:dyDescent="0.25">
      <c r="A389" t="s">
        <v>630</v>
      </c>
    </row>
    <row r="390" spans="1:1" x14ac:dyDescent="0.25">
      <c r="A390" t="s">
        <v>618</v>
      </c>
    </row>
    <row r="391" spans="1:1" x14ac:dyDescent="0.25">
      <c r="A391">
        <v>7</v>
      </c>
    </row>
    <row r="392" spans="1:1" x14ac:dyDescent="0.25">
      <c r="A392" t="s">
        <v>650</v>
      </c>
    </row>
    <row r="393" spans="1:1" x14ac:dyDescent="0.25">
      <c r="A393" t="s">
        <v>619</v>
      </c>
    </row>
    <row r="394" spans="1:1" x14ac:dyDescent="0.25">
      <c r="A394" t="s">
        <v>653</v>
      </c>
    </row>
    <row r="395" spans="1:1" x14ac:dyDescent="0.25">
      <c r="A395" t="s">
        <v>635</v>
      </c>
    </row>
    <row r="396" spans="1:1" x14ac:dyDescent="0.25">
      <c r="A396" t="s">
        <v>625</v>
      </c>
    </row>
    <row r="397" spans="1:1" x14ac:dyDescent="0.25">
      <c r="A397" t="s">
        <v>670</v>
      </c>
    </row>
    <row r="398" spans="1:1" x14ac:dyDescent="0.25">
      <c r="A398" t="s">
        <v>654</v>
      </c>
    </row>
    <row r="399" spans="1:1" x14ac:dyDescent="0.25">
      <c r="A399" t="s">
        <v>638</v>
      </c>
    </row>
    <row r="400" spans="1:1" x14ac:dyDescent="0.25">
      <c r="A400" t="s">
        <v>714</v>
      </c>
    </row>
    <row r="401" spans="1:1" x14ac:dyDescent="0.25">
      <c r="A401">
        <v>8</v>
      </c>
    </row>
    <row r="402" spans="1:1" x14ac:dyDescent="0.25">
      <c r="A402">
        <v>0</v>
      </c>
    </row>
    <row r="403" spans="1:1" x14ac:dyDescent="0.25">
      <c r="A403">
        <v>0</v>
      </c>
    </row>
    <row r="404" spans="1:1" x14ac:dyDescent="0.25">
      <c r="A404">
        <v>0</v>
      </c>
    </row>
    <row r="405" spans="1:1" x14ac:dyDescent="0.25">
      <c r="A405">
        <v>0</v>
      </c>
    </row>
    <row r="406" spans="1:1" x14ac:dyDescent="0.25">
      <c r="A406">
        <v>0</v>
      </c>
    </row>
    <row r="407" spans="1:1" x14ac:dyDescent="0.25">
      <c r="A407">
        <v>0</v>
      </c>
    </row>
    <row r="408" spans="1:1" x14ac:dyDescent="0.25">
      <c r="A408">
        <v>0</v>
      </c>
    </row>
    <row r="409" spans="1:1" x14ac:dyDescent="0.25">
      <c r="A409">
        <v>0</v>
      </c>
    </row>
    <row r="410" spans="1:1" x14ac:dyDescent="0.25">
      <c r="A410">
        <v>0</v>
      </c>
    </row>
    <row r="411" spans="1:1" x14ac:dyDescent="0.25">
      <c r="A411">
        <v>999</v>
      </c>
    </row>
    <row r="412" spans="1:1" x14ac:dyDescent="0.25">
      <c r="A412">
        <v>999</v>
      </c>
    </row>
    <row r="413" spans="1:1" x14ac:dyDescent="0.25">
      <c r="A413">
        <v>999</v>
      </c>
    </row>
    <row r="414" spans="1:1" x14ac:dyDescent="0.25">
      <c r="A414">
        <v>999</v>
      </c>
    </row>
    <row r="415" spans="1:1" x14ac:dyDescent="0.25">
      <c r="A415">
        <v>999</v>
      </c>
    </row>
    <row r="416" spans="1:1" x14ac:dyDescent="0.25">
      <c r="A416">
        <v>999</v>
      </c>
    </row>
    <row r="417" spans="1:1" x14ac:dyDescent="0.25">
      <c r="A417">
        <v>999</v>
      </c>
    </row>
    <row r="418" spans="1:1" x14ac:dyDescent="0.25">
      <c r="A418">
        <v>999</v>
      </c>
    </row>
    <row r="419" spans="1:1" x14ac:dyDescent="0.25">
      <c r="A419">
        <v>999</v>
      </c>
    </row>
    <row r="420" spans="1:1" x14ac:dyDescent="0.25">
      <c r="A420" t="s">
        <v>0</v>
      </c>
    </row>
    <row r="421" spans="1:1" x14ac:dyDescent="0.25">
      <c r="A421">
        <v>1</v>
      </c>
    </row>
    <row r="422" spans="1:1" x14ac:dyDescent="0.25">
      <c r="A422">
        <v>105000</v>
      </c>
    </row>
    <row r="423" spans="1:1" x14ac:dyDescent="0.25">
      <c r="A423">
        <v>65000</v>
      </c>
    </row>
    <row r="424" spans="1:1" x14ac:dyDescent="0.25">
      <c r="A424" s="696" t="s">
        <v>601</v>
      </c>
    </row>
    <row r="425" spans="1:1" x14ac:dyDescent="0.25">
      <c r="A425" s="696" t="s">
        <v>602</v>
      </c>
    </row>
    <row r="426" spans="1:1" x14ac:dyDescent="0.25">
      <c r="A426" s="696" t="s">
        <v>602</v>
      </c>
    </row>
    <row r="427" spans="1:1" x14ac:dyDescent="0.25">
      <c r="A427" s="696" t="s">
        <v>601</v>
      </c>
    </row>
    <row r="428" spans="1:1" x14ac:dyDescent="0.25">
      <c r="A428">
        <v>2</v>
      </c>
    </row>
    <row r="429" spans="1:1" x14ac:dyDescent="0.25">
      <c r="A429">
        <v>107000</v>
      </c>
    </row>
    <row r="430" spans="1:1" x14ac:dyDescent="0.25">
      <c r="A430">
        <v>91000</v>
      </c>
    </row>
    <row r="431" spans="1:1" x14ac:dyDescent="0.25">
      <c r="A431" s="696" t="s">
        <v>608</v>
      </c>
    </row>
    <row r="432" spans="1:1" x14ac:dyDescent="0.25">
      <c r="A432" s="696" t="s">
        <v>601</v>
      </c>
    </row>
    <row r="433" spans="1:1" x14ac:dyDescent="0.25">
      <c r="A433" s="696" t="s">
        <v>602</v>
      </c>
    </row>
    <row r="434" spans="1:1" x14ac:dyDescent="0.25">
      <c r="A434" s="696" t="s">
        <v>601</v>
      </c>
    </row>
    <row r="435" spans="1:1" x14ac:dyDescent="0.25">
      <c r="A435">
        <v>3</v>
      </c>
    </row>
    <row r="436" spans="1:1" x14ac:dyDescent="0.25">
      <c r="A436">
        <v>110000</v>
      </c>
    </row>
    <row r="437" spans="1:1" x14ac:dyDescent="0.25">
      <c r="A437">
        <v>75000</v>
      </c>
    </row>
    <row r="438" spans="1:1" x14ac:dyDescent="0.25">
      <c r="A438" s="696" t="s">
        <v>602</v>
      </c>
    </row>
    <row r="439" spans="1:1" x14ac:dyDescent="0.25">
      <c r="A439" s="696" t="s">
        <v>602</v>
      </c>
    </row>
    <row r="440" spans="1:1" x14ac:dyDescent="0.25">
      <c r="A440" s="696" t="s">
        <v>602</v>
      </c>
    </row>
    <row r="441" spans="1:1" x14ac:dyDescent="0.25">
      <c r="A441" s="696" t="s">
        <v>601</v>
      </c>
    </row>
    <row r="442" spans="1:1" x14ac:dyDescent="0.25">
      <c r="A442">
        <v>4</v>
      </c>
    </row>
    <row r="443" spans="1:1" x14ac:dyDescent="0.25">
      <c r="A443">
        <v>83000</v>
      </c>
    </row>
    <row r="444" spans="1:1" x14ac:dyDescent="0.25">
      <c r="A444">
        <v>60000</v>
      </c>
    </row>
    <row r="445" spans="1:1" x14ac:dyDescent="0.25">
      <c r="A445" s="696" t="s">
        <v>608</v>
      </c>
    </row>
    <row r="446" spans="1:1" x14ac:dyDescent="0.25">
      <c r="A446" s="696" t="s">
        <v>602</v>
      </c>
    </row>
    <row r="447" spans="1:1" x14ac:dyDescent="0.25">
      <c r="A447" s="696" t="s">
        <v>602</v>
      </c>
    </row>
    <row r="448" spans="1:1" x14ac:dyDescent="0.25">
      <c r="A448" s="696" t="s">
        <v>601</v>
      </c>
    </row>
    <row r="449" spans="1:1" x14ac:dyDescent="0.25">
      <c r="A449">
        <v>5</v>
      </c>
    </row>
    <row r="450" spans="1:1" x14ac:dyDescent="0.25">
      <c r="A450">
        <v>105000</v>
      </c>
    </row>
    <row r="451" spans="1:1" x14ac:dyDescent="0.25">
      <c r="A451">
        <v>70000</v>
      </c>
    </row>
    <row r="452" spans="1:1" x14ac:dyDescent="0.25">
      <c r="A452" s="696" t="s">
        <v>602</v>
      </c>
    </row>
    <row r="453" spans="1:1" x14ac:dyDescent="0.25">
      <c r="A453" s="696" t="s">
        <v>601</v>
      </c>
    </row>
    <row r="454" spans="1:1" x14ac:dyDescent="0.25">
      <c r="A454" s="696" t="s">
        <v>602</v>
      </c>
    </row>
    <row r="455" spans="1:1" x14ac:dyDescent="0.25">
      <c r="A455" s="696" t="s">
        <v>601</v>
      </c>
    </row>
    <row r="456" spans="1:1" x14ac:dyDescent="0.25">
      <c r="A456">
        <v>6</v>
      </c>
    </row>
    <row r="457" spans="1:1" x14ac:dyDescent="0.25">
      <c r="A457">
        <v>60000</v>
      </c>
    </row>
    <row r="458" spans="1:1" x14ac:dyDescent="0.25">
      <c r="A458">
        <v>35000</v>
      </c>
    </row>
    <row r="459" spans="1:1" x14ac:dyDescent="0.25">
      <c r="A459" s="696" t="s">
        <v>602</v>
      </c>
    </row>
    <row r="460" spans="1:1" x14ac:dyDescent="0.25">
      <c r="A460" s="696" t="s">
        <v>601</v>
      </c>
    </row>
    <row r="461" spans="1:1" x14ac:dyDescent="0.25">
      <c r="A461" s="696" t="s">
        <v>602</v>
      </c>
    </row>
    <row r="462" spans="1:1" x14ac:dyDescent="0.25">
      <c r="A462" s="696" t="s">
        <v>601</v>
      </c>
    </row>
    <row r="463" spans="1:1" x14ac:dyDescent="0.25">
      <c r="A463">
        <v>7</v>
      </c>
    </row>
    <row r="464" spans="1:1" x14ac:dyDescent="0.25">
      <c r="A464">
        <v>101000</v>
      </c>
    </row>
    <row r="465" spans="1:1" x14ac:dyDescent="0.25">
      <c r="A465">
        <v>60000</v>
      </c>
    </row>
    <row r="466" spans="1:1" x14ac:dyDescent="0.25">
      <c r="A466" s="696" t="s">
        <v>602</v>
      </c>
    </row>
    <row r="467" spans="1:1" x14ac:dyDescent="0.25">
      <c r="A467" s="696" t="s">
        <v>602</v>
      </c>
    </row>
    <row r="468" spans="1:1" x14ac:dyDescent="0.25">
      <c r="A468" s="696" t="s">
        <v>602</v>
      </c>
    </row>
    <row r="469" spans="1:1" x14ac:dyDescent="0.25">
      <c r="A469" s="696" t="s">
        <v>601</v>
      </c>
    </row>
    <row r="470" spans="1:1" x14ac:dyDescent="0.25">
      <c r="A470">
        <v>8</v>
      </c>
    </row>
    <row r="471" spans="1:1" x14ac:dyDescent="0.25">
      <c r="A471">
        <v>0</v>
      </c>
    </row>
    <row r="472" spans="1:1" x14ac:dyDescent="0.25">
      <c r="A472">
        <v>0</v>
      </c>
    </row>
    <row r="473" spans="1:1" x14ac:dyDescent="0.25">
      <c r="A473" s="696">
        <v>0</v>
      </c>
    </row>
    <row r="474" spans="1:1" x14ac:dyDescent="0.25">
      <c r="A474" s="696">
        <v>0</v>
      </c>
    </row>
    <row r="475" spans="1:1" x14ac:dyDescent="0.25">
      <c r="A475" s="696">
        <v>0</v>
      </c>
    </row>
    <row r="476" spans="1:1" x14ac:dyDescent="0.25">
      <c r="A476" s="696">
        <v>0</v>
      </c>
    </row>
    <row r="477" spans="1:1" x14ac:dyDescent="0.25">
      <c r="A477">
        <v>999</v>
      </c>
    </row>
    <row r="478" spans="1:1" x14ac:dyDescent="0.25">
      <c r="A478">
        <v>999</v>
      </c>
    </row>
    <row r="479" spans="1:1" x14ac:dyDescent="0.25">
      <c r="A479">
        <v>999</v>
      </c>
    </row>
    <row r="480" spans="1:1" x14ac:dyDescent="0.25">
      <c r="A480">
        <v>999</v>
      </c>
    </row>
    <row r="481" spans="1:1" x14ac:dyDescent="0.25">
      <c r="A481">
        <v>999</v>
      </c>
    </row>
    <row r="482" spans="1:1" x14ac:dyDescent="0.25">
      <c r="A482">
        <v>999</v>
      </c>
    </row>
    <row r="483" spans="1:1" x14ac:dyDescent="0.25">
      <c r="A483">
        <v>999</v>
      </c>
    </row>
    <row r="484" spans="1:1" x14ac:dyDescent="0.25">
      <c r="A484">
        <v>999</v>
      </c>
    </row>
    <row r="485" spans="1:1" x14ac:dyDescent="0.25">
      <c r="A485">
        <v>999</v>
      </c>
    </row>
    <row r="486" spans="1:1" x14ac:dyDescent="0.25">
      <c r="A486">
        <v>999</v>
      </c>
    </row>
    <row r="487" spans="1:1" x14ac:dyDescent="0.25">
      <c r="A487">
        <v>999</v>
      </c>
    </row>
    <row r="488" spans="1:1" x14ac:dyDescent="0.25">
      <c r="A488">
        <v>999</v>
      </c>
    </row>
    <row r="489" spans="1:1" x14ac:dyDescent="0.25">
      <c r="A489">
        <v>999</v>
      </c>
    </row>
    <row r="490" spans="1:1" x14ac:dyDescent="0.25">
      <c r="A490">
        <v>999</v>
      </c>
    </row>
    <row r="491" spans="1:1" x14ac:dyDescent="0.25">
      <c r="A491">
        <v>999</v>
      </c>
    </row>
    <row r="492" spans="1:1" x14ac:dyDescent="0.25">
      <c r="A492">
        <v>999</v>
      </c>
    </row>
    <row r="493" spans="1:1" x14ac:dyDescent="0.25">
      <c r="A493">
        <v>999</v>
      </c>
    </row>
    <row r="494" spans="1:1" x14ac:dyDescent="0.25">
      <c r="A494">
        <v>999</v>
      </c>
    </row>
    <row r="495" spans="1:1" x14ac:dyDescent="0.25">
      <c r="A495">
        <v>999</v>
      </c>
    </row>
    <row r="496" spans="1:1" x14ac:dyDescent="0.25">
      <c r="A496">
        <v>999</v>
      </c>
    </row>
    <row r="497" spans="1:1" x14ac:dyDescent="0.25">
      <c r="A497">
        <v>999</v>
      </c>
    </row>
    <row r="498" spans="1:1" x14ac:dyDescent="0.25">
      <c r="A498">
        <v>999</v>
      </c>
    </row>
    <row r="499" spans="1:1" x14ac:dyDescent="0.25">
      <c r="A499">
        <v>999</v>
      </c>
    </row>
    <row r="500" spans="1:1" x14ac:dyDescent="0.25">
      <c r="A500" t="s">
        <v>14</v>
      </c>
    </row>
    <row r="501" spans="1:1" x14ac:dyDescent="0.25">
      <c r="A501">
        <v>5</v>
      </c>
    </row>
    <row r="502" spans="1:1" x14ac:dyDescent="0.25">
      <c r="A502">
        <v>11</v>
      </c>
    </row>
    <row r="503" spans="1:1" x14ac:dyDescent="0.25">
      <c r="A503">
        <v>49</v>
      </c>
    </row>
    <row r="504" spans="1:1" x14ac:dyDescent="0.25">
      <c r="A504">
        <v>6153</v>
      </c>
    </row>
    <row r="505" spans="1:1" x14ac:dyDescent="0.25">
      <c r="A505">
        <v>4199</v>
      </c>
    </row>
    <row r="506" spans="1:1" x14ac:dyDescent="0.25">
      <c r="A506">
        <v>4310</v>
      </c>
    </row>
    <row r="507" spans="1:1" x14ac:dyDescent="0.25">
      <c r="A507">
        <v>83</v>
      </c>
    </row>
    <row r="508" spans="1:1" x14ac:dyDescent="0.25">
      <c r="A508">
        <v>43</v>
      </c>
    </row>
    <row r="509" spans="1:1" x14ac:dyDescent="0.25">
      <c r="A509">
        <v>1715</v>
      </c>
    </row>
    <row r="510" spans="1:1" x14ac:dyDescent="0.25">
      <c r="A510">
        <v>1531</v>
      </c>
    </row>
    <row r="511" spans="1:1" x14ac:dyDescent="0.25">
      <c r="A511">
        <v>82</v>
      </c>
    </row>
    <row r="512" spans="1:1" x14ac:dyDescent="0.25">
      <c r="A512">
        <v>999</v>
      </c>
    </row>
    <row r="513" spans="1:1" x14ac:dyDescent="0.25">
      <c r="A513">
        <v>999</v>
      </c>
    </row>
    <row r="514" spans="1:1" x14ac:dyDescent="0.25">
      <c r="A514">
        <v>65055</v>
      </c>
    </row>
    <row r="515" spans="1:1" x14ac:dyDescent="0.25">
      <c r="A515">
        <v>79336</v>
      </c>
    </row>
    <row r="516" spans="1:1" x14ac:dyDescent="0.25">
      <c r="A516">
        <v>75369</v>
      </c>
    </row>
    <row r="517" spans="1:1" x14ac:dyDescent="0.25">
      <c r="A517">
        <v>71403</v>
      </c>
    </row>
    <row r="518" spans="1:1" x14ac:dyDescent="0.25">
      <c r="A518">
        <v>500</v>
      </c>
    </row>
    <row r="519" spans="1:1" x14ac:dyDescent="0.25">
      <c r="A519">
        <v>999</v>
      </c>
    </row>
    <row r="520" spans="1:1" x14ac:dyDescent="0.25">
      <c r="A520">
        <v>999</v>
      </c>
    </row>
    <row r="521" spans="1:1" x14ac:dyDescent="0.25">
      <c r="A521">
        <v>1</v>
      </c>
    </row>
    <row r="522" spans="1:1" x14ac:dyDescent="0.25">
      <c r="A522">
        <v>9112</v>
      </c>
    </row>
    <row r="523" spans="1:1" x14ac:dyDescent="0.25">
      <c r="A523">
        <v>3644800</v>
      </c>
    </row>
    <row r="524" spans="1:1" x14ac:dyDescent="0.25">
      <c r="A524">
        <v>0</v>
      </c>
    </row>
    <row r="525" spans="1:1" x14ac:dyDescent="0.25">
      <c r="A525">
        <v>3644800</v>
      </c>
    </row>
    <row r="526" spans="1:1" x14ac:dyDescent="0.25">
      <c r="A526">
        <v>325</v>
      </c>
    </row>
    <row r="527" spans="1:1" x14ac:dyDescent="0.25">
      <c r="A527">
        <v>335</v>
      </c>
    </row>
    <row r="528" spans="1:1" x14ac:dyDescent="0.25">
      <c r="A528">
        <v>355</v>
      </c>
    </row>
    <row r="529" spans="1:1" x14ac:dyDescent="0.25">
      <c r="A529">
        <v>490</v>
      </c>
    </row>
    <row r="530" spans="1:1" x14ac:dyDescent="0.25">
      <c r="A530">
        <v>490</v>
      </c>
    </row>
    <row r="531" spans="1:1" x14ac:dyDescent="0.25">
      <c r="A531">
        <v>550</v>
      </c>
    </row>
    <row r="532" spans="1:1" x14ac:dyDescent="0.25">
      <c r="A532">
        <v>700</v>
      </c>
    </row>
    <row r="533" spans="1:1" x14ac:dyDescent="0.25">
      <c r="A533">
        <v>725</v>
      </c>
    </row>
    <row r="534" spans="1:1" x14ac:dyDescent="0.25">
      <c r="A534">
        <v>780</v>
      </c>
    </row>
    <row r="535" spans="1:1" x14ac:dyDescent="0.25">
      <c r="A535">
        <v>71</v>
      </c>
    </row>
    <row r="536" spans="1:1" x14ac:dyDescent="0.25">
      <c r="A536">
        <v>1270</v>
      </c>
    </row>
    <row r="537" spans="1:1" x14ac:dyDescent="0.25">
      <c r="A537">
        <v>4</v>
      </c>
    </row>
    <row r="538" spans="1:1" x14ac:dyDescent="0.25">
      <c r="A538">
        <v>999</v>
      </c>
    </row>
    <row r="539" spans="1:1" x14ac:dyDescent="0.25">
      <c r="A539">
        <v>999</v>
      </c>
    </row>
    <row r="540" spans="1:1" x14ac:dyDescent="0.25">
      <c r="A540">
        <v>999</v>
      </c>
    </row>
    <row r="541" spans="1:1" x14ac:dyDescent="0.25">
      <c r="A541">
        <v>2</v>
      </c>
    </row>
    <row r="542" spans="1:1" x14ac:dyDescent="0.25">
      <c r="A542">
        <v>9455</v>
      </c>
    </row>
    <row r="543" spans="1:1" x14ac:dyDescent="0.25">
      <c r="A543">
        <v>3782000</v>
      </c>
    </row>
    <row r="544" spans="1:1" x14ac:dyDescent="0.25">
      <c r="A544">
        <v>0</v>
      </c>
    </row>
    <row r="545" spans="1:2" x14ac:dyDescent="0.25">
      <c r="A545">
        <v>3782000</v>
      </c>
    </row>
    <row r="546" spans="1:2" x14ac:dyDescent="0.25">
      <c r="A546">
        <v>320</v>
      </c>
    </row>
    <row r="547" spans="1:2" x14ac:dyDescent="0.25">
      <c r="A547">
        <v>345</v>
      </c>
    </row>
    <row r="548" spans="1:2" x14ac:dyDescent="0.25">
      <c r="A548">
        <v>380</v>
      </c>
    </row>
    <row r="549" spans="1:2" x14ac:dyDescent="0.25">
      <c r="A549">
        <v>500</v>
      </c>
    </row>
    <row r="550" spans="1:2" x14ac:dyDescent="0.25">
      <c r="A550">
        <v>500</v>
      </c>
    </row>
    <row r="551" spans="1:2" x14ac:dyDescent="0.25">
      <c r="A551">
        <v>600</v>
      </c>
    </row>
    <row r="552" spans="1:2" x14ac:dyDescent="0.25">
      <c r="A552">
        <v>705</v>
      </c>
    </row>
    <row r="553" spans="1:2" x14ac:dyDescent="0.25">
      <c r="A553">
        <v>735</v>
      </c>
      <c r="B553"/>
    </row>
    <row r="554" spans="1:2" x14ac:dyDescent="0.25">
      <c r="A554">
        <v>855</v>
      </c>
      <c r="B554"/>
    </row>
    <row r="555" spans="1:2" x14ac:dyDescent="0.25">
      <c r="A555">
        <v>61</v>
      </c>
      <c r="B555"/>
    </row>
    <row r="556" spans="1:2" x14ac:dyDescent="0.25">
      <c r="A556">
        <v>1260</v>
      </c>
      <c r="B556"/>
    </row>
    <row r="557" spans="1:2" x14ac:dyDescent="0.25">
      <c r="A557">
        <v>4</v>
      </c>
      <c r="B557"/>
    </row>
    <row r="558" spans="1:2" x14ac:dyDescent="0.25">
      <c r="A558">
        <v>999</v>
      </c>
    </row>
    <row r="559" spans="1:2" x14ac:dyDescent="0.25">
      <c r="A559">
        <v>999</v>
      </c>
    </row>
    <row r="560" spans="1:2" x14ac:dyDescent="0.25">
      <c r="A560">
        <v>999</v>
      </c>
    </row>
    <row r="561" spans="1:1" x14ac:dyDescent="0.25">
      <c r="A561">
        <v>3</v>
      </c>
    </row>
    <row r="562" spans="1:1" x14ac:dyDescent="0.25">
      <c r="A562">
        <v>10482</v>
      </c>
    </row>
    <row r="563" spans="1:1" x14ac:dyDescent="0.25">
      <c r="A563">
        <v>4192800</v>
      </c>
    </row>
    <row r="564" spans="1:1" x14ac:dyDescent="0.25">
      <c r="A564">
        <v>0</v>
      </c>
    </row>
    <row r="565" spans="1:1" x14ac:dyDescent="0.25">
      <c r="A565">
        <v>4192800</v>
      </c>
    </row>
    <row r="566" spans="1:1" x14ac:dyDescent="0.25">
      <c r="A566">
        <v>335</v>
      </c>
    </row>
    <row r="567" spans="1:1" x14ac:dyDescent="0.25">
      <c r="A567">
        <v>345</v>
      </c>
    </row>
    <row r="568" spans="1:1" x14ac:dyDescent="0.25">
      <c r="A568">
        <v>385</v>
      </c>
    </row>
    <row r="569" spans="1:1" x14ac:dyDescent="0.25">
      <c r="A569">
        <v>490</v>
      </c>
    </row>
    <row r="570" spans="1:1" x14ac:dyDescent="0.25">
      <c r="A570">
        <v>490</v>
      </c>
    </row>
    <row r="571" spans="1:1" x14ac:dyDescent="0.25">
      <c r="A571">
        <v>595</v>
      </c>
    </row>
    <row r="572" spans="1:1" x14ac:dyDescent="0.25">
      <c r="A572">
        <v>680</v>
      </c>
    </row>
    <row r="573" spans="1:1" x14ac:dyDescent="0.25">
      <c r="A573">
        <v>705</v>
      </c>
    </row>
    <row r="574" spans="1:1" x14ac:dyDescent="0.25">
      <c r="A574">
        <v>810</v>
      </c>
    </row>
    <row r="575" spans="1:1" x14ac:dyDescent="0.25">
      <c r="A575">
        <v>60</v>
      </c>
    </row>
    <row r="576" spans="1:1" x14ac:dyDescent="0.25">
      <c r="A576">
        <v>1250</v>
      </c>
    </row>
    <row r="577" spans="1:1" x14ac:dyDescent="0.25">
      <c r="A577">
        <v>7</v>
      </c>
    </row>
    <row r="578" spans="1:1" x14ac:dyDescent="0.25">
      <c r="A578">
        <v>999</v>
      </c>
    </row>
    <row r="579" spans="1:1" x14ac:dyDescent="0.25">
      <c r="A579">
        <v>999</v>
      </c>
    </row>
    <row r="580" spans="1:1" x14ac:dyDescent="0.25">
      <c r="A580">
        <v>999</v>
      </c>
    </row>
    <row r="581" spans="1:1" x14ac:dyDescent="0.25">
      <c r="A581">
        <v>4</v>
      </c>
    </row>
    <row r="582" spans="1:1" x14ac:dyDescent="0.25">
      <c r="A582">
        <v>9655</v>
      </c>
    </row>
    <row r="583" spans="1:1" x14ac:dyDescent="0.25">
      <c r="A583">
        <v>3862000</v>
      </c>
    </row>
    <row r="584" spans="1:1" x14ac:dyDescent="0.25">
      <c r="A584">
        <v>0</v>
      </c>
    </row>
    <row r="585" spans="1:1" x14ac:dyDescent="0.25">
      <c r="A585">
        <v>3862000</v>
      </c>
    </row>
    <row r="586" spans="1:1" x14ac:dyDescent="0.25">
      <c r="A586">
        <v>320</v>
      </c>
    </row>
    <row r="587" spans="1:1" x14ac:dyDescent="0.25">
      <c r="A587">
        <v>325</v>
      </c>
    </row>
    <row r="588" spans="1:1" x14ac:dyDescent="0.25">
      <c r="A588">
        <v>360</v>
      </c>
    </row>
    <row r="589" spans="1:1" x14ac:dyDescent="0.25">
      <c r="A589">
        <v>550</v>
      </c>
    </row>
    <row r="590" spans="1:1" x14ac:dyDescent="0.25">
      <c r="A590">
        <v>550</v>
      </c>
    </row>
    <row r="591" spans="1:1" x14ac:dyDescent="0.25">
      <c r="A591">
        <v>650</v>
      </c>
    </row>
    <row r="592" spans="1:1" x14ac:dyDescent="0.25">
      <c r="A592">
        <v>710</v>
      </c>
    </row>
    <row r="593" spans="1:1" x14ac:dyDescent="0.25">
      <c r="A593">
        <v>735</v>
      </c>
    </row>
    <row r="594" spans="1:1" x14ac:dyDescent="0.25">
      <c r="A594">
        <v>820</v>
      </c>
    </row>
    <row r="595" spans="1:1" x14ac:dyDescent="0.25">
      <c r="A595">
        <v>53</v>
      </c>
    </row>
    <row r="596" spans="1:1" x14ac:dyDescent="0.25">
      <c r="A596">
        <v>1300</v>
      </c>
    </row>
    <row r="597" spans="1:1" x14ac:dyDescent="0.25">
      <c r="A597">
        <v>4</v>
      </c>
    </row>
    <row r="598" spans="1:1" x14ac:dyDescent="0.25">
      <c r="A598">
        <v>999</v>
      </c>
    </row>
    <row r="599" spans="1:1" x14ac:dyDescent="0.25">
      <c r="A599">
        <v>999</v>
      </c>
    </row>
    <row r="600" spans="1:1" x14ac:dyDescent="0.25">
      <c r="A600">
        <v>999</v>
      </c>
    </row>
    <row r="601" spans="1:1" x14ac:dyDescent="0.25">
      <c r="A601">
        <v>5</v>
      </c>
    </row>
    <row r="602" spans="1:1" x14ac:dyDescent="0.25">
      <c r="A602">
        <v>10051</v>
      </c>
    </row>
    <row r="603" spans="1:1" x14ac:dyDescent="0.25">
      <c r="A603">
        <v>4020400</v>
      </c>
    </row>
    <row r="604" spans="1:1" x14ac:dyDescent="0.25">
      <c r="A604">
        <v>0</v>
      </c>
    </row>
    <row r="605" spans="1:1" x14ac:dyDescent="0.25">
      <c r="A605">
        <v>4020400</v>
      </c>
    </row>
    <row r="606" spans="1:1" x14ac:dyDescent="0.25">
      <c r="A606">
        <v>325</v>
      </c>
    </row>
    <row r="607" spans="1:1" x14ac:dyDescent="0.25">
      <c r="A607">
        <v>335</v>
      </c>
    </row>
    <row r="608" spans="1:1" x14ac:dyDescent="0.25">
      <c r="A608">
        <v>365</v>
      </c>
    </row>
    <row r="609" spans="1:1" x14ac:dyDescent="0.25">
      <c r="A609">
        <v>490</v>
      </c>
    </row>
    <row r="610" spans="1:1" x14ac:dyDescent="0.25">
      <c r="A610">
        <v>490</v>
      </c>
    </row>
    <row r="611" spans="1:1" x14ac:dyDescent="0.25">
      <c r="A611">
        <v>560</v>
      </c>
    </row>
    <row r="612" spans="1:1" x14ac:dyDescent="0.25">
      <c r="A612">
        <v>700</v>
      </c>
    </row>
    <row r="613" spans="1:1" x14ac:dyDescent="0.25">
      <c r="A613">
        <v>725</v>
      </c>
    </row>
    <row r="614" spans="1:1" x14ac:dyDescent="0.25">
      <c r="A614">
        <v>790</v>
      </c>
    </row>
    <row r="615" spans="1:1" x14ac:dyDescent="0.25">
      <c r="A615">
        <v>56</v>
      </c>
    </row>
    <row r="616" spans="1:1" x14ac:dyDescent="0.25">
      <c r="A616">
        <v>1250</v>
      </c>
    </row>
    <row r="617" spans="1:1" x14ac:dyDescent="0.25">
      <c r="A617">
        <v>4</v>
      </c>
    </row>
    <row r="618" spans="1:1" x14ac:dyDescent="0.25">
      <c r="A618">
        <v>999</v>
      </c>
    </row>
    <row r="619" spans="1:1" x14ac:dyDescent="0.25">
      <c r="A619">
        <v>999</v>
      </c>
    </row>
    <row r="620" spans="1:1" x14ac:dyDescent="0.25">
      <c r="A620">
        <v>999</v>
      </c>
    </row>
    <row r="621" spans="1:1" x14ac:dyDescent="0.25">
      <c r="A621">
        <v>6</v>
      </c>
    </row>
    <row r="622" spans="1:1" x14ac:dyDescent="0.25">
      <c r="A622">
        <v>9900</v>
      </c>
    </row>
    <row r="623" spans="1:1" x14ac:dyDescent="0.25">
      <c r="A623">
        <v>3960000</v>
      </c>
    </row>
    <row r="624" spans="1:1" x14ac:dyDescent="0.25">
      <c r="A624">
        <v>0</v>
      </c>
    </row>
    <row r="625" spans="1:1" x14ac:dyDescent="0.25">
      <c r="A625">
        <v>3960000</v>
      </c>
    </row>
    <row r="626" spans="1:1" x14ac:dyDescent="0.25">
      <c r="A626">
        <v>300</v>
      </c>
    </row>
    <row r="627" spans="1:1" x14ac:dyDescent="0.25">
      <c r="A627">
        <v>320</v>
      </c>
    </row>
    <row r="628" spans="1:1" x14ac:dyDescent="0.25">
      <c r="A628">
        <v>350</v>
      </c>
    </row>
    <row r="629" spans="1:1" x14ac:dyDescent="0.25">
      <c r="A629">
        <v>470</v>
      </c>
    </row>
    <row r="630" spans="1:1" x14ac:dyDescent="0.25">
      <c r="A630">
        <v>480</v>
      </c>
    </row>
    <row r="631" spans="1:1" x14ac:dyDescent="0.25">
      <c r="A631">
        <v>545</v>
      </c>
    </row>
    <row r="632" spans="1:1" x14ac:dyDescent="0.25">
      <c r="A632">
        <v>680</v>
      </c>
    </row>
    <row r="633" spans="1:1" x14ac:dyDescent="0.25">
      <c r="A633">
        <v>700</v>
      </c>
    </row>
    <row r="634" spans="1:1" x14ac:dyDescent="0.25">
      <c r="A634">
        <v>800</v>
      </c>
    </row>
    <row r="635" spans="1:1" x14ac:dyDescent="0.25">
      <c r="A635">
        <v>101</v>
      </c>
    </row>
    <row r="636" spans="1:1" x14ac:dyDescent="0.25">
      <c r="A636">
        <v>1220</v>
      </c>
    </row>
    <row r="637" spans="1:1" x14ac:dyDescent="0.25">
      <c r="A637">
        <v>8</v>
      </c>
    </row>
    <row r="638" spans="1:1" x14ac:dyDescent="0.25">
      <c r="A638">
        <v>999</v>
      </c>
    </row>
    <row r="639" spans="1:1" x14ac:dyDescent="0.25">
      <c r="A639">
        <v>999</v>
      </c>
    </row>
    <row r="640" spans="1:1" x14ac:dyDescent="0.25">
      <c r="A640">
        <v>999</v>
      </c>
    </row>
    <row r="641" spans="1:1" x14ac:dyDescent="0.25">
      <c r="A641">
        <v>7</v>
      </c>
    </row>
    <row r="642" spans="1:1" x14ac:dyDescent="0.25">
      <c r="A642">
        <v>10194</v>
      </c>
    </row>
    <row r="643" spans="1:1" x14ac:dyDescent="0.25">
      <c r="A643">
        <v>4077600</v>
      </c>
    </row>
    <row r="644" spans="1:1" x14ac:dyDescent="0.25">
      <c r="A644">
        <v>0</v>
      </c>
    </row>
    <row r="645" spans="1:1" x14ac:dyDescent="0.25">
      <c r="A645">
        <v>4077600</v>
      </c>
    </row>
    <row r="646" spans="1:1" x14ac:dyDescent="0.25">
      <c r="A646">
        <v>335</v>
      </c>
    </row>
    <row r="647" spans="1:1" x14ac:dyDescent="0.25">
      <c r="A647">
        <v>345</v>
      </c>
    </row>
    <row r="648" spans="1:1" x14ac:dyDescent="0.25">
      <c r="A648">
        <v>375</v>
      </c>
    </row>
    <row r="649" spans="1:1" x14ac:dyDescent="0.25">
      <c r="A649">
        <v>490</v>
      </c>
    </row>
    <row r="650" spans="1:1" x14ac:dyDescent="0.25">
      <c r="A650">
        <v>490</v>
      </c>
    </row>
    <row r="651" spans="1:1" x14ac:dyDescent="0.25">
      <c r="A651">
        <v>590</v>
      </c>
    </row>
    <row r="652" spans="1:1" x14ac:dyDescent="0.25">
      <c r="A652">
        <v>700</v>
      </c>
    </row>
    <row r="653" spans="1:1" x14ac:dyDescent="0.25">
      <c r="A653">
        <v>725</v>
      </c>
    </row>
    <row r="654" spans="1:1" x14ac:dyDescent="0.25">
      <c r="A654">
        <v>850</v>
      </c>
    </row>
    <row r="655" spans="1:1" x14ac:dyDescent="0.25">
      <c r="A655">
        <v>64</v>
      </c>
    </row>
    <row r="656" spans="1:1" x14ac:dyDescent="0.25">
      <c r="A656">
        <v>1350</v>
      </c>
    </row>
    <row r="657" spans="1:1" x14ac:dyDescent="0.25">
      <c r="A657">
        <v>4</v>
      </c>
    </row>
    <row r="658" spans="1:1" x14ac:dyDescent="0.25">
      <c r="A658">
        <v>999</v>
      </c>
    </row>
    <row r="659" spans="1:1" x14ac:dyDescent="0.25">
      <c r="A659">
        <v>999</v>
      </c>
    </row>
    <row r="660" spans="1:1" x14ac:dyDescent="0.25">
      <c r="A660">
        <v>999</v>
      </c>
    </row>
    <row r="661" spans="1:1" x14ac:dyDescent="0.25">
      <c r="A661">
        <v>8</v>
      </c>
    </row>
    <row r="662" spans="1:1" x14ac:dyDescent="0.25">
      <c r="A662">
        <v>0</v>
      </c>
    </row>
    <row r="663" spans="1:1" x14ac:dyDescent="0.25">
      <c r="A663">
        <v>0</v>
      </c>
    </row>
    <row r="664" spans="1:1" x14ac:dyDescent="0.25">
      <c r="A664">
        <v>0</v>
      </c>
    </row>
    <row r="665" spans="1:1" x14ac:dyDescent="0.25">
      <c r="A665">
        <v>0</v>
      </c>
    </row>
    <row r="666" spans="1:1" x14ac:dyDescent="0.25">
      <c r="A666">
        <v>0</v>
      </c>
    </row>
    <row r="667" spans="1:1" x14ac:dyDescent="0.25">
      <c r="A667">
        <v>0</v>
      </c>
    </row>
    <row r="668" spans="1:1" x14ac:dyDescent="0.25">
      <c r="A668">
        <v>0</v>
      </c>
    </row>
    <row r="669" spans="1:1" x14ac:dyDescent="0.25">
      <c r="A669">
        <v>0</v>
      </c>
    </row>
    <row r="670" spans="1:1" x14ac:dyDescent="0.25">
      <c r="A670">
        <v>0</v>
      </c>
    </row>
    <row r="671" spans="1:1" x14ac:dyDescent="0.25">
      <c r="A671">
        <v>0</v>
      </c>
    </row>
    <row r="672" spans="1:1" x14ac:dyDescent="0.25">
      <c r="A672">
        <v>0</v>
      </c>
    </row>
    <row r="673" spans="1:1" x14ac:dyDescent="0.25">
      <c r="A673">
        <v>0</v>
      </c>
    </row>
    <row r="674" spans="1:1" x14ac:dyDescent="0.25">
      <c r="A674">
        <v>0</v>
      </c>
    </row>
    <row r="675" spans="1:1" x14ac:dyDescent="0.25">
      <c r="A675">
        <v>0</v>
      </c>
    </row>
    <row r="676" spans="1:1" x14ac:dyDescent="0.25">
      <c r="A676">
        <v>0</v>
      </c>
    </row>
    <row r="677" spans="1:1" x14ac:dyDescent="0.25">
      <c r="A677">
        <v>0</v>
      </c>
    </row>
    <row r="678" spans="1:1" x14ac:dyDescent="0.25">
      <c r="A678">
        <v>0</v>
      </c>
    </row>
    <row r="679" spans="1:1" x14ac:dyDescent="0.25">
      <c r="A679">
        <v>0</v>
      </c>
    </row>
    <row r="680" spans="1:1" x14ac:dyDescent="0.25">
      <c r="A680">
        <v>0</v>
      </c>
    </row>
    <row r="681" spans="1:1" x14ac:dyDescent="0.25">
      <c r="A681" t="s">
        <v>715</v>
      </c>
    </row>
    <row r="682" spans="1:1" x14ac:dyDescent="0.25">
      <c r="A682" t="s">
        <v>716</v>
      </c>
    </row>
    <row r="683" spans="1:1" x14ac:dyDescent="0.25">
      <c r="A683" t="s">
        <v>717</v>
      </c>
    </row>
    <row r="684" spans="1:1" x14ac:dyDescent="0.25">
      <c r="A684" t="s">
        <v>718</v>
      </c>
    </row>
    <row r="685" spans="1:1" x14ac:dyDescent="0.25">
      <c r="A685" t="s">
        <v>0</v>
      </c>
    </row>
    <row r="686" spans="1:1" x14ac:dyDescent="0.25">
      <c r="A686" t="s">
        <v>0</v>
      </c>
    </row>
    <row r="687" spans="1:1" x14ac:dyDescent="0.25">
      <c r="A687">
        <v>999</v>
      </c>
    </row>
    <row r="688" spans="1:1" x14ac:dyDescent="0.25">
      <c r="A688">
        <v>999</v>
      </c>
    </row>
    <row r="689" spans="1:1" x14ac:dyDescent="0.25">
      <c r="A689">
        <v>999</v>
      </c>
    </row>
    <row r="690" spans="1:1" x14ac:dyDescent="0.25">
      <c r="A690">
        <v>999</v>
      </c>
    </row>
    <row r="691" spans="1:1" x14ac:dyDescent="0.25">
      <c r="A691">
        <v>999</v>
      </c>
    </row>
    <row r="692" spans="1:1" x14ac:dyDescent="0.25">
      <c r="A692">
        <v>999</v>
      </c>
    </row>
    <row r="693" spans="1:1" x14ac:dyDescent="0.25">
      <c r="A693">
        <v>999</v>
      </c>
    </row>
    <row r="694" spans="1:1" x14ac:dyDescent="0.25">
      <c r="A694">
        <v>999</v>
      </c>
    </row>
    <row r="695" spans="1:1" x14ac:dyDescent="0.25">
      <c r="A695">
        <v>999</v>
      </c>
    </row>
    <row r="696" spans="1:1" x14ac:dyDescent="0.25">
      <c r="A696">
        <v>999</v>
      </c>
    </row>
    <row r="697" spans="1:1" x14ac:dyDescent="0.25">
      <c r="A697">
        <v>999</v>
      </c>
    </row>
    <row r="698" spans="1:1" x14ac:dyDescent="0.25">
      <c r="A698">
        <v>999</v>
      </c>
    </row>
    <row r="699" spans="1:1" x14ac:dyDescent="0.25">
      <c r="A699" t="s">
        <v>707</v>
      </c>
    </row>
    <row r="700" spans="1:1" x14ac:dyDescent="0.25">
      <c r="A700" t="s">
        <v>719</v>
      </c>
    </row>
    <row r="701" spans="1:1" x14ac:dyDescent="0.25">
      <c r="A701">
        <v>1</v>
      </c>
    </row>
    <row r="702" spans="1:1" x14ac:dyDescent="0.25">
      <c r="A702">
        <v>2038374</v>
      </c>
    </row>
    <row r="703" spans="1:1" x14ac:dyDescent="0.25">
      <c r="A703">
        <v>441727</v>
      </c>
    </row>
    <row r="704" spans="1:1" x14ac:dyDescent="0.25">
      <c r="A704">
        <v>779907</v>
      </c>
    </row>
    <row r="705" spans="1:1" x14ac:dyDescent="0.25">
      <c r="A705">
        <v>1150000</v>
      </c>
    </row>
    <row r="706" spans="1:1" x14ac:dyDescent="0.25">
      <c r="A706">
        <v>999</v>
      </c>
    </row>
    <row r="707" spans="1:1" x14ac:dyDescent="0.25">
      <c r="A707">
        <v>999</v>
      </c>
    </row>
    <row r="708" spans="1:1" x14ac:dyDescent="0.25">
      <c r="A708">
        <v>0</v>
      </c>
    </row>
    <row r="709" spans="1:1" x14ac:dyDescent="0.25">
      <c r="A709">
        <v>533146</v>
      </c>
    </row>
    <row r="710" spans="1:1" x14ac:dyDescent="0.25">
      <c r="A710">
        <v>141856</v>
      </c>
    </row>
    <row r="711" spans="1:1" x14ac:dyDescent="0.25">
      <c r="A711">
        <v>999</v>
      </c>
    </row>
    <row r="712" spans="1:1" x14ac:dyDescent="0.25">
      <c r="A712">
        <v>0</v>
      </c>
    </row>
    <row r="713" spans="1:1" x14ac:dyDescent="0.25">
      <c r="A713">
        <v>999</v>
      </c>
    </row>
    <row r="714" spans="1:1" x14ac:dyDescent="0.25">
      <c r="A714">
        <v>4000000</v>
      </c>
    </row>
    <row r="715" spans="1:1" x14ac:dyDescent="0.25">
      <c r="A715">
        <v>0</v>
      </c>
    </row>
    <row r="716" spans="1:1" x14ac:dyDescent="0.25">
      <c r="A716">
        <v>-264994</v>
      </c>
    </row>
    <row r="717" spans="1:1" x14ac:dyDescent="0.25">
      <c r="A717">
        <v>3735006</v>
      </c>
    </row>
    <row r="718" spans="1:1" x14ac:dyDescent="0.25">
      <c r="A718">
        <v>999</v>
      </c>
    </row>
    <row r="719" spans="1:1" x14ac:dyDescent="0.25">
      <c r="A719">
        <v>999</v>
      </c>
    </row>
    <row r="720" spans="1:1" x14ac:dyDescent="0.25">
      <c r="A720">
        <v>999</v>
      </c>
    </row>
    <row r="721" spans="1:1" x14ac:dyDescent="0.25">
      <c r="A721">
        <v>2</v>
      </c>
    </row>
    <row r="722" spans="1:1" x14ac:dyDescent="0.25">
      <c r="A722">
        <v>1728186</v>
      </c>
    </row>
    <row r="723" spans="1:1" x14ac:dyDescent="0.25">
      <c r="A723">
        <v>796747</v>
      </c>
    </row>
    <row r="724" spans="1:1" x14ac:dyDescent="0.25">
      <c r="A724">
        <v>751502</v>
      </c>
    </row>
    <row r="725" spans="1:1" x14ac:dyDescent="0.25">
      <c r="A725">
        <v>1191095</v>
      </c>
    </row>
    <row r="726" spans="1:1" x14ac:dyDescent="0.25">
      <c r="A726">
        <v>999</v>
      </c>
    </row>
    <row r="727" spans="1:1" x14ac:dyDescent="0.25">
      <c r="A727">
        <v>999</v>
      </c>
    </row>
    <row r="728" spans="1:1" x14ac:dyDescent="0.25">
      <c r="A728">
        <v>0</v>
      </c>
    </row>
    <row r="729" spans="1:1" x14ac:dyDescent="0.25">
      <c r="A729">
        <v>703608</v>
      </c>
    </row>
    <row r="730" spans="1:1" x14ac:dyDescent="0.25">
      <c r="A730">
        <v>0</v>
      </c>
    </row>
    <row r="731" spans="1:1" x14ac:dyDescent="0.25">
      <c r="A731">
        <v>999</v>
      </c>
    </row>
    <row r="732" spans="1:1" x14ac:dyDescent="0.25">
      <c r="A732">
        <v>0</v>
      </c>
    </row>
    <row r="733" spans="1:1" x14ac:dyDescent="0.25">
      <c r="A733">
        <v>999</v>
      </c>
    </row>
    <row r="734" spans="1:1" x14ac:dyDescent="0.25">
      <c r="A734">
        <v>4000000</v>
      </c>
    </row>
    <row r="735" spans="1:1" x14ac:dyDescent="0.25">
      <c r="A735">
        <v>0</v>
      </c>
    </row>
    <row r="736" spans="1:1" x14ac:dyDescent="0.25">
      <c r="A736">
        <v>-236078</v>
      </c>
    </row>
    <row r="737" spans="1:1" x14ac:dyDescent="0.25">
      <c r="A737">
        <v>3763922</v>
      </c>
    </row>
    <row r="738" spans="1:1" x14ac:dyDescent="0.25">
      <c r="A738">
        <v>999</v>
      </c>
    </row>
    <row r="739" spans="1:1" x14ac:dyDescent="0.25">
      <c r="A739">
        <v>999</v>
      </c>
    </row>
    <row r="740" spans="1:1" x14ac:dyDescent="0.25">
      <c r="A740">
        <v>999</v>
      </c>
    </row>
    <row r="741" spans="1:1" x14ac:dyDescent="0.25">
      <c r="A741">
        <v>3</v>
      </c>
    </row>
    <row r="742" spans="1:1" x14ac:dyDescent="0.25">
      <c r="A742">
        <v>2225686</v>
      </c>
    </row>
    <row r="743" spans="1:1" x14ac:dyDescent="0.25">
      <c r="A743">
        <v>231912</v>
      </c>
    </row>
    <row r="744" spans="1:1" x14ac:dyDescent="0.25">
      <c r="A744">
        <v>939937</v>
      </c>
    </row>
    <row r="745" spans="1:1" x14ac:dyDescent="0.25">
      <c r="A745">
        <v>1150000</v>
      </c>
    </row>
    <row r="746" spans="1:1" x14ac:dyDescent="0.25">
      <c r="A746">
        <v>999</v>
      </c>
    </row>
    <row r="747" spans="1:1" x14ac:dyDescent="0.25">
      <c r="A747">
        <v>999</v>
      </c>
    </row>
    <row r="748" spans="1:1" x14ac:dyDescent="0.25">
      <c r="A748">
        <v>0</v>
      </c>
    </row>
    <row r="749" spans="1:1" x14ac:dyDescent="0.25">
      <c r="A749">
        <v>400373</v>
      </c>
    </row>
    <row r="750" spans="1:1" x14ac:dyDescent="0.25">
      <c r="A750">
        <v>238954</v>
      </c>
    </row>
    <row r="751" spans="1:1" x14ac:dyDescent="0.25">
      <c r="A751">
        <v>999</v>
      </c>
    </row>
    <row r="752" spans="1:1" x14ac:dyDescent="0.25">
      <c r="A752">
        <v>0</v>
      </c>
    </row>
    <row r="753" spans="1:1" x14ac:dyDescent="0.25">
      <c r="A753">
        <v>999</v>
      </c>
    </row>
    <row r="754" spans="1:1" x14ac:dyDescent="0.25">
      <c r="A754">
        <v>4000000</v>
      </c>
    </row>
    <row r="755" spans="1:1" x14ac:dyDescent="0.25">
      <c r="A755">
        <v>0</v>
      </c>
    </row>
    <row r="756" spans="1:1" x14ac:dyDescent="0.25">
      <c r="A756">
        <v>-91792</v>
      </c>
    </row>
    <row r="757" spans="1:1" x14ac:dyDescent="0.25">
      <c r="A757">
        <v>3908208</v>
      </c>
    </row>
    <row r="758" spans="1:1" x14ac:dyDescent="0.25">
      <c r="A758">
        <v>999</v>
      </c>
    </row>
    <row r="759" spans="1:1" x14ac:dyDescent="0.25">
      <c r="A759">
        <v>999</v>
      </c>
    </row>
    <row r="760" spans="1:1" x14ac:dyDescent="0.25">
      <c r="A760">
        <v>999</v>
      </c>
    </row>
    <row r="761" spans="1:1" x14ac:dyDescent="0.25">
      <c r="A761">
        <v>4</v>
      </c>
    </row>
    <row r="762" spans="1:1" x14ac:dyDescent="0.25">
      <c r="A762">
        <v>1610498</v>
      </c>
    </row>
    <row r="763" spans="1:1" x14ac:dyDescent="0.25">
      <c r="A763">
        <v>637723</v>
      </c>
    </row>
    <row r="764" spans="1:1" x14ac:dyDescent="0.25">
      <c r="A764">
        <v>720126</v>
      </c>
    </row>
    <row r="765" spans="1:1" x14ac:dyDescent="0.25">
      <c r="A765">
        <v>1322931</v>
      </c>
    </row>
    <row r="766" spans="1:1" x14ac:dyDescent="0.25">
      <c r="A766">
        <v>999</v>
      </c>
    </row>
    <row r="767" spans="1:1" x14ac:dyDescent="0.25">
      <c r="A767">
        <v>999</v>
      </c>
    </row>
    <row r="768" spans="1:1" x14ac:dyDescent="0.25">
      <c r="A768">
        <v>0</v>
      </c>
    </row>
    <row r="769" spans="1:1" x14ac:dyDescent="0.25">
      <c r="A769">
        <v>410688</v>
      </c>
    </row>
    <row r="770" spans="1:1" x14ac:dyDescent="0.25">
      <c r="A770">
        <v>0</v>
      </c>
    </row>
    <row r="771" spans="1:1" x14ac:dyDescent="0.25">
      <c r="A771">
        <v>999</v>
      </c>
    </row>
    <row r="772" spans="1:1" x14ac:dyDescent="0.25">
      <c r="A772">
        <v>0</v>
      </c>
    </row>
    <row r="773" spans="1:1" x14ac:dyDescent="0.25">
      <c r="A773">
        <v>999</v>
      </c>
    </row>
    <row r="774" spans="1:1" x14ac:dyDescent="0.25">
      <c r="A774">
        <v>4000000</v>
      </c>
    </row>
    <row r="775" spans="1:1" x14ac:dyDescent="0.25">
      <c r="A775">
        <v>0</v>
      </c>
    </row>
    <row r="776" spans="1:1" x14ac:dyDescent="0.25">
      <c r="A776">
        <v>-119410</v>
      </c>
    </row>
    <row r="777" spans="1:1" x14ac:dyDescent="0.25">
      <c r="A777">
        <v>3880590</v>
      </c>
    </row>
    <row r="778" spans="1:1" x14ac:dyDescent="0.25">
      <c r="A778">
        <v>999</v>
      </c>
    </row>
    <row r="779" spans="1:1" x14ac:dyDescent="0.25">
      <c r="A779">
        <v>999</v>
      </c>
    </row>
    <row r="780" spans="1:1" x14ac:dyDescent="0.25">
      <c r="A780">
        <v>999</v>
      </c>
    </row>
    <row r="781" spans="1:1" x14ac:dyDescent="0.25">
      <c r="A781">
        <v>5</v>
      </c>
    </row>
    <row r="782" spans="1:1" x14ac:dyDescent="0.25">
      <c r="A782">
        <v>1650498</v>
      </c>
    </row>
    <row r="783" spans="1:1" x14ac:dyDescent="0.25">
      <c r="A783">
        <v>667420</v>
      </c>
    </row>
    <row r="784" spans="1:1" x14ac:dyDescent="0.25">
      <c r="A784">
        <v>823314</v>
      </c>
    </row>
    <row r="785" spans="1:1" x14ac:dyDescent="0.25">
      <c r="A785">
        <v>1360940</v>
      </c>
    </row>
    <row r="786" spans="1:1" x14ac:dyDescent="0.25">
      <c r="A786">
        <v>999</v>
      </c>
    </row>
    <row r="787" spans="1:1" x14ac:dyDescent="0.25">
      <c r="A787">
        <v>999</v>
      </c>
    </row>
    <row r="788" spans="1:1" x14ac:dyDescent="0.25">
      <c r="A788">
        <v>0</v>
      </c>
    </row>
    <row r="789" spans="1:1" x14ac:dyDescent="0.25">
      <c r="A789">
        <v>625393</v>
      </c>
    </row>
    <row r="790" spans="1:1" x14ac:dyDescent="0.25">
      <c r="A790">
        <v>0</v>
      </c>
    </row>
    <row r="791" spans="1:1" x14ac:dyDescent="0.25">
      <c r="A791">
        <v>999</v>
      </c>
    </row>
    <row r="792" spans="1:1" x14ac:dyDescent="0.25">
      <c r="A792">
        <v>0</v>
      </c>
    </row>
    <row r="793" spans="1:1" x14ac:dyDescent="0.25">
      <c r="A793">
        <v>999</v>
      </c>
    </row>
    <row r="794" spans="1:1" x14ac:dyDescent="0.25">
      <c r="A794">
        <v>4000000</v>
      </c>
    </row>
    <row r="795" spans="1:1" x14ac:dyDescent="0.25">
      <c r="A795">
        <v>0</v>
      </c>
    </row>
    <row r="796" spans="1:1" x14ac:dyDescent="0.25">
      <c r="A796">
        <v>-123221</v>
      </c>
    </row>
    <row r="797" spans="1:1" x14ac:dyDescent="0.25">
      <c r="A797">
        <v>3876779</v>
      </c>
    </row>
    <row r="798" spans="1:1" x14ac:dyDescent="0.25">
      <c r="A798">
        <v>999</v>
      </c>
    </row>
    <row r="799" spans="1:1" x14ac:dyDescent="0.25">
      <c r="A799">
        <v>999</v>
      </c>
    </row>
    <row r="800" spans="1:1" x14ac:dyDescent="0.25">
      <c r="A800">
        <v>999</v>
      </c>
    </row>
    <row r="801" spans="1:1" x14ac:dyDescent="0.25">
      <c r="A801">
        <v>6</v>
      </c>
    </row>
    <row r="802" spans="1:1" x14ac:dyDescent="0.25">
      <c r="A802">
        <v>2330874</v>
      </c>
    </row>
    <row r="803" spans="1:1" x14ac:dyDescent="0.25">
      <c r="A803">
        <v>582137</v>
      </c>
    </row>
    <row r="804" spans="1:1" x14ac:dyDescent="0.25">
      <c r="A804">
        <v>1174806</v>
      </c>
    </row>
    <row r="805" spans="1:1" x14ac:dyDescent="0.25">
      <c r="A805">
        <v>1150000</v>
      </c>
    </row>
    <row r="806" spans="1:1" x14ac:dyDescent="0.25">
      <c r="A806">
        <v>999</v>
      </c>
    </row>
    <row r="807" spans="1:1" x14ac:dyDescent="0.25">
      <c r="A807">
        <v>999</v>
      </c>
    </row>
    <row r="808" spans="1:1" x14ac:dyDescent="0.25">
      <c r="A808">
        <v>0</v>
      </c>
    </row>
    <row r="809" spans="1:1" x14ac:dyDescent="0.25">
      <c r="A809">
        <v>299402</v>
      </c>
    </row>
    <row r="810" spans="1:1" x14ac:dyDescent="0.25">
      <c r="A810">
        <v>1256149</v>
      </c>
    </row>
    <row r="811" spans="1:1" x14ac:dyDescent="0.25">
      <c r="A811">
        <v>999</v>
      </c>
    </row>
    <row r="812" spans="1:1" x14ac:dyDescent="0.25">
      <c r="A812">
        <v>0</v>
      </c>
    </row>
    <row r="813" spans="1:1" x14ac:dyDescent="0.25">
      <c r="A813">
        <v>999</v>
      </c>
    </row>
    <row r="814" spans="1:1" x14ac:dyDescent="0.25">
      <c r="A814">
        <v>4000000</v>
      </c>
    </row>
    <row r="815" spans="1:1" x14ac:dyDescent="0.25">
      <c r="A815">
        <v>0</v>
      </c>
    </row>
    <row r="816" spans="1:1" x14ac:dyDescent="0.25">
      <c r="A816">
        <v>-317734</v>
      </c>
    </row>
    <row r="817" spans="1:1" x14ac:dyDescent="0.25">
      <c r="A817">
        <v>3682266</v>
      </c>
    </row>
    <row r="818" spans="1:1" x14ac:dyDescent="0.25">
      <c r="A818">
        <v>999</v>
      </c>
    </row>
    <row r="819" spans="1:1" x14ac:dyDescent="0.25">
      <c r="A819">
        <v>999</v>
      </c>
    </row>
    <row r="820" spans="1:1" x14ac:dyDescent="0.25">
      <c r="A820">
        <v>999</v>
      </c>
    </row>
    <row r="821" spans="1:1" x14ac:dyDescent="0.25">
      <c r="A821">
        <v>7</v>
      </c>
    </row>
    <row r="822" spans="1:1" x14ac:dyDescent="0.25">
      <c r="A822">
        <v>1678186</v>
      </c>
    </row>
    <row r="823" spans="1:1" x14ac:dyDescent="0.25">
      <c r="A823">
        <v>207495</v>
      </c>
    </row>
    <row r="824" spans="1:1" x14ac:dyDescent="0.25">
      <c r="A824">
        <v>824059</v>
      </c>
    </row>
    <row r="825" spans="1:1" x14ac:dyDescent="0.25">
      <c r="A825">
        <v>1726103</v>
      </c>
    </row>
    <row r="826" spans="1:1" x14ac:dyDescent="0.25">
      <c r="A826">
        <v>999</v>
      </c>
    </row>
    <row r="827" spans="1:1" x14ac:dyDescent="0.25">
      <c r="A827">
        <v>999</v>
      </c>
    </row>
    <row r="828" spans="1:1" x14ac:dyDescent="0.25">
      <c r="A828">
        <v>0</v>
      </c>
    </row>
    <row r="829" spans="1:1" x14ac:dyDescent="0.25">
      <c r="A829">
        <v>472939</v>
      </c>
    </row>
    <row r="830" spans="1:1" x14ac:dyDescent="0.25">
      <c r="A830">
        <v>0</v>
      </c>
    </row>
    <row r="831" spans="1:1" x14ac:dyDescent="0.25">
      <c r="A831">
        <v>999</v>
      </c>
    </row>
    <row r="832" spans="1:1" x14ac:dyDescent="0.25">
      <c r="A832">
        <v>0</v>
      </c>
    </row>
    <row r="833" spans="1:1" x14ac:dyDescent="0.25">
      <c r="A833">
        <v>999</v>
      </c>
    </row>
    <row r="834" spans="1:1" x14ac:dyDescent="0.25">
      <c r="A834">
        <v>4000000</v>
      </c>
    </row>
    <row r="835" spans="1:1" x14ac:dyDescent="0.25">
      <c r="A835">
        <v>0</v>
      </c>
    </row>
    <row r="836" spans="1:1" x14ac:dyDescent="0.25">
      <c r="A836">
        <v>-37096</v>
      </c>
    </row>
    <row r="837" spans="1:1" x14ac:dyDescent="0.25">
      <c r="A837">
        <v>3962904</v>
      </c>
    </row>
    <row r="838" spans="1:1" x14ac:dyDescent="0.25">
      <c r="A838">
        <v>999</v>
      </c>
    </row>
    <row r="839" spans="1:1" x14ac:dyDescent="0.25">
      <c r="A839">
        <v>999</v>
      </c>
    </row>
    <row r="840" spans="1:1" x14ac:dyDescent="0.25">
      <c r="A840">
        <v>999</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5">
    <tabColor theme="5" tint="0.39997558519241921"/>
    <pageSetUpPr fitToPage="1"/>
  </sheetPr>
  <dimension ref="B1:Y55"/>
  <sheetViews>
    <sheetView workbookViewId="0">
      <selection activeCell="O5" sqref="O5"/>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LEFT(TRIM('85'!A699),4)</f>
        <v xml:space="preserve">032 </v>
      </c>
      <c r="W1" t="str">
        <f>RIGHT(TRIM('85'!A699),10)</f>
        <v>20/10/2017</v>
      </c>
    </row>
    <row r="2" spans="2:25" ht="33" x14ac:dyDescent="0.6">
      <c r="G2" s="157" t="s">
        <v>82</v>
      </c>
      <c r="H2" s="156"/>
    </row>
    <row r="3" spans="2:25" x14ac:dyDescent="0.25">
      <c r="B3" t="str">
        <f>'85'!A861</f>
        <v>Carlos  Sanz Garz≤n</v>
      </c>
      <c r="C3" s="506"/>
      <c r="V3" s="158" t="s">
        <v>83</v>
      </c>
      <c r="W3" s="159" t="str">
        <f>'85'!A6</f>
        <v xml:space="preserve">  17C1</v>
      </c>
    </row>
    <row r="4" spans="2:25" x14ac:dyDescent="0.25">
      <c r="B4" t="str">
        <f>'85'!A862</f>
        <v>Acme</v>
      </c>
      <c r="C4" s="506"/>
    </row>
    <row r="5" spans="2:25" ht="17.399999999999999" x14ac:dyDescent="0.3">
      <c r="B5">
        <f>'85'!A863</f>
        <v>0</v>
      </c>
      <c r="H5" s="160" t="s">
        <v>85</v>
      </c>
      <c r="J5" s="161"/>
      <c r="K5" s="161"/>
      <c r="L5" s="162">
        <f>'85'!$A1</f>
        <v>8</v>
      </c>
      <c r="M5" s="160" t="s">
        <v>84</v>
      </c>
      <c r="N5" s="160"/>
      <c r="O5" s="162">
        <f>'85'!$A2</f>
        <v>2</v>
      </c>
      <c r="P5" s="161"/>
      <c r="Q5" s="161"/>
      <c r="S5" s="163"/>
      <c r="T5" s="164"/>
      <c r="U5" s="163"/>
      <c r="V5" s="163"/>
    </row>
    <row r="6" spans="2:25" x14ac:dyDescent="0.25">
      <c r="B6">
        <f>'85'!A864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'85'!$A4</f>
        <v>2018</v>
      </c>
      <c r="Q9" s="164"/>
      <c r="R9" s="171" t="s">
        <v>80</v>
      </c>
      <c r="S9" s="172">
        <f>'85'!$A5</f>
        <v>1</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'85'!A7</f>
        <v>20</v>
      </c>
      <c r="F14" s="196">
        <f>'85'!A11</f>
        <v>6</v>
      </c>
      <c r="G14" s="197"/>
      <c r="H14" s="196">
        <f>'85'!A14</f>
        <v>6</v>
      </c>
      <c r="I14" s="198"/>
      <c r="J14" s="196">
        <f>'85'!A17</f>
        <v>5</v>
      </c>
      <c r="K14" s="198"/>
      <c r="L14" s="40"/>
      <c r="M14" s="182"/>
      <c r="N14" s="182" t="s">
        <v>36</v>
      </c>
      <c r="O14" s="182"/>
      <c r="P14" s="201">
        <f>'85'!A61</f>
        <v>6</v>
      </c>
      <c r="Q14" s="200" t="str">
        <f>'85'!B61</f>
        <v>*</v>
      </c>
      <c r="R14" s="190"/>
      <c r="S14" s="175"/>
      <c r="T14" s="201">
        <f>'85'!A62</f>
        <v>10</v>
      </c>
      <c r="U14" s="200">
        <f>'85'!B62</f>
        <v>0</v>
      </c>
      <c r="V14" s="175"/>
      <c r="W14" s="201">
        <f>'85'!A63</f>
        <v>8</v>
      </c>
      <c r="X14" s="202"/>
      <c r="Y14" s="179"/>
    </row>
    <row r="15" spans="2:25" x14ac:dyDescent="0.25">
      <c r="B15" s="168"/>
      <c r="C15" s="40"/>
      <c r="D15" s="40" t="s">
        <v>5</v>
      </c>
      <c r="E15" s="203">
        <f>'85'!A8</f>
        <v>15</v>
      </c>
      <c r="F15" s="196">
        <f>'85'!A12</f>
        <v>6</v>
      </c>
      <c r="G15" s="204"/>
      <c r="H15" s="196">
        <f>'85'!A15</f>
        <v>7</v>
      </c>
      <c r="I15" s="205"/>
      <c r="J15" s="196">
        <f>'85'!A18</f>
        <v>7</v>
      </c>
      <c r="K15" s="205"/>
      <c r="L15" s="40"/>
      <c r="M15" s="182"/>
      <c r="N15" s="182" t="s">
        <v>38</v>
      </c>
      <c r="O15" s="182"/>
      <c r="P15" s="193">
        <f>'85'!A64</f>
        <v>4</v>
      </c>
      <c r="Q15" s="189">
        <f>'85'!B64</f>
        <v>0</v>
      </c>
      <c r="R15" s="190"/>
      <c r="S15" s="175"/>
      <c r="T15" s="199">
        <f>'85'!A65</f>
        <v>10</v>
      </c>
      <c r="U15" s="206">
        <f>'85'!B65</f>
        <v>0</v>
      </c>
      <c r="V15" s="175"/>
      <c r="W15" s="207">
        <f>'85'!A66</f>
        <v>8</v>
      </c>
      <c r="X15" s="206"/>
      <c r="Y15" s="179"/>
    </row>
    <row r="16" spans="2:25" x14ac:dyDescent="0.25">
      <c r="B16" s="168"/>
      <c r="C16" s="40"/>
      <c r="D16" s="40" t="s">
        <v>6</v>
      </c>
      <c r="E16" s="208">
        <f>'85'!A9</f>
        <v>20</v>
      </c>
      <c r="F16" s="209">
        <f>'85'!A13</f>
        <v>7</v>
      </c>
      <c r="G16" s="210"/>
      <c r="H16" s="209">
        <f>'85'!A16</f>
        <v>7</v>
      </c>
      <c r="I16" s="189"/>
      <c r="J16" s="209">
        <f>'85'!A19</f>
        <v>7</v>
      </c>
      <c r="K16" s="189"/>
      <c r="L16" s="40"/>
      <c r="M16" s="182"/>
      <c r="N16" s="182" t="s">
        <v>40</v>
      </c>
      <c r="O16" s="182"/>
      <c r="P16" s="187"/>
      <c r="Q16" s="182"/>
      <c r="R16" s="182"/>
      <c r="S16" s="175"/>
      <c r="T16" s="193">
        <f>'85'!A68</f>
        <v>12</v>
      </c>
      <c r="U16" s="211">
        <f>'85'!B68</f>
        <v>0</v>
      </c>
      <c r="V16" s="175"/>
      <c r="W16" s="212">
        <f>'85'!A69</f>
        <v>8</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'85'!A21</f>
        <v>343</v>
      </c>
      <c r="G19" s="206">
        <f>'85'!B21</f>
        <v>0</v>
      </c>
      <c r="H19" s="218">
        <f>'85'!A24</f>
        <v>492</v>
      </c>
      <c r="I19" s="200">
        <f>'85'!B24</f>
        <v>0</v>
      </c>
      <c r="J19" s="218">
        <f>'85'!A27</f>
        <v>712</v>
      </c>
      <c r="K19" s="200">
        <f>'85'!B27</f>
        <v>0</v>
      </c>
      <c r="L19" s="40"/>
      <c r="M19" s="182" t="s">
        <v>50</v>
      </c>
      <c r="N19" s="182"/>
      <c r="O19" s="187" t="s">
        <v>51</v>
      </c>
      <c r="P19" s="219">
        <f>'85'!A57</f>
        <v>2</v>
      </c>
      <c r="Q19" s="220"/>
      <c r="R19" s="182"/>
      <c r="S19" s="216" t="s">
        <v>74</v>
      </c>
      <c r="T19" s="221">
        <f>'85'!A58</f>
        <v>3</v>
      </c>
      <c r="U19" s="220"/>
      <c r="V19" s="217" t="s">
        <v>75</v>
      </c>
      <c r="W19" s="219">
        <f>'85'!A59</f>
        <v>4</v>
      </c>
      <c r="X19" s="222"/>
      <c r="Y19" s="179"/>
    </row>
    <row r="20" spans="2:25" x14ac:dyDescent="0.25">
      <c r="B20" s="168"/>
      <c r="C20" s="40"/>
      <c r="D20" s="40" t="s">
        <v>5</v>
      </c>
      <c r="E20" s="40"/>
      <c r="F20" s="199">
        <f>'85'!A22</f>
        <v>330</v>
      </c>
      <c r="G20" s="206">
        <f>'85'!B22</f>
        <v>0</v>
      </c>
      <c r="H20" s="196">
        <f>'85'!A25</f>
        <v>490</v>
      </c>
      <c r="I20" s="206">
        <f>'85'!B25</f>
        <v>0</v>
      </c>
      <c r="J20" s="196">
        <f>'85'!A28</f>
        <v>720</v>
      </c>
      <c r="K20" s="206">
        <f>'85'!B28</f>
        <v>0</v>
      </c>
      <c r="L20" s="40"/>
      <c r="M20" s="224" t="s">
        <v>52</v>
      </c>
      <c r="N20" s="223"/>
      <c r="O20" s="224"/>
      <c r="P20" s="199">
        <f>'85'!A75</f>
        <v>25</v>
      </c>
      <c r="Q20" s="225"/>
      <c r="R20" s="224"/>
      <c r="S20" s="182" t="s">
        <v>65</v>
      </c>
      <c r="T20" s="226"/>
      <c r="U20" s="227"/>
      <c r="V20" s="226"/>
      <c r="W20" s="199">
        <f>'85'!A76</f>
        <v>2</v>
      </c>
      <c r="X20" s="202"/>
      <c r="Y20" s="179"/>
    </row>
    <row r="21" spans="2:25" x14ac:dyDescent="0.25">
      <c r="B21" s="168"/>
      <c r="C21" s="40"/>
      <c r="D21" s="40" t="s">
        <v>6</v>
      </c>
      <c r="E21" s="40"/>
      <c r="F21" s="193">
        <f>'85'!A23</f>
        <v>365</v>
      </c>
      <c r="G21" s="211">
        <f>'85'!B23</f>
        <v>0</v>
      </c>
      <c r="H21" s="209">
        <f>'85'!A26</f>
        <v>580</v>
      </c>
      <c r="I21" s="211">
        <f>'85'!B26</f>
        <v>0</v>
      </c>
      <c r="J21" s="209">
        <f>'85'!A29</f>
        <v>855</v>
      </c>
      <c r="K21" s="211">
        <f>'85'!B29</f>
        <v>0</v>
      </c>
      <c r="L21" s="40"/>
      <c r="M21" s="182" t="s">
        <v>53</v>
      </c>
      <c r="N21" s="175"/>
      <c r="O21" s="182"/>
      <c r="P21" s="193">
        <f>'85'!A77</f>
        <v>9</v>
      </c>
      <c r="Q21" s="228"/>
      <c r="R21" s="196"/>
      <c r="S21" s="182" t="s">
        <v>66</v>
      </c>
      <c r="T21" s="182"/>
      <c r="U21" s="182"/>
      <c r="V21" s="182"/>
      <c r="W21" s="193">
        <f>'85'!A78</f>
        <v>18</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'85'!A31</f>
        <v>1108</v>
      </c>
      <c r="G24" s="200" t="str">
        <f>'85'!B31</f>
        <v>*</v>
      </c>
      <c r="H24" s="218">
        <f>'85'!A34</f>
        <v>815</v>
      </c>
      <c r="I24" s="200" t="str">
        <f>'85'!B34</f>
        <v>*</v>
      </c>
      <c r="J24" s="218">
        <f>'85'!A37</f>
        <v>430</v>
      </c>
      <c r="K24" s="200" t="str">
        <f>'85'!B37</f>
        <v>*</v>
      </c>
      <c r="L24" s="40"/>
      <c r="M24" s="182" t="s">
        <v>55</v>
      </c>
      <c r="N24" s="182"/>
      <c r="O24" s="182"/>
      <c r="P24" s="201">
        <f>'85'!A81</f>
        <v>2</v>
      </c>
      <c r="Q24" s="206">
        <f>'85'!B81</f>
        <v>0</v>
      </c>
      <c r="R24" s="196"/>
      <c r="S24" s="182" t="s">
        <v>67</v>
      </c>
      <c r="T24" s="182"/>
      <c r="U24" s="182"/>
      <c r="V24" s="182"/>
      <c r="W24" s="219">
        <f>'85'!A82</f>
        <v>5</v>
      </c>
      <c r="X24" s="222">
        <f>'85'!B82</f>
        <v>0</v>
      </c>
      <c r="Y24" s="179"/>
    </row>
    <row r="25" spans="2:25" x14ac:dyDescent="0.25">
      <c r="B25" s="168"/>
      <c r="C25" s="40" t="s">
        <v>37</v>
      </c>
      <c r="D25" s="40" t="s">
        <v>38</v>
      </c>
      <c r="E25" s="40"/>
      <c r="F25" s="199">
        <f>'85'!A32</f>
        <v>300</v>
      </c>
      <c r="G25" s="206" t="str">
        <f>'85'!B32</f>
        <v>*</v>
      </c>
      <c r="H25" s="196">
        <f>'85'!A35</f>
        <v>300</v>
      </c>
      <c r="I25" s="206" t="str">
        <f>'85'!B35</f>
        <v>*</v>
      </c>
      <c r="J25" s="196">
        <f>'85'!A38</f>
        <v>150</v>
      </c>
      <c r="K25" s="206" t="str">
        <f>'85'!B38</f>
        <v>*</v>
      </c>
      <c r="L25" s="40"/>
      <c r="M25" s="182" t="s">
        <v>56</v>
      </c>
      <c r="N25" s="182"/>
      <c r="O25" s="182"/>
      <c r="P25" s="230">
        <f>'85'!A83/100</f>
        <v>12.8</v>
      </c>
      <c r="Q25" s="206">
        <f>'85'!B83</f>
        <v>0</v>
      </c>
      <c r="R25" s="196"/>
      <c r="S25" s="175"/>
      <c r="T25" s="182"/>
      <c r="U25" s="182"/>
      <c r="V25" s="182"/>
      <c r="W25" s="196"/>
      <c r="X25" s="184"/>
      <c r="Y25" s="179"/>
    </row>
    <row r="26" spans="2:25" x14ac:dyDescent="0.25">
      <c r="B26" s="168"/>
      <c r="C26" s="40" t="s">
        <v>39</v>
      </c>
      <c r="D26" s="40" t="s">
        <v>40</v>
      </c>
      <c r="E26" s="40"/>
      <c r="F26" s="193">
        <f>'85'!A33</f>
        <v>1200</v>
      </c>
      <c r="G26" s="211" t="str">
        <f>'85'!B33</f>
        <v>*</v>
      </c>
      <c r="H26" s="209">
        <f>'85'!A36</f>
        <v>900</v>
      </c>
      <c r="I26" s="211" t="str">
        <f>'85'!B36</f>
        <v>*</v>
      </c>
      <c r="J26" s="193">
        <f>'85'!A39</f>
        <v>400</v>
      </c>
      <c r="K26" s="211" t="str">
        <f>'85'!B39</f>
        <v>*</v>
      </c>
      <c r="L26" s="40"/>
      <c r="M26" s="182" t="s">
        <v>57</v>
      </c>
      <c r="N26" s="182"/>
      <c r="O26" s="182"/>
      <c r="P26" s="193">
        <f>'85'!A85</f>
        <v>90</v>
      </c>
      <c r="Q26" s="211">
        <f>'85'!B85</f>
        <v>0</v>
      </c>
      <c r="R26" s="231"/>
      <c r="S26" s="182" t="s">
        <v>515</v>
      </c>
      <c r="T26" s="175"/>
      <c r="U26" s="182"/>
      <c r="V26" s="182"/>
      <c r="W26" s="219">
        <f>'85'!A86</f>
        <v>10</v>
      </c>
      <c r="X26" s="232">
        <f>'85'!B86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'85'!A41</f>
        <v>1</v>
      </c>
      <c r="G29" s="198"/>
      <c r="H29" s="218">
        <f>'85'!A42</f>
        <v>1</v>
      </c>
      <c r="I29" s="198"/>
      <c r="J29" s="218">
        <f>'85'!A43</f>
        <v>1</v>
      </c>
      <c r="K29" s="237"/>
      <c r="L29" s="40"/>
      <c r="M29" s="182" t="s">
        <v>59</v>
      </c>
      <c r="N29" s="182"/>
      <c r="O29" s="182"/>
      <c r="P29" s="201">
        <f>'85'!A91</f>
        <v>0</v>
      </c>
      <c r="Q29" s="206">
        <f>'85'!B91</f>
        <v>0</v>
      </c>
      <c r="R29" s="196"/>
      <c r="S29" s="182" t="s">
        <v>69</v>
      </c>
      <c r="T29" s="182"/>
      <c r="U29" s="182"/>
      <c r="V29" s="182"/>
      <c r="W29" s="201">
        <f>'85'!A92</f>
        <v>0</v>
      </c>
      <c r="X29" s="200" t="str">
        <f>'85'!B92</f>
        <v>*</v>
      </c>
      <c r="Y29" s="179"/>
    </row>
    <row r="30" spans="2:25" x14ac:dyDescent="0.25">
      <c r="B30" s="168"/>
      <c r="C30" s="40" t="s">
        <v>43</v>
      </c>
      <c r="D30" s="40"/>
      <c r="E30" s="196"/>
      <c r="F30" s="199">
        <f>'85'!A44</f>
        <v>47</v>
      </c>
      <c r="G30" s="205"/>
      <c r="H30" s="196">
        <f>'85'!A45</f>
        <v>37</v>
      </c>
      <c r="I30" s="205"/>
      <c r="J30" s="196">
        <f>'85'!A46</f>
        <v>32</v>
      </c>
      <c r="K30" s="179"/>
      <c r="L30" s="40"/>
      <c r="M30" s="182" t="s">
        <v>60</v>
      </c>
      <c r="N30" s="182"/>
      <c r="O30" s="182"/>
      <c r="P30" s="199">
        <f>'85'!A93</f>
        <v>0</v>
      </c>
      <c r="Q30" s="206">
        <f>'85'!B93</f>
        <v>0</v>
      </c>
      <c r="R30" s="196"/>
      <c r="S30" s="175" t="s">
        <v>70</v>
      </c>
      <c r="T30" s="182"/>
      <c r="U30" s="182"/>
      <c r="V30" s="182"/>
      <c r="W30" s="199">
        <f>'85'!A94</f>
        <v>0</v>
      </c>
      <c r="X30" s="206">
        <f>'85'!B94</f>
        <v>0</v>
      </c>
      <c r="Y30" s="179"/>
    </row>
    <row r="31" spans="2:25" x14ac:dyDescent="0.25">
      <c r="B31" s="168"/>
      <c r="C31" s="40" t="s">
        <v>44</v>
      </c>
      <c r="D31" s="175"/>
      <c r="E31" s="175"/>
      <c r="F31" s="199">
        <f>'85'!A47</f>
        <v>120</v>
      </c>
      <c r="G31" s="202"/>
      <c r="H31" s="199">
        <f>'85'!A48</f>
        <v>170</v>
      </c>
      <c r="I31" s="202"/>
      <c r="J31" s="199">
        <f>'85'!A49</f>
        <v>330</v>
      </c>
      <c r="K31" s="202"/>
      <c r="L31" s="40"/>
      <c r="M31" s="182" t="s">
        <v>61</v>
      </c>
      <c r="N31" s="182"/>
      <c r="O31" s="182"/>
      <c r="P31" s="199">
        <f>'85'!A73</f>
        <v>0</v>
      </c>
      <c r="Q31" s="206">
        <f>'85'!B73</f>
        <v>0</v>
      </c>
      <c r="R31" s="196"/>
      <c r="S31" s="182" t="s">
        <v>71</v>
      </c>
      <c r="T31" s="182"/>
      <c r="U31" s="182"/>
      <c r="V31" s="182"/>
      <c r="W31" s="199">
        <f>'85'!A74</f>
        <v>0</v>
      </c>
      <c r="X31" s="206">
        <f>'85'!B74</f>
        <v>0</v>
      </c>
      <c r="Y31" s="179"/>
    </row>
    <row r="32" spans="2:25" x14ac:dyDescent="0.25">
      <c r="B32" s="168"/>
      <c r="C32" s="269" t="s">
        <v>45</v>
      </c>
      <c r="D32" s="40"/>
      <c r="E32" s="196"/>
      <c r="F32" s="193">
        <f>'85'!A51</f>
        <v>7</v>
      </c>
      <c r="G32" s="211">
        <f>'85'!B51</f>
        <v>0</v>
      </c>
      <c r="H32" s="209">
        <f>'85'!A52</f>
        <v>7</v>
      </c>
      <c r="I32" s="211">
        <f>'85'!B52</f>
        <v>0</v>
      </c>
      <c r="J32" s="209">
        <f>'85'!A53</f>
        <v>10</v>
      </c>
      <c r="K32" s="211">
        <f>'85'!B53</f>
        <v>0</v>
      </c>
      <c r="L32" s="40"/>
      <c r="M32" s="44" t="s">
        <v>62</v>
      </c>
      <c r="N32" s="182"/>
      <c r="O32" s="182"/>
      <c r="P32" s="193">
        <f>'85'!A72</f>
        <v>50</v>
      </c>
      <c r="Q32" s="211">
        <f>'85'!B72</f>
        <v>0</v>
      </c>
      <c r="R32" s="196"/>
      <c r="S32" s="182" t="s">
        <v>72</v>
      </c>
      <c r="T32" s="182"/>
      <c r="U32" s="182"/>
      <c r="V32" s="182"/>
      <c r="W32" s="193">
        <f>'85'!A99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'85'!A54</f>
        <v>1000</v>
      </c>
      <c r="G35" s="238">
        <f>'85'!B54</f>
        <v>0</v>
      </c>
      <c r="H35" s="188">
        <f>'85'!A55</f>
        <v>1000</v>
      </c>
      <c r="I35" s="238">
        <f>'85'!B55</f>
        <v>0</v>
      </c>
      <c r="J35" s="188">
        <f>'85'!A56</f>
        <v>500</v>
      </c>
      <c r="K35" s="238">
        <f>'85'!B56</f>
        <v>0</v>
      </c>
      <c r="L35" s="40"/>
      <c r="M35" s="182" t="s">
        <v>64</v>
      </c>
      <c r="N35" s="182"/>
      <c r="O35" s="182"/>
      <c r="P35" s="219">
        <f>'85'!A97</f>
        <v>1</v>
      </c>
      <c r="Q35" s="239"/>
      <c r="R35" s="182"/>
      <c r="S35" s="182" t="s">
        <v>73</v>
      </c>
      <c r="T35" s="182"/>
      <c r="U35" s="182"/>
      <c r="V35" s="182"/>
      <c r="W35" s="219">
        <f>'85'!A98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9">
    <tabColor theme="5" tint="0.39997558519241921"/>
    <pageSetUpPr fitToPage="1"/>
  </sheetPr>
  <dimension ref="A1:AL65"/>
  <sheetViews>
    <sheetView topLeftCell="A17" workbookViewId="0">
      <selection activeCell="K16" sqref="K16"/>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'85'!A1</f>
        <v>8</v>
      </c>
      <c r="F1" s="512" t="s">
        <v>87</v>
      </c>
      <c r="H1" s="172">
        <f>'85'!A2</f>
        <v>2</v>
      </c>
      <c r="M1" s="513" t="s">
        <v>88</v>
      </c>
      <c r="T1" s="170" t="s">
        <v>81</v>
      </c>
      <c r="U1" s="172">
        <f>'85'!A4</f>
        <v>2018</v>
      </c>
      <c r="V1" s="164"/>
      <c r="W1" s="171" t="s">
        <v>80</v>
      </c>
      <c r="X1" s="172">
        <f>'85'!A5</f>
        <v>1</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'85'!A108</f>
        <v>2364</v>
      </c>
      <c r="V6" s="251"/>
      <c r="W6" s="196">
        <f>'85'!A109</f>
        <v>1835</v>
      </c>
      <c r="X6" s="182"/>
      <c r="Y6" s="199">
        <f>'85'!A110</f>
        <v>882</v>
      </c>
      <c r="Z6" s="182"/>
      <c r="AA6" s="179"/>
      <c r="AC6" s="40"/>
      <c r="AD6" s="40"/>
      <c r="AE6" s="40"/>
      <c r="AF6" s="196"/>
      <c r="AG6" s="182"/>
      <c r="AH6" s="196"/>
      <c r="AI6" s="182"/>
      <c r="AJ6" s="196"/>
      <c r="AK6" s="182"/>
      <c r="AL6" s="40"/>
    </row>
    <row r="7" spans="2:38" x14ac:dyDescent="0.2">
      <c r="B7" s="244"/>
      <c r="C7" s="175" t="s">
        <v>91</v>
      </c>
      <c r="F7" s="40"/>
      <c r="G7" s="252">
        <f>'85'!A281</f>
        <v>1000</v>
      </c>
      <c r="H7" s="179"/>
      <c r="I7" s="40"/>
      <c r="J7" s="244"/>
      <c r="K7" s="40" t="s">
        <v>129</v>
      </c>
      <c r="L7" s="40"/>
      <c r="M7" s="40"/>
      <c r="N7" s="253">
        <f>'85'!A191</f>
        <v>33</v>
      </c>
      <c r="O7" s="253">
        <f>'85'!A192</f>
        <v>35</v>
      </c>
      <c r="P7" s="179"/>
      <c r="R7" s="244"/>
      <c r="S7" s="40" t="s">
        <v>161</v>
      </c>
      <c r="T7" s="40"/>
      <c r="U7" s="199">
        <f>'85'!A111</f>
        <v>2494</v>
      </c>
      <c r="V7" s="251"/>
      <c r="W7" s="196">
        <f>'85'!A112</f>
        <v>1947</v>
      </c>
      <c r="X7" s="182"/>
      <c r="Y7" s="199">
        <f>'85'!A113</f>
        <v>909</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'85'!A193</f>
        <v>2</v>
      </c>
      <c r="O8" s="253">
        <f>'85'!A194</f>
        <v>5</v>
      </c>
      <c r="P8" s="179"/>
      <c r="R8" s="244"/>
      <c r="S8" s="40" t="s">
        <v>162</v>
      </c>
      <c r="T8" s="40"/>
      <c r="U8" s="199">
        <f>'85'!A114</f>
        <v>68</v>
      </c>
      <c r="V8" s="251"/>
      <c r="W8" s="196">
        <f>'85'!A115</f>
        <v>57</v>
      </c>
      <c r="X8" s="182"/>
      <c r="Y8" s="199">
        <f>'85'!A116</f>
        <v>27</v>
      </c>
      <c r="Z8" s="182"/>
      <c r="AA8" s="179"/>
      <c r="AC8" s="40"/>
      <c r="AD8" s="40"/>
      <c r="AE8" s="40"/>
      <c r="AF8" s="196"/>
      <c r="AG8" s="182"/>
      <c r="AH8" s="196"/>
      <c r="AI8" s="182"/>
      <c r="AJ8" s="196"/>
      <c r="AK8" s="182"/>
      <c r="AL8" s="40"/>
    </row>
    <row r="9" spans="2:38" x14ac:dyDescent="0.2">
      <c r="B9" s="244"/>
      <c r="C9" s="175" t="s">
        <v>93</v>
      </c>
      <c r="F9" s="40"/>
      <c r="G9" s="252">
        <f>G7-G8-G10</f>
        <v>0</v>
      </c>
      <c r="H9" s="179"/>
      <c r="I9" s="40"/>
      <c r="J9" s="244"/>
      <c r="K9" s="40" t="s">
        <v>131</v>
      </c>
      <c r="L9" s="40"/>
      <c r="M9" s="40"/>
      <c r="N9" s="253">
        <f>'85'!A82</f>
        <v>5</v>
      </c>
      <c r="O9" s="253"/>
      <c r="P9" s="179"/>
      <c r="R9" s="244"/>
      <c r="S9" s="40" t="s">
        <v>163</v>
      </c>
      <c r="T9" s="40"/>
      <c r="U9" s="199">
        <f>'85'!A117</f>
        <v>62</v>
      </c>
      <c r="V9" s="254" t="str">
        <f>'85'!B117</f>
        <v>!</v>
      </c>
      <c r="W9" s="196">
        <f>'85'!A118</f>
        <v>55</v>
      </c>
      <c r="X9" s="184" t="str">
        <f>'85'!B118</f>
        <v>!</v>
      </c>
      <c r="Y9" s="199">
        <f>'85'!A119</f>
        <v>0</v>
      </c>
      <c r="Z9" s="184">
        <f>'85'!B119</f>
        <v>0</v>
      </c>
      <c r="AA9" s="179"/>
      <c r="AC9" s="40"/>
      <c r="AD9" s="40"/>
      <c r="AE9" s="40"/>
      <c r="AF9" s="196"/>
      <c r="AG9" s="184"/>
      <c r="AH9" s="196"/>
      <c r="AI9" s="184"/>
      <c r="AJ9" s="196"/>
      <c r="AK9" s="184"/>
      <c r="AL9" s="40"/>
    </row>
    <row r="10" spans="2:38" x14ac:dyDescent="0.2">
      <c r="B10" s="244"/>
      <c r="C10" s="175" t="s">
        <v>94</v>
      </c>
      <c r="F10" s="40"/>
      <c r="G10" s="252">
        <f>'85'!A284</f>
        <v>800</v>
      </c>
      <c r="H10" s="179"/>
      <c r="I10" s="40"/>
      <c r="J10" s="244"/>
      <c r="K10" s="182" t="s">
        <v>132</v>
      </c>
      <c r="L10" s="40"/>
      <c r="M10" s="40"/>
      <c r="N10" s="253">
        <f>'85'!A195</f>
        <v>0</v>
      </c>
      <c r="O10" s="253">
        <f>'85'!A196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200</v>
      </c>
      <c r="H11" s="179"/>
      <c r="I11" s="40"/>
      <c r="J11" s="244"/>
      <c r="K11" s="182" t="s">
        <v>133</v>
      </c>
      <c r="L11" s="40"/>
      <c r="M11" s="40"/>
      <c r="N11" s="253">
        <f>N7+N8+N9-N10-N12</f>
        <v>2</v>
      </c>
      <c r="O11" s="253">
        <f>O7+O8+O9-O10-O12</f>
        <v>10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'85'!A285</f>
        <v>125</v>
      </c>
      <c r="H12" s="179"/>
      <c r="I12" s="40"/>
      <c r="J12" s="244"/>
      <c r="K12" s="40" t="s">
        <v>134</v>
      </c>
      <c r="L12" s="40"/>
      <c r="M12" s="40"/>
      <c r="N12" s="255">
        <f>'85'!A197</f>
        <v>38</v>
      </c>
      <c r="O12" s="255">
        <f>'85'!A198</f>
        <v>30</v>
      </c>
      <c r="P12" s="179"/>
      <c r="R12" s="244"/>
      <c r="S12" s="182" t="s">
        <v>165</v>
      </c>
      <c r="T12" s="40"/>
      <c r="U12" s="199">
        <f>'85'!A121</f>
        <v>1004</v>
      </c>
      <c r="V12" s="251"/>
      <c r="W12" s="199">
        <f>'85'!A124</f>
        <v>742</v>
      </c>
      <c r="X12" s="182"/>
      <c r="Y12" s="199">
        <f>'85'!A127</f>
        <v>387</v>
      </c>
      <c r="Z12" s="182"/>
      <c r="AA12" s="179"/>
      <c r="AC12" s="40"/>
      <c r="AD12" s="182"/>
      <c r="AE12" s="40"/>
      <c r="AF12" s="196"/>
      <c r="AG12" s="182"/>
      <c r="AH12" s="196"/>
      <c r="AI12" s="182"/>
      <c r="AJ12" s="196"/>
      <c r="AK12" s="182"/>
      <c r="AL12" s="40"/>
    </row>
    <row r="13" spans="2:38" ht="13.2" x14ac:dyDescent="0.3">
      <c r="B13" s="244"/>
      <c r="C13" s="175" t="s">
        <v>97</v>
      </c>
      <c r="F13" s="40"/>
      <c r="G13" s="252">
        <f>'85'!A286</f>
        <v>380</v>
      </c>
      <c r="H13" s="179"/>
      <c r="I13" s="40"/>
      <c r="J13" s="245"/>
      <c r="K13" s="214"/>
      <c r="L13" s="214"/>
      <c r="M13" s="214"/>
      <c r="N13" s="214"/>
      <c r="O13" s="214"/>
      <c r="P13" s="229"/>
      <c r="R13" s="244"/>
      <c r="S13" s="256" t="s">
        <v>166</v>
      </c>
      <c r="T13" s="40"/>
      <c r="U13" s="199">
        <f>'85'!A122</f>
        <v>272</v>
      </c>
      <c r="V13" s="251"/>
      <c r="W13" s="199">
        <f>'85'!A125</f>
        <v>273</v>
      </c>
      <c r="X13" s="182"/>
      <c r="Y13" s="199">
        <f>'85'!A128</f>
        <v>135</v>
      </c>
      <c r="Z13" s="182"/>
      <c r="AA13" s="179"/>
      <c r="AC13" s="40"/>
      <c r="AD13" s="256"/>
      <c r="AE13" s="40"/>
      <c r="AF13" s="196"/>
      <c r="AG13" s="182"/>
      <c r="AH13" s="196"/>
      <c r="AI13" s="182"/>
      <c r="AJ13" s="196"/>
      <c r="AK13" s="182"/>
      <c r="AL13" s="40"/>
    </row>
    <row r="14" spans="2:38" x14ac:dyDescent="0.2">
      <c r="B14" s="244"/>
      <c r="C14" s="175" t="s">
        <v>98</v>
      </c>
      <c r="F14" s="40"/>
      <c r="G14" s="257">
        <f>'85'!A287</f>
        <v>213</v>
      </c>
      <c r="H14" s="179"/>
      <c r="I14" s="40"/>
      <c r="J14" s="244"/>
      <c r="K14" s="40"/>
      <c r="L14" s="40"/>
      <c r="M14" s="40"/>
      <c r="N14" s="40"/>
      <c r="O14" s="213"/>
      <c r="P14" s="179"/>
      <c r="R14" s="244"/>
      <c r="S14" s="182" t="s">
        <v>167</v>
      </c>
      <c r="T14" s="40"/>
      <c r="U14" s="199">
        <f>'85'!A123</f>
        <v>1088</v>
      </c>
      <c r="V14" s="251"/>
      <c r="W14" s="199">
        <f>'85'!A126</f>
        <v>820</v>
      </c>
      <c r="X14" s="182"/>
      <c r="Y14" s="199">
        <f>'85'!A129</f>
        <v>360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-118</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'85'!A305</f>
        <v>19008</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'85'!A306</f>
        <v>360</v>
      </c>
      <c r="P17" s="254">
        <f>'85'!B307</f>
        <v>0</v>
      </c>
      <c r="R17" s="244"/>
      <c r="S17" s="40" t="s">
        <v>169</v>
      </c>
      <c r="T17" s="40"/>
      <c r="U17" s="199">
        <f>'85'!A131</f>
        <v>1093</v>
      </c>
      <c r="V17" s="251"/>
      <c r="W17" s="199">
        <f>'85'!A134</f>
        <v>701</v>
      </c>
      <c r="X17" s="182"/>
      <c r="Y17" s="199">
        <f>'85'!A137</f>
        <v>363</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'85'!A291</f>
        <v>0</v>
      </c>
      <c r="H18" s="179"/>
      <c r="I18" s="40"/>
      <c r="J18" s="244"/>
      <c r="K18" s="182" t="s">
        <v>107</v>
      </c>
      <c r="L18" s="40"/>
      <c r="M18" s="40"/>
      <c r="N18" s="40"/>
      <c r="O18" s="252">
        <f>'85'!A307</f>
        <v>15503</v>
      </c>
      <c r="P18" s="179"/>
      <c r="R18" s="244"/>
      <c r="S18" s="259" t="s">
        <v>170</v>
      </c>
      <c r="T18" s="40"/>
      <c r="U18" s="199">
        <f>'85'!A132</f>
        <v>595</v>
      </c>
      <c r="V18" s="251"/>
      <c r="W18" s="199">
        <f>'85'!A135</f>
        <v>362</v>
      </c>
      <c r="X18" s="182"/>
      <c r="Y18" s="199">
        <f>'85'!A138</f>
        <v>190</v>
      </c>
      <c r="Z18" s="182"/>
      <c r="AA18" s="179"/>
      <c r="AC18" s="40"/>
      <c r="AD18" s="259"/>
      <c r="AE18" s="40"/>
      <c r="AF18" s="196"/>
      <c r="AG18" s="182"/>
      <c r="AH18" s="196"/>
      <c r="AI18" s="182"/>
      <c r="AJ18" s="196"/>
      <c r="AK18" s="182"/>
      <c r="AL18" s="40"/>
    </row>
    <row r="19" spans="2:38" x14ac:dyDescent="0.2">
      <c r="B19" s="244"/>
      <c r="C19" s="40" t="s">
        <v>102</v>
      </c>
      <c r="D19" s="40"/>
      <c r="E19" s="40"/>
      <c r="F19" s="40"/>
      <c r="G19" s="196">
        <f>'85'!A292</f>
        <v>5</v>
      </c>
      <c r="H19" s="179"/>
      <c r="I19" s="40"/>
      <c r="J19" s="244"/>
      <c r="P19" s="179"/>
      <c r="R19" s="244"/>
      <c r="S19" s="40" t="s">
        <v>18</v>
      </c>
      <c r="T19" s="40"/>
      <c r="U19" s="199">
        <f>'85'!A133</f>
        <v>928</v>
      </c>
      <c r="V19" s="251"/>
      <c r="W19" s="199">
        <f>'85'!A136</f>
        <v>479</v>
      </c>
      <c r="X19" s="182"/>
      <c r="Y19" s="199">
        <f>'85'!A139</f>
        <v>254</v>
      </c>
      <c r="Z19" s="182"/>
      <c r="AA19" s="179"/>
      <c r="AC19" s="40"/>
      <c r="AD19" s="40"/>
      <c r="AE19" s="40"/>
      <c r="AF19" s="196"/>
      <c r="AG19" s="182"/>
      <c r="AH19" s="196"/>
      <c r="AI19" s="182"/>
      <c r="AJ19" s="196"/>
      <c r="AK19" s="182"/>
      <c r="AL19" s="40"/>
    </row>
    <row r="20" spans="2:38" x14ac:dyDescent="0.2">
      <c r="B20" s="244"/>
      <c r="C20" s="40" t="s">
        <v>103</v>
      </c>
      <c r="D20" s="40"/>
      <c r="E20" s="40"/>
      <c r="F20" s="196"/>
      <c r="G20" s="196">
        <f>'85'!A293</f>
        <v>0</v>
      </c>
      <c r="H20" s="179"/>
      <c r="I20" s="40"/>
      <c r="J20" s="244"/>
      <c r="K20" s="40" t="s">
        <v>138</v>
      </c>
      <c r="L20" s="40"/>
      <c r="M20" s="40"/>
      <c r="N20" s="40"/>
      <c r="O20" s="196">
        <f>'85'!A308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'85'!A294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'85'!A141</f>
        <v>1004</v>
      </c>
      <c r="V22" s="251"/>
      <c r="W22" s="199">
        <f>'85'!A144</f>
        <v>742</v>
      </c>
      <c r="X22" s="182"/>
      <c r="Y22" s="199">
        <f>'85'!A147</f>
        <v>387</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'85'!A301</f>
        <v>5340</v>
      </c>
      <c r="H23" s="205"/>
      <c r="I23" s="40"/>
      <c r="R23" s="244"/>
      <c r="S23" s="259" t="s">
        <v>170</v>
      </c>
      <c r="T23" s="40"/>
      <c r="U23" s="199">
        <f>'85'!A142</f>
        <v>272</v>
      </c>
      <c r="V23" s="251"/>
      <c r="W23" s="199">
        <f>'85'!A145</f>
        <v>273</v>
      </c>
      <c r="X23" s="182"/>
      <c r="Y23" s="199">
        <f>'85'!A148</f>
        <v>135</v>
      </c>
      <c r="Z23" s="182"/>
      <c r="AA23" s="179"/>
      <c r="AC23" s="40"/>
      <c r="AD23" s="259"/>
      <c r="AE23" s="40"/>
      <c r="AF23" s="196"/>
      <c r="AG23" s="182"/>
      <c r="AH23" s="196"/>
      <c r="AI23" s="182"/>
      <c r="AJ23" s="196"/>
      <c r="AK23" s="182"/>
      <c r="AL23" s="40"/>
    </row>
    <row r="24" spans="2:38" x14ac:dyDescent="0.2">
      <c r="B24" s="244"/>
      <c r="C24" s="40" t="s">
        <v>106</v>
      </c>
      <c r="D24" s="40"/>
      <c r="E24" s="40"/>
      <c r="F24" s="40"/>
      <c r="G24" s="196">
        <f>'85'!A302</f>
        <v>77</v>
      </c>
      <c r="H24" s="260" t="str">
        <f>'85'!B302</f>
        <v>!</v>
      </c>
      <c r="I24" s="40"/>
      <c r="J24" s="243"/>
      <c r="K24" s="227"/>
      <c r="L24" s="227"/>
      <c r="M24" s="227"/>
      <c r="N24" s="188"/>
      <c r="O24" s="188"/>
      <c r="P24" s="237"/>
      <c r="R24" s="244"/>
      <c r="S24" s="40" t="s">
        <v>18</v>
      </c>
      <c r="T24" s="40"/>
      <c r="U24" s="199">
        <f>'85'!A143</f>
        <v>928</v>
      </c>
      <c r="V24" s="251"/>
      <c r="W24" s="199">
        <f>'85'!A146</f>
        <v>479</v>
      </c>
      <c r="X24" s="182"/>
      <c r="Y24" s="199">
        <f>'85'!A149</f>
        <v>254</v>
      </c>
      <c r="Z24" s="182"/>
      <c r="AA24" s="179"/>
      <c r="AC24" s="40"/>
      <c r="AD24" s="40"/>
      <c r="AE24" s="40"/>
      <c r="AF24" s="196"/>
      <c r="AG24" s="182"/>
      <c r="AH24" s="196"/>
      <c r="AI24" s="182"/>
      <c r="AJ24" s="196"/>
      <c r="AK24" s="182"/>
      <c r="AL24" s="40"/>
    </row>
    <row r="25" spans="2:38" ht="12" x14ac:dyDescent="0.25">
      <c r="B25" s="244"/>
      <c r="C25" s="182" t="s">
        <v>107</v>
      </c>
      <c r="G25" s="196">
        <f>'85'!A303</f>
        <v>5276</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G19*'85'!A75-G24</f>
        <v>48</v>
      </c>
      <c r="H26" s="179"/>
      <c r="I26" s="40"/>
      <c r="J26" s="244"/>
      <c r="K26" s="182" t="s">
        <v>142</v>
      </c>
      <c r="L26" s="40"/>
      <c r="M26" s="253">
        <f>'85'!A321</f>
        <v>3</v>
      </c>
      <c r="N26" s="253">
        <f>'85'!A322</f>
        <v>2</v>
      </c>
      <c r="O26" s="196">
        <f>IF('85'!A327&gt;0,1,0)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'85'!A304</f>
        <v>94</v>
      </c>
      <c r="H27" s="179"/>
      <c r="I27" s="40"/>
      <c r="J27" s="244"/>
      <c r="K27" s="182" t="s">
        <v>143</v>
      </c>
      <c r="L27" s="40"/>
      <c r="M27" s="253">
        <f>'85'!A323</f>
        <v>0</v>
      </c>
      <c r="N27" s="253">
        <f>'85'!A324</f>
        <v>0</v>
      </c>
      <c r="O27" s="196"/>
      <c r="P27" s="261"/>
      <c r="R27" s="244"/>
      <c r="S27" s="40" t="s">
        <v>169</v>
      </c>
      <c r="T27" s="40"/>
      <c r="U27" s="199">
        <f>'85'!A151</f>
        <v>75</v>
      </c>
      <c r="V27" s="251"/>
      <c r="W27" s="199">
        <f>'85'!A154</f>
        <v>22</v>
      </c>
      <c r="X27" s="182"/>
      <c r="Y27" s="199">
        <f>'85'!A157</f>
        <v>12</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'85'!A152</f>
        <v>161</v>
      </c>
      <c r="V28" s="251"/>
      <c r="W28" s="199">
        <f>'85'!A155</f>
        <v>44</v>
      </c>
      <c r="X28" s="182"/>
      <c r="Y28" s="199">
        <f>'85'!A158</f>
        <v>27</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2</v>
      </c>
      <c r="N29" s="253">
        <f>MAX(N30-N26+N27,0)</f>
        <v>2</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'85'!A311</f>
        <v>5540</v>
      </c>
      <c r="H30" s="179"/>
      <c r="I30" s="40"/>
      <c r="J30" s="244"/>
      <c r="K30" s="182" t="s">
        <v>146</v>
      </c>
      <c r="L30" s="40"/>
      <c r="M30" s="255">
        <f>'85'!A325</f>
        <v>5</v>
      </c>
      <c r="N30" s="255">
        <f>'85'!A326</f>
        <v>4</v>
      </c>
      <c r="O30" s="193">
        <f>IF('85'!A328&gt;0,1,0)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1000*'85'!A57+'85'!A312</f>
        <v>2550</v>
      </c>
      <c r="H31" s="179"/>
      <c r="I31" s="40"/>
      <c r="J31" s="245"/>
      <c r="K31" s="214"/>
      <c r="L31" s="214"/>
      <c r="M31" s="214"/>
      <c r="N31" s="214"/>
      <c r="O31" s="214"/>
      <c r="P31" s="229"/>
      <c r="R31" s="244"/>
      <c r="S31" s="40" t="s">
        <v>169</v>
      </c>
      <c r="T31" s="40"/>
      <c r="U31" s="199">
        <f>'85'!A161</f>
        <v>0</v>
      </c>
      <c r="V31" s="251"/>
      <c r="W31" s="199">
        <f>'85'!A164</f>
        <v>0</v>
      </c>
      <c r="X31" s="182"/>
      <c r="Y31" s="199">
        <f>'85'!A167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'85'!A313</f>
        <v>0</v>
      </c>
      <c r="H32" s="179"/>
      <c r="I32" s="40"/>
      <c r="M32" s="175" t="s">
        <v>0</v>
      </c>
      <c r="R32" s="244"/>
      <c r="S32" s="259" t="s">
        <v>170</v>
      </c>
      <c r="T32" s="40"/>
      <c r="U32" s="199">
        <f>'85'!A162</f>
        <v>0</v>
      </c>
      <c r="V32" s="251"/>
      <c r="W32" s="199">
        <f>'85'!A165</f>
        <v>0</v>
      </c>
      <c r="X32" s="182"/>
      <c r="Y32" s="199">
        <f>'85'!A168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'85'!A314</f>
        <v>0</v>
      </c>
      <c r="H33" s="263">
        <f>'85'!B313</f>
        <v>0</v>
      </c>
      <c r="I33" s="40"/>
      <c r="M33" s="40"/>
      <c r="R33" s="244"/>
      <c r="S33" s="40" t="s">
        <v>18</v>
      </c>
      <c r="T33" s="40"/>
      <c r="U33" s="199">
        <f>'85'!A163</f>
        <v>160</v>
      </c>
      <c r="V33" s="251"/>
      <c r="W33" s="199">
        <f>'85'!A166</f>
        <v>341</v>
      </c>
      <c r="X33" s="182"/>
      <c r="Y33" s="199">
        <f>'85'!A169</f>
        <v>106</v>
      </c>
      <c r="Z33" s="182"/>
      <c r="AA33" s="179"/>
      <c r="AC33" s="40"/>
      <c r="AD33" s="40"/>
      <c r="AE33" s="40"/>
      <c r="AF33" s="196"/>
      <c r="AG33" s="182"/>
      <c r="AH33" s="196"/>
      <c r="AI33" s="182"/>
      <c r="AJ33" s="196"/>
      <c r="AK33" s="182"/>
      <c r="AL33" s="40"/>
    </row>
    <row r="34" spans="2:38" x14ac:dyDescent="0.2">
      <c r="B34" s="244"/>
      <c r="C34" s="40" t="s">
        <v>115</v>
      </c>
      <c r="D34" s="40"/>
      <c r="E34" s="40"/>
      <c r="F34" s="40"/>
      <c r="G34" s="196">
        <f>'85'!A315</f>
        <v>6715</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'85'!A316</f>
        <v>1375</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'85'!A295</f>
        <v>1381</v>
      </c>
      <c r="N36" s="199">
        <f>'85'!A297</f>
        <v>500</v>
      </c>
      <c r="O36" s="253">
        <f>'85'!A299</f>
        <v>300</v>
      </c>
      <c r="P36" s="179"/>
      <c r="R36" s="244"/>
      <c r="S36" s="247" t="s">
        <v>174</v>
      </c>
      <c r="T36" s="264"/>
      <c r="U36" s="196">
        <f>'85'!A171</f>
        <v>47</v>
      </c>
      <c r="V36" s="254">
        <f>'85'!B171</f>
        <v>0</v>
      </c>
      <c r="W36" s="196">
        <f>'85'!A172</f>
        <v>32</v>
      </c>
      <c r="X36" s="254">
        <f>'85'!B172</f>
        <v>0</v>
      </c>
      <c r="Y36" s="196">
        <f>'85'!A173</f>
        <v>17</v>
      </c>
      <c r="Z36" s="184">
        <f>'85'!B173</f>
        <v>0</v>
      </c>
      <c r="AA36" s="179"/>
      <c r="AC36" s="40"/>
      <c r="AD36" s="247"/>
      <c r="AE36" s="247"/>
      <c r="AF36" s="196"/>
      <c r="AG36" s="184"/>
      <c r="AH36" s="196"/>
      <c r="AI36" s="184"/>
      <c r="AJ36" s="196"/>
      <c r="AK36" s="184"/>
      <c r="AL36" s="40"/>
    </row>
    <row r="37" spans="2:38" x14ac:dyDescent="0.2">
      <c r="B37" s="244"/>
      <c r="C37" s="40" t="s">
        <v>118</v>
      </c>
      <c r="D37" s="40"/>
      <c r="E37" s="40"/>
      <c r="F37" s="40"/>
      <c r="G37" s="196">
        <f>1000*'85'!A58</f>
        <v>3000</v>
      </c>
      <c r="H37" s="179"/>
      <c r="I37" s="40"/>
      <c r="J37" s="244"/>
      <c r="K37" s="40" t="s">
        <v>149</v>
      </c>
      <c r="L37" s="40"/>
      <c r="M37" s="255">
        <f>'85'!A296</f>
        <v>9</v>
      </c>
      <c r="N37" s="255">
        <f>'85'!A298</f>
        <v>3</v>
      </c>
      <c r="O37" s="255">
        <f>'85'!A300</f>
        <v>9</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'85'!A317</f>
        <v>4000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1000*'85'!A59</f>
        <v>4000</v>
      </c>
      <c r="H39" s="179"/>
      <c r="I39" s="40"/>
      <c r="R39" s="244"/>
      <c r="S39" s="247" t="s">
        <v>175</v>
      </c>
      <c r="T39" s="247"/>
      <c r="U39" s="266" t="str">
        <f>'85'!A177</f>
        <v>Major</v>
      </c>
      <c r="V39" s="251"/>
      <c r="W39" s="266" t="str">
        <f>'85'!A178</f>
        <v>Minor</v>
      </c>
      <c r="X39" s="182"/>
      <c r="Y39" s="266" t="str">
        <f>'85'!A179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'85'!A318</f>
        <v>9</v>
      </c>
      <c r="H42" s="179"/>
      <c r="I42" s="40"/>
      <c r="J42" s="244"/>
      <c r="K42" s="215" t="s">
        <v>150</v>
      </c>
      <c r="N42" s="177" t="s">
        <v>154</v>
      </c>
      <c r="P42" s="179"/>
      <c r="R42" s="244"/>
      <c r="S42" s="269" t="s">
        <v>177</v>
      </c>
      <c r="T42" s="40"/>
      <c r="U42" s="199">
        <f>'85'!A181</f>
        <v>800</v>
      </c>
      <c r="V42" s="251"/>
      <c r="W42" s="196">
        <f>'85'!A182</f>
        <v>800</v>
      </c>
      <c r="X42" s="182"/>
      <c r="Y42" s="199">
        <f>'85'!A183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'85'!A319</f>
        <v>24110</v>
      </c>
      <c r="H43" s="179"/>
      <c r="I43" s="40"/>
      <c r="J43" s="244"/>
      <c r="K43" s="175" t="s">
        <v>151</v>
      </c>
      <c r="N43" s="271">
        <f>0.00019*50*G10</f>
        <v>7.6</v>
      </c>
      <c r="P43" s="179"/>
      <c r="R43" s="244"/>
      <c r="S43" s="269" t="s">
        <v>178</v>
      </c>
      <c r="T43" s="40"/>
      <c r="U43" s="199">
        <f>'85'!A54</f>
        <v>1000</v>
      </c>
      <c r="V43" s="251"/>
      <c r="W43" s="199">
        <f>'85'!A55</f>
        <v>1000</v>
      </c>
      <c r="X43" s="182"/>
      <c r="Y43" s="199">
        <f>'85'!A56</f>
        <v>500</v>
      </c>
      <c r="Z43" s="182"/>
      <c r="AA43" s="179"/>
      <c r="AC43" s="40"/>
      <c r="AD43" s="269"/>
      <c r="AE43" s="40"/>
      <c r="AF43" s="196"/>
      <c r="AG43" s="182"/>
      <c r="AH43" s="196"/>
      <c r="AI43" s="182"/>
      <c r="AJ43" s="196"/>
      <c r="AK43" s="182"/>
      <c r="AL43" s="40"/>
    </row>
    <row r="44" spans="2:38" x14ac:dyDescent="0.2">
      <c r="B44" s="244"/>
      <c r="C44" s="182" t="s">
        <v>124</v>
      </c>
      <c r="D44" s="40"/>
      <c r="E44" s="40"/>
      <c r="F44" s="40"/>
      <c r="G44" s="270">
        <f>100-'85'!A320/10</f>
        <v>9.9999999999994316E-2</v>
      </c>
      <c r="H44" s="179"/>
      <c r="I44" s="40"/>
      <c r="J44" s="244"/>
      <c r="K44" s="175" t="s">
        <v>152</v>
      </c>
      <c r="N44" s="272">
        <f>0.00052*(6*G25+O18)</f>
        <v>24.522679999999998</v>
      </c>
      <c r="P44" s="179"/>
      <c r="R44" s="244"/>
      <c r="S44" s="269" t="s">
        <v>179</v>
      </c>
      <c r="T44" s="40"/>
      <c r="U44" s="199">
        <f>'85'!A184</f>
        <v>0</v>
      </c>
      <c r="V44" s="251"/>
      <c r="W44" s="196">
        <f>'85'!A185</f>
        <v>0</v>
      </c>
      <c r="X44" s="182"/>
      <c r="Y44" s="199">
        <f>'85'!A186</f>
        <v>0</v>
      </c>
      <c r="Z44" s="182"/>
      <c r="AA44" s="179"/>
      <c r="AC44" s="40"/>
      <c r="AD44" s="269"/>
      <c r="AE44" s="40"/>
      <c r="AF44" s="196"/>
      <c r="AG44" s="182"/>
      <c r="AH44" s="196"/>
      <c r="AI44" s="182"/>
      <c r="AJ44" s="196"/>
      <c r="AK44" s="182"/>
      <c r="AL44" s="40"/>
    </row>
    <row r="45" spans="2:38" x14ac:dyDescent="0.2">
      <c r="B45" s="244"/>
      <c r="C45" s="44" t="s">
        <v>125</v>
      </c>
      <c r="G45" s="175">
        <f>'85'!A329</f>
        <v>106</v>
      </c>
      <c r="H45" s="179"/>
      <c r="I45" s="40"/>
      <c r="J45" s="244"/>
      <c r="K45" s="175" t="s">
        <v>153</v>
      </c>
      <c r="N45" s="271">
        <f>N43+N44</f>
        <v>32.122679999999995</v>
      </c>
      <c r="P45" s="179"/>
      <c r="R45" s="244"/>
      <c r="S45" s="269" t="s">
        <v>180</v>
      </c>
      <c r="T45" s="40"/>
      <c r="U45" s="199">
        <f>'85'!A187</f>
        <v>1000</v>
      </c>
      <c r="V45" s="251"/>
      <c r="W45" s="196">
        <f>'85'!A188</f>
        <v>1000</v>
      </c>
      <c r="X45" s="182"/>
      <c r="Y45" s="199">
        <f>'85'!A189</f>
        <v>500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5">
    <tabColor theme="5" tint="0.39997558519241921"/>
    <pageSetUpPr fitToPage="1"/>
  </sheetPr>
  <dimension ref="A1:Z59"/>
  <sheetViews>
    <sheetView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'85'!A1</f>
        <v>8</v>
      </c>
      <c r="F1" s="512" t="s">
        <v>285</v>
      </c>
      <c r="G1" s="175"/>
      <c r="I1" s="172">
        <f>'85'!A2</f>
        <v>2</v>
      </c>
      <c r="J1" s="175"/>
      <c r="K1" s="175"/>
      <c r="L1" s="175"/>
      <c r="M1" s="513" t="s">
        <v>284</v>
      </c>
      <c r="N1" s="175"/>
      <c r="O1" s="175"/>
      <c r="P1" s="175"/>
      <c r="Q1" s="175"/>
      <c r="S1" s="175"/>
      <c r="U1" s="170" t="s">
        <v>81</v>
      </c>
      <c r="V1" s="172">
        <f>'85'!A4</f>
        <v>2018</v>
      </c>
      <c r="W1" s="171" t="s">
        <v>80</v>
      </c>
      <c r="X1" s="172">
        <f>'85'!A5</f>
        <v>1</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'85'!A201</f>
        <v>113000</v>
      </c>
      <c r="G8" s="283"/>
      <c r="H8" s="45"/>
      <c r="I8" s="45" t="s">
        <v>207</v>
      </c>
      <c r="J8" s="45"/>
      <c r="K8" s="45"/>
      <c r="L8" s="286">
        <f>'85'!A241</f>
        <v>2172773</v>
      </c>
      <c r="M8" s="283"/>
      <c r="N8" s="45"/>
      <c r="O8" s="268" t="s">
        <v>234</v>
      </c>
      <c r="P8" s="268"/>
      <c r="Q8" s="45"/>
      <c r="R8" s="45"/>
      <c r="S8" s="283"/>
      <c r="T8" s="45"/>
      <c r="U8" s="290" t="s">
        <v>260</v>
      </c>
      <c r="Y8" s="283"/>
    </row>
    <row r="9" spans="2:26" ht="12" x14ac:dyDescent="0.3">
      <c r="B9" s="281"/>
      <c r="C9" s="325" t="s">
        <v>184</v>
      </c>
      <c r="D9" s="45"/>
      <c r="E9" s="45"/>
      <c r="F9" s="286">
        <f>'85'!A202</f>
        <v>78695</v>
      </c>
      <c r="G9" s="283"/>
      <c r="H9" s="45"/>
      <c r="I9" s="45"/>
      <c r="J9" s="45"/>
      <c r="K9" s="45"/>
      <c r="L9" s="286"/>
      <c r="M9" s="283"/>
      <c r="N9" s="45"/>
      <c r="O9" s="242" t="s">
        <v>235</v>
      </c>
      <c r="Q9" s="289"/>
      <c r="R9" s="289">
        <f>'85'!A261</f>
        <v>50000</v>
      </c>
      <c r="S9" s="283"/>
      <c r="T9" s="45"/>
      <c r="U9" s="45" t="s">
        <v>261</v>
      </c>
      <c r="V9" s="45"/>
      <c r="W9" s="45"/>
      <c r="X9" s="286">
        <f>'85'!A221</f>
        <v>1891745</v>
      </c>
      <c r="Y9" s="283"/>
    </row>
    <row r="10" spans="2:26" x14ac:dyDescent="0.2">
      <c r="B10" s="281"/>
      <c r="C10" s="45" t="s">
        <v>185</v>
      </c>
      <c r="D10" s="45"/>
      <c r="E10" s="45"/>
      <c r="F10" s="286">
        <f>'85'!A203</f>
        <v>31010</v>
      </c>
      <c r="G10" s="283"/>
      <c r="H10" s="45"/>
      <c r="I10" s="45" t="s">
        <v>208</v>
      </c>
      <c r="J10" s="45"/>
      <c r="K10" s="45"/>
      <c r="L10" s="286">
        <f>'85'!A242</f>
        <v>796747</v>
      </c>
      <c r="M10" s="283"/>
      <c r="N10" s="45"/>
      <c r="O10" s="45" t="s">
        <v>236</v>
      </c>
      <c r="P10" s="45"/>
      <c r="Q10" s="289"/>
      <c r="R10" s="289">
        <f>'85'!A262</f>
        <v>400000</v>
      </c>
      <c r="S10" s="283"/>
      <c r="T10" s="45"/>
      <c r="U10" s="45" t="s">
        <v>220</v>
      </c>
      <c r="V10" s="45"/>
      <c r="W10" s="45"/>
      <c r="X10" s="286">
        <f>'85'!A222</f>
        <v>52123</v>
      </c>
      <c r="Y10" s="283"/>
    </row>
    <row r="11" spans="2:26" x14ac:dyDescent="0.2">
      <c r="B11" s="281"/>
      <c r="C11" s="45" t="s">
        <v>186</v>
      </c>
      <c r="D11" s="45"/>
      <c r="E11" s="45"/>
      <c r="F11" s="286">
        <f>'85'!A204</f>
        <v>191415</v>
      </c>
      <c r="G11" s="283"/>
      <c r="H11" s="45"/>
      <c r="I11" s="287" t="s">
        <v>209</v>
      </c>
      <c r="L11" s="286">
        <f>'85'!A243</f>
        <v>498000</v>
      </c>
      <c r="M11" s="283"/>
      <c r="N11" s="45"/>
      <c r="O11" s="45" t="s">
        <v>237</v>
      </c>
      <c r="P11" s="45"/>
      <c r="Q11" s="45"/>
      <c r="R11" s="292">
        <f>'85'!A263</f>
        <v>1270606</v>
      </c>
      <c r="S11" s="283"/>
      <c r="T11" s="45"/>
      <c r="U11" s="45" t="s">
        <v>262</v>
      </c>
      <c r="V11" s="45"/>
      <c r="W11" s="45"/>
      <c r="X11" s="286">
        <f>'85'!A223</f>
        <v>2495141</v>
      </c>
      <c r="Y11" s="283"/>
    </row>
    <row r="12" spans="2:26" x14ac:dyDescent="0.2">
      <c r="B12" s="281"/>
      <c r="C12" s="45" t="s">
        <v>187</v>
      </c>
      <c r="D12" s="45"/>
      <c r="E12" s="45"/>
      <c r="F12" s="286">
        <f>'85'!A205</f>
        <v>23224</v>
      </c>
      <c r="G12" s="283"/>
      <c r="H12" s="45"/>
      <c r="I12" s="45" t="s">
        <v>210</v>
      </c>
      <c r="J12" s="45"/>
      <c r="K12" s="45"/>
      <c r="L12" s="286">
        <f>'85'!A244</f>
        <v>603386</v>
      </c>
      <c r="M12" s="283"/>
      <c r="N12" s="45"/>
      <c r="O12" s="45" t="s">
        <v>238</v>
      </c>
      <c r="P12" s="45"/>
      <c r="Q12" s="45"/>
      <c r="R12" s="286">
        <f>SUM(R9:R11)</f>
        <v>1720606</v>
      </c>
      <c r="S12" s="283"/>
      <c r="T12" s="45"/>
      <c r="U12" s="45" t="s">
        <v>263</v>
      </c>
      <c r="V12" s="45"/>
      <c r="W12" s="45"/>
      <c r="X12" s="288">
        <f>'85'!A224</f>
        <v>0</v>
      </c>
      <c r="Y12" s="283"/>
    </row>
    <row r="13" spans="2:26" x14ac:dyDescent="0.2">
      <c r="B13" s="281"/>
      <c r="C13" s="45" t="s">
        <v>188</v>
      </c>
      <c r="D13" s="45"/>
      <c r="E13" s="45"/>
      <c r="F13" s="286">
        <f>'85'!A206</f>
        <v>11870</v>
      </c>
      <c r="G13" s="283"/>
      <c r="H13" s="45"/>
      <c r="I13" s="45" t="s">
        <v>211</v>
      </c>
      <c r="J13" s="45"/>
      <c r="K13" s="45"/>
      <c r="L13" s="286">
        <f>'85'!A245</f>
        <v>90311</v>
      </c>
      <c r="M13" s="283"/>
      <c r="N13" s="45"/>
      <c r="S13" s="283"/>
      <c r="T13" s="45"/>
      <c r="U13" s="287" t="s">
        <v>264</v>
      </c>
      <c r="X13" s="289">
        <f>X9+X10-X11-X12</f>
        <v>-551273</v>
      </c>
      <c r="Y13" s="283"/>
    </row>
    <row r="14" spans="2:26" x14ac:dyDescent="0.2">
      <c r="B14" s="281"/>
      <c r="C14" s="45" t="s">
        <v>189</v>
      </c>
      <c r="D14" s="45"/>
      <c r="E14" s="45"/>
      <c r="F14" s="286">
        <f>'85'!A207</f>
        <v>116000</v>
      </c>
      <c r="G14" s="283"/>
      <c r="H14" s="45"/>
      <c r="I14" s="45" t="s">
        <v>212</v>
      </c>
      <c r="J14" s="45"/>
      <c r="K14" s="45"/>
      <c r="L14" s="286">
        <f>'85'!A246</f>
        <v>279413</v>
      </c>
      <c r="M14" s="283"/>
      <c r="N14" s="45"/>
      <c r="O14" s="290" t="s">
        <v>239</v>
      </c>
      <c r="S14" s="283"/>
      <c r="T14" s="45"/>
      <c r="Y14" s="283"/>
    </row>
    <row r="15" spans="2:26" ht="12" x14ac:dyDescent="0.3">
      <c r="B15" s="281"/>
      <c r="C15" s="325" t="s">
        <v>190</v>
      </c>
      <c r="D15" s="45"/>
      <c r="E15" s="45"/>
      <c r="F15" s="286">
        <f>'85'!A208</f>
        <v>18000</v>
      </c>
      <c r="G15" s="283"/>
      <c r="H15" s="45"/>
      <c r="I15" s="45" t="s">
        <v>213</v>
      </c>
      <c r="J15" s="45"/>
      <c r="K15" s="45"/>
      <c r="L15" s="286">
        <f>'85'!A247</f>
        <v>230515</v>
      </c>
      <c r="M15" s="283"/>
      <c r="N15" s="45"/>
      <c r="O15" s="45" t="s">
        <v>240</v>
      </c>
      <c r="P15" s="45"/>
      <c r="Q15" s="45"/>
      <c r="R15" s="286">
        <f>'85'!A265</f>
        <v>143796</v>
      </c>
      <c r="S15" s="283"/>
      <c r="T15" s="45"/>
      <c r="U15" s="290" t="s">
        <v>265</v>
      </c>
      <c r="Y15" s="283"/>
    </row>
    <row r="16" spans="2:26" x14ac:dyDescent="0.2">
      <c r="B16" s="281"/>
      <c r="C16" s="45" t="s">
        <v>191</v>
      </c>
      <c r="D16" s="45"/>
      <c r="E16" s="45"/>
      <c r="F16" s="286">
        <f>'85'!A209</f>
        <v>61500</v>
      </c>
      <c r="G16" s="283"/>
      <c r="H16" s="45"/>
      <c r="I16" s="45" t="s">
        <v>214</v>
      </c>
      <c r="J16" s="45"/>
      <c r="K16" s="45"/>
      <c r="L16" s="286">
        <f>'85'!A248</f>
        <v>5350</v>
      </c>
      <c r="M16" s="283"/>
      <c r="N16" s="45"/>
      <c r="O16" s="287" t="s">
        <v>241</v>
      </c>
      <c r="R16" s="286">
        <f>'85'!A266</f>
        <v>498000</v>
      </c>
      <c r="S16" s="283"/>
      <c r="T16" s="45"/>
      <c r="U16" s="45" t="s">
        <v>266</v>
      </c>
      <c r="V16" s="45"/>
      <c r="W16" s="45"/>
      <c r="X16" s="286">
        <f>'85'!A225</f>
        <v>812</v>
      </c>
      <c r="Y16" s="283"/>
    </row>
    <row r="17" spans="2:25" x14ac:dyDescent="0.2">
      <c r="B17" s="281"/>
      <c r="C17" s="45" t="s">
        <v>192</v>
      </c>
      <c r="D17" s="45"/>
      <c r="E17" s="45"/>
      <c r="F17" s="286">
        <f>'85'!A210</f>
        <v>10625</v>
      </c>
      <c r="G17" s="283"/>
      <c r="H17" s="45"/>
      <c r="I17" s="45" t="s">
        <v>215</v>
      </c>
      <c r="L17" s="286">
        <f>'85'!A249</f>
        <v>57150</v>
      </c>
      <c r="M17" s="283"/>
      <c r="N17" s="45"/>
      <c r="O17" s="45" t="s">
        <v>242</v>
      </c>
      <c r="P17" s="45"/>
      <c r="Q17" s="45"/>
      <c r="R17" s="286">
        <f>'85'!A267</f>
        <v>660122</v>
      </c>
      <c r="S17" s="283"/>
      <c r="T17" s="45"/>
      <c r="U17" s="45" t="s">
        <v>267</v>
      </c>
      <c r="X17" s="286">
        <f>'85'!A226</f>
        <v>0</v>
      </c>
      <c r="Y17" s="283"/>
    </row>
    <row r="18" spans="2:25" x14ac:dyDescent="0.2">
      <c r="B18" s="281"/>
      <c r="C18" s="45" t="s">
        <v>193</v>
      </c>
      <c r="D18" s="45"/>
      <c r="E18" s="45"/>
      <c r="F18" s="286">
        <f>'85'!A211</f>
        <v>10962</v>
      </c>
      <c r="G18" s="283"/>
      <c r="H18" s="45"/>
      <c r="I18" s="43" t="s">
        <v>216</v>
      </c>
      <c r="J18" s="45"/>
      <c r="K18" s="45"/>
      <c r="L18" s="288">
        <f>'85'!A250</f>
        <v>1301918</v>
      </c>
      <c r="M18" s="283"/>
      <c r="N18" s="45"/>
      <c r="O18" s="45" t="s">
        <v>243</v>
      </c>
      <c r="P18" s="45"/>
      <c r="Q18" s="45"/>
      <c r="R18" s="286">
        <f>'85'!A268</f>
        <v>1032530</v>
      </c>
      <c r="S18" s="283"/>
      <c r="T18" s="45"/>
      <c r="U18" s="45" t="s">
        <v>268</v>
      </c>
      <c r="V18" s="45"/>
      <c r="W18" s="45"/>
      <c r="X18" s="288">
        <f>'85'!A227</f>
        <v>25000</v>
      </c>
      <c r="Y18" s="283"/>
    </row>
    <row r="19" spans="2:25" x14ac:dyDescent="0.2">
      <c r="B19" s="281"/>
      <c r="C19" s="45" t="s">
        <v>194</v>
      </c>
      <c r="D19" s="45"/>
      <c r="E19" s="45"/>
      <c r="F19" s="286">
        <f>'85'!A212</f>
        <v>12500</v>
      </c>
      <c r="G19" s="283"/>
      <c r="H19" s="45"/>
      <c r="I19" s="45" t="s">
        <v>217</v>
      </c>
      <c r="J19" s="45"/>
      <c r="K19" s="45"/>
      <c r="L19" s="291">
        <f>'85'!A251</f>
        <v>1258954</v>
      </c>
      <c r="M19" s="283"/>
      <c r="N19" s="45"/>
      <c r="O19" s="45" t="s">
        <v>244</v>
      </c>
      <c r="P19" s="45"/>
      <c r="Q19" s="45"/>
      <c r="R19" s="288">
        <f>'85'!A269</f>
        <v>650000</v>
      </c>
      <c r="S19" s="283"/>
      <c r="T19" s="45"/>
      <c r="U19" s="287" t="s">
        <v>269</v>
      </c>
      <c r="X19" s="289">
        <f>X16+X17-X18</f>
        <v>-24188</v>
      </c>
      <c r="Y19" s="283"/>
    </row>
    <row r="20" spans="2:25" x14ac:dyDescent="0.2">
      <c r="B20" s="281"/>
      <c r="C20" s="45" t="s">
        <v>195</v>
      </c>
      <c r="D20" s="45"/>
      <c r="E20" s="45"/>
      <c r="F20" s="286">
        <f>'85'!A213</f>
        <v>4474</v>
      </c>
      <c r="G20" s="283"/>
      <c r="H20" s="45"/>
      <c r="I20" s="45" t="s">
        <v>218</v>
      </c>
      <c r="J20" s="45"/>
      <c r="K20" s="45"/>
      <c r="L20" s="286">
        <f>'85'!A252</f>
        <v>913819</v>
      </c>
      <c r="M20" s="283"/>
      <c r="N20" s="45"/>
      <c r="O20" s="287" t="s">
        <v>245</v>
      </c>
      <c r="R20" s="515">
        <f>SUM(R15:R19)</f>
        <v>2984448</v>
      </c>
      <c r="S20" s="283"/>
      <c r="T20" s="45"/>
      <c r="Y20" s="283"/>
    </row>
    <row r="21" spans="2:25" x14ac:dyDescent="0.2">
      <c r="B21" s="281"/>
      <c r="C21" s="45" t="s">
        <v>196</v>
      </c>
      <c r="D21" s="45"/>
      <c r="E21" s="45"/>
      <c r="F21" s="286">
        <f>'85'!A214</f>
        <v>15149</v>
      </c>
      <c r="G21" s="283"/>
      <c r="H21" s="45"/>
      <c r="I21" s="45" t="s">
        <v>219</v>
      </c>
      <c r="J21" s="45"/>
      <c r="K21" s="45"/>
      <c r="L21" s="286">
        <f>'85'!A217</f>
        <v>804708</v>
      </c>
      <c r="M21" s="283"/>
      <c r="N21" s="45"/>
      <c r="O21" s="45" t="s">
        <v>246</v>
      </c>
      <c r="P21" s="45"/>
      <c r="Q21" s="45"/>
      <c r="R21" s="286">
        <f>R12+R20</f>
        <v>4705054</v>
      </c>
      <c r="S21" s="283"/>
      <c r="T21" s="45"/>
      <c r="U21" s="290" t="s">
        <v>270</v>
      </c>
      <c r="Y21" s="283"/>
    </row>
    <row r="22" spans="2:25" x14ac:dyDescent="0.2">
      <c r="B22" s="281"/>
      <c r="C22" s="45" t="s">
        <v>197</v>
      </c>
      <c r="D22" s="45"/>
      <c r="E22" s="45"/>
      <c r="F22" s="286">
        <f>'85'!A215</f>
        <v>90000</v>
      </c>
      <c r="G22" s="283"/>
      <c r="H22" s="45"/>
      <c r="I22" s="45" t="s">
        <v>220</v>
      </c>
      <c r="J22" s="45"/>
      <c r="K22" s="45"/>
      <c r="L22" s="286">
        <f>'85'!A222</f>
        <v>52123</v>
      </c>
      <c r="M22" s="283"/>
      <c r="N22" s="45"/>
      <c r="S22" s="283"/>
      <c r="T22" s="45"/>
      <c r="U22" s="242" t="s">
        <v>271</v>
      </c>
      <c r="X22" s="286">
        <f>'85'!A228</f>
        <v>0</v>
      </c>
      <c r="Y22" s="283"/>
    </row>
    <row r="23" spans="2:25" x14ac:dyDescent="0.2">
      <c r="B23" s="281"/>
      <c r="C23" s="45" t="s">
        <v>198</v>
      </c>
      <c r="D23" s="45"/>
      <c r="E23" s="45"/>
      <c r="F23" s="288">
        <f>'85'!A216</f>
        <v>16284</v>
      </c>
      <c r="G23" s="283"/>
      <c r="H23" s="45"/>
      <c r="I23" s="45" t="s">
        <v>221</v>
      </c>
      <c r="J23" s="45"/>
      <c r="K23" s="45"/>
      <c r="L23" s="292">
        <f>'85'!A254</f>
        <v>32580</v>
      </c>
      <c r="M23" s="283"/>
      <c r="N23" s="45"/>
      <c r="O23" s="268" t="s">
        <v>247</v>
      </c>
      <c r="P23" s="45"/>
      <c r="Q23" s="45"/>
      <c r="R23" s="286"/>
      <c r="S23" s="283"/>
      <c r="T23" s="45"/>
      <c r="U23" s="242" t="s">
        <v>272</v>
      </c>
      <c r="V23" s="45"/>
      <c r="W23" s="45"/>
      <c r="X23" s="286">
        <f>'85'!A229</f>
        <v>0</v>
      </c>
      <c r="Y23" s="283"/>
    </row>
    <row r="24" spans="2:25" x14ac:dyDescent="0.2">
      <c r="B24" s="281"/>
      <c r="C24" s="45" t="s">
        <v>199</v>
      </c>
      <c r="D24" s="268"/>
      <c r="E24" s="45"/>
      <c r="F24" s="288">
        <f>'85'!A217</f>
        <v>804708</v>
      </c>
      <c r="G24" s="283"/>
      <c r="H24" s="45"/>
      <c r="I24" s="287" t="s">
        <v>222</v>
      </c>
      <c r="L24" s="286">
        <f>L20-L21+L22-L23</f>
        <v>128654</v>
      </c>
      <c r="M24" s="283"/>
      <c r="N24" s="45"/>
      <c r="O24" s="45" t="s">
        <v>248</v>
      </c>
      <c r="P24" s="45"/>
      <c r="Q24" s="45"/>
      <c r="R24" s="286">
        <f>'85'!A271</f>
        <v>0</v>
      </c>
      <c r="S24" s="283"/>
      <c r="T24" s="45"/>
      <c r="U24" s="45" t="s">
        <v>273</v>
      </c>
      <c r="V24" s="45"/>
      <c r="W24" s="45"/>
      <c r="X24" s="286">
        <f>'85'!A230</f>
        <v>0</v>
      </c>
      <c r="Y24" s="283"/>
    </row>
    <row r="25" spans="2:25" ht="12" x14ac:dyDescent="0.3">
      <c r="B25" s="281"/>
      <c r="C25" s="45"/>
      <c r="F25" s="293"/>
      <c r="G25" s="283"/>
      <c r="H25" s="45"/>
      <c r="I25" s="45" t="s">
        <v>223</v>
      </c>
      <c r="J25" s="45"/>
      <c r="K25" s="45"/>
      <c r="L25" s="286">
        <f>'85'!A225</f>
        <v>812</v>
      </c>
      <c r="M25" s="283"/>
      <c r="N25" s="45"/>
      <c r="O25" s="325" t="s">
        <v>249</v>
      </c>
      <c r="P25" s="45"/>
      <c r="Q25" s="45"/>
      <c r="R25" s="286">
        <f>'85'!A272</f>
        <v>777300</v>
      </c>
      <c r="S25" s="283"/>
      <c r="T25" s="45"/>
      <c r="U25" s="45" t="s">
        <v>274</v>
      </c>
      <c r="V25" s="45"/>
      <c r="W25" s="45"/>
      <c r="X25" s="286">
        <f>'85'!A231</f>
        <v>0</v>
      </c>
      <c r="Y25" s="283"/>
    </row>
    <row r="26" spans="2:25" x14ac:dyDescent="0.2">
      <c r="B26" s="281"/>
      <c r="C26" s="326" t="s">
        <v>200</v>
      </c>
      <c r="D26" s="45"/>
      <c r="E26" s="45"/>
      <c r="F26" s="286"/>
      <c r="G26" s="283"/>
      <c r="H26" s="45"/>
      <c r="I26" s="45" t="s">
        <v>224</v>
      </c>
      <c r="J26" s="45"/>
      <c r="K26" s="45"/>
      <c r="L26" s="288">
        <f>'85'!A232</f>
        <v>197</v>
      </c>
      <c r="M26" s="283"/>
      <c r="N26" s="45"/>
      <c r="O26" s="45" t="s">
        <v>250</v>
      </c>
      <c r="P26" s="45"/>
      <c r="Q26" s="45"/>
      <c r="R26" s="288">
        <f>'85'!A273</f>
        <v>34563</v>
      </c>
      <c r="S26" s="283"/>
      <c r="T26" s="45"/>
      <c r="U26" s="45" t="s">
        <v>275</v>
      </c>
      <c r="V26" s="45"/>
      <c r="W26" s="45"/>
      <c r="X26" s="288">
        <f>'85'!A232</f>
        <v>197</v>
      </c>
      <c r="Y26" s="283"/>
    </row>
    <row r="27" spans="2:25" x14ac:dyDescent="0.2">
      <c r="B27" s="281"/>
      <c r="C27" s="287" t="s">
        <v>201</v>
      </c>
      <c r="D27" s="45"/>
      <c r="E27" s="45"/>
      <c r="F27" s="289">
        <f>L27</f>
        <v>129269</v>
      </c>
      <c r="G27" s="283"/>
      <c r="H27" s="45"/>
      <c r="I27" s="287" t="s">
        <v>225</v>
      </c>
      <c r="J27" s="45"/>
      <c r="K27" s="45"/>
      <c r="L27" s="289">
        <f>L24+L25-L26</f>
        <v>129269</v>
      </c>
      <c r="M27" s="283"/>
      <c r="N27" s="45"/>
      <c r="O27" s="43" t="s">
        <v>251</v>
      </c>
      <c r="P27" s="45"/>
      <c r="Q27" s="45"/>
      <c r="R27" s="286">
        <f>SUM(R24:R26)</f>
        <v>811863</v>
      </c>
      <c r="S27" s="283"/>
      <c r="T27" s="45"/>
      <c r="U27" s="287" t="s">
        <v>276</v>
      </c>
      <c r="X27" s="289">
        <f>X22-X23-X24+X25-X26</f>
        <v>-197</v>
      </c>
      <c r="Y27" s="283"/>
    </row>
    <row r="28" spans="2:25" x14ac:dyDescent="0.2">
      <c r="B28" s="281"/>
      <c r="C28" s="287" t="s">
        <v>202</v>
      </c>
      <c r="D28" s="45"/>
      <c r="E28" s="45"/>
      <c r="F28" s="288">
        <f>'85'!A240</f>
        <v>-236078</v>
      </c>
      <c r="G28" s="283"/>
      <c r="H28" s="45"/>
      <c r="I28" s="45" t="s">
        <v>226</v>
      </c>
      <c r="J28" s="45"/>
      <c r="K28" s="45"/>
      <c r="L28" s="288">
        <f>'85'!A255</f>
        <v>0</v>
      </c>
      <c r="M28" s="283"/>
      <c r="N28" s="45"/>
      <c r="O28" s="45" t="s">
        <v>252</v>
      </c>
      <c r="P28" s="45"/>
      <c r="Q28" s="45"/>
      <c r="R28" s="286">
        <f>'85'!A274</f>
        <v>0</v>
      </c>
      <c r="S28" s="283"/>
      <c r="X28" s="294"/>
      <c r="Y28" s="283"/>
    </row>
    <row r="29" spans="2:25" x14ac:dyDescent="0.2">
      <c r="B29" s="281"/>
      <c r="C29" s="287" t="s">
        <v>203</v>
      </c>
      <c r="F29" s="289">
        <f>'85'!A257</f>
        <v>-106809</v>
      </c>
      <c r="G29" s="283"/>
      <c r="H29" s="45"/>
      <c r="I29" s="45" t="s">
        <v>227</v>
      </c>
      <c r="J29" s="45"/>
      <c r="K29" s="45"/>
      <c r="L29" s="286">
        <f>'85'!A256</f>
        <v>129269</v>
      </c>
      <c r="M29" s="283"/>
      <c r="N29" s="45"/>
      <c r="S29" s="283"/>
      <c r="U29" s="45" t="s">
        <v>277</v>
      </c>
      <c r="V29" s="45"/>
      <c r="W29" s="45"/>
      <c r="X29" s="289">
        <f>'85'!A233</f>
        <v>-575658</v>
      </c>
      <c r="Y29" s="283"/>
    </row>
    <row r="30" spans="2:25" x14ac:dyDescent="0.2">
      <c r="B30" s="281"/>
      <c r="C30" s="45"/>
      <c r="G30" s="283"/>
      <c r="H30" s="45"/>
      <c r="I30" s="287" t="s">
        <v>228</v>
      </c>
      <c r="L30" s="295">
        <f>IF(R33&gt;0,100*L29/R33,0)</f>
        <v>3.231725</v>
      </c>
      <c r="M30" s="283"/>
      <c r="N30" s="45"/>
      <c r="O30" s="45" t="s">
        <v>253</v>
      </c>
      <c r="P30" s="45"/>
      <c r="Q30" s="45"/>
      <c r="R30" s="286">
        <f>R21-R27-R28</f>
        <v>3893191</v>
      </c>
      <c r="S30" s="283"/>
      <c r="U30" s="287" t="s">
        <v>278</v>
      </c>
      <c r="V30" s="45"/>
      <c r="W30" s="45"/>
      <c r="X30" s="292">
        <f>'85'!A234</f>
        <v>1191095</v>
      </c>
      <c r="Y30" s="283"/>
    </row>
    <row r="31" spans="2:25" x14ac:dyDescent="0.2">
      <c r="B31" s="281"/>
      <c r="C31" s="45"/>
      <c r="G31" s="283"/>
      <c r="H31" s="45"/>
      <c r="M31" s="283"/>
      <c r="N31" s="45"/>
      <c r="S31" s="283"/>
      <c r="U31" s="287" t="s">
        <v>279</v>
      </c>
      <c r="X31" s="45">
        <f>R19-R26</f>
        <v>615437</v>
      </c>
      <c r="Y31" s="283"/>
    </row>
    <row r="32" spans="2:25" x14ac:dyDescent="0.2">
      <c r="B32" s="281"/>
      <c r="G32" s="283"/>
      <c r="H32" s="45"/>
      <c r="I32" s="43" t="s">
        <v>229</v>
      </c>
      <c r="J32" s="45"/>
      <c r="K32" s="45"/>
      <c r="L32" s="288">
        <f>'85'!A230</f>
        <v>0</v>
      </c>
      <c r="M32" s="283"/>
      <c r="N32" s="45"/>
      <c r="O32" s="290" t="s">
        <v>254</v>
      </c>
      <c r="S32" s="283"/>
      <c r="U32" s="242" t="s">
        <v>280</v>
      </c>
      <c r="X32" s="289">
        <f>'85'!A270</f>
        <v>650000</v>
      </c>
      <c r="Y32" s="296" t="s">
        <v>9</v>
      </c>
    </row>
    <row r="33" spans="1:25" x14ac:dyDescent="0.2">
      <c r="B33" s="281"/>
      <c r="C33" s="45" t="s">
        <v>204</v>
      </c>
      <c r="D33" s="45"/>
      <c r="E33" s="45"/>
      <c r="F33" s="286">
        <f>'85'!A219</f>
        <v>54647</v>
      </c>
      <c r="G33" s="283"/>
      <c r="H33" s="45"/>
      <c r="I33" s="45" t="s">
        <v>230</v>
      </c>
      <c r="J33" s="45"/>
      <c r="K33" s="45"/>
      <c r="L33" s="286">
        <f>L29-L32</f>
        <v>129269</v>
      </c>
      <c r="M33" s="283"/>
      <c r="O33" s="43" t="s">
        <v>255</v>
      </c>
      <c r="P33" s="45"/>
      <c r="Q33" s="45"/>
      <c r="R33" s="286">
        <f>'85'!A275</f>
        <v>4000000</v>
      </c>
      <c r="S33" s="283"/>
      <c r="Y33" s="283"/>
    </row>
    <row r="34" spans="1:25" x14ac:dyDescent="0.2">
      <c r="B34" s="281"/>
      <c r="C34" s="45" t="s">
        <v>205</v>
      </c>
      <c r="D34" s="45"/>
      <c r="E34" s="45"/>
      <c r="F34" s="286">
        <f>'85'!A220</f>
        <v>2524</v>
      </c>
      <c r="G34" s="283"/>
      <c r="H34" s="45"/>
      <c r="I34" s="242" t="s">
        <v>231</v>
      </c>
      <c r="J34" s="45"/>
      <c r="K34" s="45"/>
      <c r="L34" s="288">
        <f>'85'!A260</f>
        <v>-236078</v>
      </c>
      <c r="M34" s="283"/>
      <c r="O34" s="242" t="s">
        <v>256</v>
      </c>
      <c r="R34" s="286">
        <f>'85'!A276</f>
        <v>0</v>
      </c>
      <c r="S34" s="283"/>
      <c r="U34" s="45" t="s">
        <v>281</v>
      </c>
      <c r="V34" s="45"/>
      <c r="W34" s="45"/>
      <c r="X34" s="289">
        <f>'85'!A238</f>
        <v>1028000</v>
      </c>
      <c r="Y34" s="283"/>
    </row>
    <row r="35" spans="1:25" x14ac:dyDescent="0.2">
      <c r="B35" s="281"/>
      <c r="C35" s="45"/>
      <c r="G35" s="283"/>
      <c r="I35" s="242" t="s">
        <v>232</v>
      </c>
      <c r="L35" s="289">
        <f>L33+L34</f>
        <v>-106809</v>
      </c>
      <c r="M35" s="283"/>
      <c r="O35" s="45" t="s">
        <v>257</v>
      </c>
      <c r="P35" s="45"/>
      <c r="Q35" s="45"/>
      <c r="R35" s="288">
        <f>R36-R33-R34</f>
        <v>-106809</v>
      </c>
      <c r="S35" s="283"/>
      <c r="U35" s="45" t="s">
        <v>282</v>
      </c>
      <c r="V35" s="45"/>
      <c r="W35" s="45"/>
      <c r="X35" s="289">
        <f>'85'!A239</f>
        <v>1080000</v>
      </c>
      <c r="Y35" s="283"/>
    </row>
    <row r="36" spans="1:25" x14ac:dyDescent="0.2">
      <c r="B36" s="281"/>
      <c r="G36" s="283"/>
      <c r="M36" s="283"/>
      <c r="O36" s="45" t="s">
        <v>258</v>
      </c>
      <c r="P36" s="45"/>
      <c r="Q36" s="45"/>
      <c r="R36" s="286">
        <f>'85'!A277</f>
        <v>3893191</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6">
    <tabColor theme="5" tint="0.39997558519241921"/>
    <pageSetUpPr fitToPage="1"/>
  </sheetPr>
  <dimension ref="B1:Q122"/>
  <sheetViews>
    <sheetView topLeftCell="A89" workbookViewId="0">
      <selection activeCell="G46" sqref="G46"/>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'85'!$A1</f>
        <v>8</v>
      </c>
      <c r="K1" s="170" t="s">
        <v>81</v>
      </c>
      <c r="L1" s="172">
        <f>'85'!$A4</f>
        <v>2018</v>
      </c>
      <c r="M1" s="170" t="s">
        <v>289</v>
      </c>
      <c r="N1" s="517">
        <f>'85'!$A5</f>
        <v>1</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'85'!A505</f>
        <v>4237</v>
      </c>
      <c r="H5" s="187">
        <f>'85'!A506</f>
        <v>4352</v>
      </c>
      <c r="I5" s="187">
        <f>'85'!A504</f>
        <v>6143</v>
      </c>
      <c r="K5" s="182"/>
      <c r="M5" s="40"/>
      <c r="N5" s="179"/>
    </row>
    <row r="6" spans="2:14" ht="13.2" x14ac:dyDescent="0.3">
      <c r="B6" s="244"/>
      <c r="C6" s="259" t="s">
        <v>292</v>
      </c>
      <c r="D6" s="40"/>
      <c r="E6" s="40"/>
      <c r="F6" s="40"/>
      <c r="G6" s="301">
        <f>'85'!A507/10</f>
        <v>8.3000000000000007</v>
      </c>
      <c r="H6" s="301">
        <f>'85'!A508/10</f>
        <v>4.4000000000000004</v>
      </c>
      <c r="I6" s="217"/>
      <c r="K6" s="182"/>
      <c r="L6" s="196"/>
      <c r="M6" s="40"/>
      <c r="N6" s="179"/>
    </row>
    <row r="7" spans="2:14" x14ac:dyDescent="0.2">
      <c r="B7" s="244"/>
      <c r="C7" s="182" t="s">
        <v>293</v>
      </c>
      <c r="D7" s="40"/>
      <c r="E7" s="40"/>
      <c r="F7" s="40"/>
      <c r="G7" s="187">
        <f>'85'!A509</f>
        <v>1755</v>
      </c>
      <c r="H7" s="187">
        <f>'85'!A510</f>
        <v>1774</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'85'!A501/10</f>
        <v>0.6</v>
      </c>
      <c r="H10" s="301">
        <f>'85'!A502/10</f>
        <v>1.1000000000000001</v>
      </c>
      <c r="I10" s="182" t="s">
        <v>302</v>
      </c>
      <c r="J10" s="182"/>
      <c r="K10" s="196"/>
      <c r="L10" s="302">
        <f>'85'!A511/100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'85'!A518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206</v>
      </c>
      <c r="I16" s="667">
        <f>INT(L10*3*G20/1000) + 120</f>
        <v>317</v>
      </c>
      <c r="K16" s="196"/>
      <c r="L16" s="196"/>
      <c r="M16" s="196"/>
      <c r="N16" s="179"/>
    </row>
    <row r="17" spans="2:14" x14ac:dyDescent="0.2">
      <c r="B17" s="244"/>
      <c r="C17" s="269" t="s">
        <v>299</v>
      </c>
      <c r="E17" s="40"/>
      <c r="F17" s="40"/>
      <c r="G17" s="667">
        <f>INT(L10*1.5*G20/1000) + 60</f>
        <v>158</v>
      </c>
      <c r="H17" s="667">
        <f>INT(L10*1.5*2*G20/1000) + 75</f>
        <v>272</v>
      </c>
      <c r="I17" s="667">
        <f>INT(L10*1.5*3*G20/1000) + 120</f>
        <v>416</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'85'!A515</f>
        <v>79345</v>
      </c>
      <c r="H20" s="304">
        <f>'85'!A516</f>
        <v>75378</v>
      </c>
      <c r="I20" s="304">
        <f>'85'!A517</f>
        <v>71410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'85'!A681</f>
        <v>Sales are beginning to tighten up as previous forecasts look</v>
      </c>
      <c r="G23" s="40"/>
      <c r="H23" s="40"/>
      <c r="I23" s="182"/>
      <c r="J23" s="40"/>
      <c r="K23" s="40"/>
      <c r="L23" s="40"/>
      <c r="M23" s="40"/>
      <c r="N23" s="179"/>
    </row>
    <row r="24" spans="2:14" ht="12" x14ac:dyDescent="0.25">
      <c r="B24" s="244"/>
      <c r="C24" s="247"/>
      <c r="F24" s="233" t="str">
        <f>'85'!A682</f>
        <v>too optimistic. Companies are hoping that the improvements</v>
      </c>
      <c r="G24" s="40"/>
      <c r="H24" s="40"/>
      <c r="I24" s="182"/>
      <c r="J24" s="40"/>
      <c r="K24" s="40"/>
      <c r="L24" s="40"/>
      <c r="M24" s="40"/>
      <c r="N24" s="179"/>
    </row>
    <row r="25" spans="2:14" ht="12" x14ac:dyDescent="0.25">
      <c r="B25" s="244"/>
      <c r="C25" s="247"/>
      <c r="F25" s="233" t="str">
        <f>'85'!A683</f>
        <v>they made in reducing costs and targetting marketing</v>
      </c>
      <c r="G25" s="40"/>
      <c r="H25" s="40"/>
      <c r="I25" s="182"/>
      <c r="J25" s="40"/>
      <c r="K25" s="40"/>
      <c r="L25" s="40"/>
      <c r="M25" s="40"/>
      <c r="N25" s="179"/>
    </row>
    <row r="26" spans="2:14" x14ac:dyDescent="0.2">
      <c r="B26" s="244"/>
      <c r="C26" s="233"/>
      <c r="F26" s="233" t="str">
        <f>'85'!A684</f>
        <v>will now prove worthwhile.</v>
      </c>
      <c r="G26" s="233"/>
      <c r="H26" s="233"/>
      <c r="I26" s="184"/>
      <c r="J26" s="233"/>
      <c r="K26" s="40"/>
      <c r="L26" s="40"/>
      <c r="M26" s="40"/>
      <c r="N26" s="179"/>
    </row>
    <row r="27" spans="2:14" x14ac:dyDescent="0.2">
      <c r="B27" s="244"/>
      <c r="C27" s="233"/>
      <c r="F27" s="233" t="str">
        <f>'85'!A685</f>
        <v xml:space="preserve"> </v>
      </c>
      <c r="G27" s="233"/>
      <c r="H27" s="233"/>
      <c r="I27" s="184"/>
      <c r="J27" s="233"/>
      <c r="K27" s="40"/>
      <c r="L27" s="40"/>
      <c r="M27" s="40"/>
      <c r="N27" s="179"/>
    </row>
    <row r="28" spans="2:14" x14ac:dyDescent="0.2">
      <c r="B28" s="244"/>
      <c r="C28" s="233"/>
      <c r="F28" s="233" t="str">
        <f>'85'!A686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'85'!A521</f>
        <v>1</v>
      </c>
      <c r="G33" s="309">
        <f>'85'!A541</f>
        <v>2</v>
      </c>
      <c r="H33" s="309">
        <f>'85'!A561</f>
        <v>3</v>
      </c>
      <c r="I33" s="309">
        <f>'85'!A581</f>
        <v>4</v>
      </c>
      <c r="J33" s="309">
        <f>'85'!A601</f>
        <v>5</v>
      </c>
      <c r="K33" s="309">
        <f>'85'!A621</f>
        <v>6</v>
      </c>
      <c r="L33" s="309">
        <f>'85'!A641</f>
        <v>7</v>
      </c>
      <c r="M33" s="309">
        <f>'85'!A661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'85'!A522/100</f>
        <v>71.13</v>
      </c>
      <c r="G35" s="310">
        <f>'85'!A542/100</f>
        <v>105.38</v>
      </c>
      <c r="H35" s="310">
        <f>'85'!A562/100</f>
        <v>103.36</v>
      </c>
      <c r="I35" s="310">
        <f>'85'!A582/100</f>
        <v>98.34</v>
      </c>
      <c r="J35" s="310">
        <f>'85'!A602/100</f>
        <v>101.57</v>
      </c>
      <c r="K35" s="310">
        <f>'85'!A622/100</f>
        <v>103.2</v>
      </c>
      <c r="L35" s="310">
        <f>'85'!A642/100</f>
        <v>99.85</v>
      </c>
      <c r="M35" s="310">
        <f>'85'!A662/100</f>
        <v>0</v>
      </c>
      <c r="N35" s="204"/>
    </row>
    <row r="36" spans="2:17" x14ac:dyDescent="0.2">
      <c r="B36" s="244"/>
      <c r="C36" s="40" t="s">
        <v>310</v>
      </c>
      <c r="D36" s="40"/>
      <c r="E36" s="40"/>
      <c r="F36" s="310">
        <f>'85'!A523</f>
        <v>2845200</v>
      </c>
      <c r="G36" s="310">
        <f>'85'!A543</f>
        <v>4215200</v>
      </c>
      <c r="H36" s="310">
        <f>'85'!A563</f>
        <v>4134400</v>
      </c>
      <c r="I36" s="310">
        <f>'85'!A583</f>
        <v>3933600</v>
      </c>
      <c r="J36" s="310">
        <f>'85'!A603</f>
        <v>4062800</v>
      </c>
      <c r="K36" s="310">
        <f>'85'!A623</f>
        <v>4128000</v>
      </c>
      <c r="L36" s="310">
        <f>'85'!A643</f>
        <v>3994000</v>
      </c>
      <c r="M36" s="310">
        <f>'85'!A663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'85'!A524</f>
        <v>0</v>
      </c>
      <c r="G38" s="310">
        <f>'85'!A544</f>
        <v>0</v>
      </c>
      <c r="H38" s="310">
        <f>'85'!A564</f>
        <v>0</v>
      </c>
      <c r="I38" s="310">
        <f>'85'!A584</f>
        <v>0</v>
      </c>
      <c r="J38" s="310">
        <f>'85'!A604</f>
        <v>0</v>
      </c>
      <c r="K38" s="310">
        <f>'85'!A624</f>
        <v>0</v>
      </c>
      <c r="L38" s="310">
        <f>'85'!A644</f>
        <v>0</v>
      </c>
      <c r="M38" s="310">
        <f>'85'!A664</f>
        <v>0</v>
      </c>
      <c r="N38" s="204"/>
    </row>
    <row r="39" spans="2:17" x14ac:dyDescent="0.2">
      <c r="B39" s="244"/>
      <c r="C39" s="40" t="s">
        <v>312</v>
      </c>
      <c r="D39" s="40"/>
      <c r="E39" s="40"/>
      <c r="F39" s="310">
        <f>'85'!A525</f>
        <v>2845200</v>
      </c>
      <c r="G39" s="310">
        <f>'85'!A545</f>
        <v>4215200</v>
      </c>
      <c r="H39" s="310">
        <f>'85'!A565</f>
        <v>4134400</v>
      </c>
      <c r="I39" s="310">
        <f>'85'!A585</f>
        <v>3933600</v>
      </c>
      <c r="J39" s="310">
        <f>'85'!A605</f>
        <v>4062800</v>
      </c>
      <c r="K39" s="310">
        <f>'85'!A625</f>
        <v>4128000</v>
      </c>
      <c r="L39" s="310">
        <f>'85'!A645</f>
        <v>3994000</v>
      </c>
      <c r="M39" s="310">
        <f>'85'!A665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'85'!A526</f>
        <v>325</v>
      </c>
      <c r="G43" s="310">
        <f>'85'!A546</f>
        <v>343</v>
      </c>
      <c r="H43" s="310">
        <f>'85'!A566</f>
        <v>339</v>
      </c>
      <c r="I43" s="310">
        <f>'85'!A586</f>
        <v>320</v>
      </c>
      <c r="J43" s="310">
        <f>'85'!A606</f>
        <v>340</v>
      </c>
      <c r="K43" s="310">
        <f>'85'!A626</f>
        <v>315</v>
      </c>
      <c r="L43" s="310">
        <f>'85'!A646</f>
        <v>335</v>
      </c>
      <c r="M43" s="310">
        <f>'85'!A666</f>
        <v>0</v>
      </c>
      <c r="N43" s="204"/>
    </row>
    <row r="44" spans="2:17" x14ac:dyDescent="0.2">
      <c r="B44" s="244"/>
      <c r="C44" s="40" t="s">
        <v>1</v>
      </c>
      <c r="D44" s="182" t="s">
        <v>19</v>
      </c>
      <c r="E44" s="40"/>
      <c r="F44" s="310">
        <f>'85'!A527</f>
        <v>335</v>
      </c>
      <c r="G44" s="310">
        <f>'85'!A547</f>
        <v>330</v>
      </c>
      <c r="H44" s="310">
        <f>'85'!A567</f>
        <v>349</v>
      </c>
      <c r="I44" s="310">
        <f>'85'!A587</f>
        <v>325</v>
      </c>
      <c r="J44" s="310">
        <f>'85'!A607</f>
        <v>350</v>
      </c>
      <c r="K44" s="310">
        <f>'85'!A627</f>
        <v>340</v>
      </c>
      <c r="L44" s="310">
        <f>'85'!A647</f>
        <v>345</v>
      </c>
      <c r="M44" s="310">
        <f>'85'!A667</f>
        <v>0</v>
      </c>
      <c r="N44" s="204"/>
    </row>
    <row r="45" spans="2:17" x14ac:dyDescent="0.2">
      <c r="B45" s="244"/>
      <c r="C45" s="40"/>
      <c r="D45" s="40" t="s">
        <v>18</v>
      </c>
      <c r="E45" s="40"/>
      <c r="F45" s="310">
        <f>'85'!A528</f>
        <v>355</v>
      </c>
      <c r="G45" s="310">
        <f>'85'!A548</f>
        <v>365</v>
      </c>
      <c r="H45" s="310">
        <f>'85'!A568</f>
        <v>389</v>
      </c>
      <c r="I45" s="310">
        <f>'85'!A588</f>
        <v>360</v>
      </c>
      <c r="J45" s="310">
        <f>'85'!A608</f>
        <v>375</v>
      </c>
      <c r="K45" s="310">
        <f>'85'!A628</f>
        <v>370</v>
      </c>
      <c r="L45" s="310">
        <f>'85'!A648</f>
        <v>375</v>
      </c>
      <c r="M45" s="310">
        <f>'85'!A668</f>
        <v>0</v>
      </c>
      <c r="N45" s="204"/>
    </row>
    <row r="46" spans="2:17" x14ac:dyDescent="0.2">
      <c r="B46" s="244"/>
      <c r="C46" s="40" t="s">
        <v>316</v>
      </c>
      <c r="D46" s="40"/>
      <c r="E46" s="40"/>
      <c r="F46" s="310">
        <f>'85'!A529</f>
        <v>490</v>
      </c>
      <c r="G46" s="310">
        <f>'85'!A549</f>
        <v>492</v>
      </c>
      <c r="H46" s="310">
        <f>'85'!A569</f>
        <v>499</v>
      </c>
      <c r="I46" s="310">
        <f>'85'!A589</f>
        <v>530</v>
      </c>
      <c r="J46" s="310">
        <f>'85'!A609</f>
        <v>500</v>
      </c>
      <c r="K46" s="310">
        <f>'85'!A629</f>
        <v>489</v>
      </c>
      <c r="L46" s="310">
        <f>'85'!A649</f>
        <v>495</v>
      </c>
      <c r="M46" s="310">
        <f>'85'!A669</f>
        <v>0</v>
      </c>
      <c r="N46" s="204"/>
    </row>
    <row r="47" spans="2:17" x14ac:dyDescent="0.2">
      <c r="B47" s="244"/>
      <c r="C47" s="40" t="s">
        <v>1</v>
      </c>
      <c r="D47" s="182" t="s">
        <v>19</v>
      </c>
      <c r="E47" s="40"/>
      <c r="F47" s="310">
        <f>'85'!A530</f>
        <v>490</v>
      </c>
      <c r="G47" s="310">
        <f>'85'!A550</f>
        <v>490</v>
      </c>
      <c r="H47" s="310">
        <f>'85'!A570</f>
        <v>499</v>
      </c>
      <c r="I47" s="310">
        <f>'85'!A590</f>
        <v>530</v>
      </c>
      <c r="J47" s="310">
        <f>'85'!A610</f>
        <v>500</v>
      </c>
      <c r="K47" s="310">
        <f>'85'!A630</f>
        <v>489</v>
      </c>
      <c r="L47" s="310">
        <f>'85'!A650</f>
        <v>495</v>
      </c>
      <c r="M47" s="310">
        <f>'85'!A670</f>
        <v>0</v>
      </c>
      <c r="N47" s="204"/>
    </row>
    <row r="48" spans="2:17" x14ac:dyDescent="0.2">
      <c r="B48" s="244"/>
      <c r="C48" s="40"/>
      <c r="D48" s="40" t="s">
        <v>20</v>
      </c>
      <c r="E48" s="40"/>
      <c r="F48" s="310">
        <f>'85'!A531</f>
        <v>550</v>
      </c>
      <c r="G48" s="310">
        <f>'85'!A551</f>
        <v>580</v>
      </c>
      <c r="H48" s="310">
        <f>'85'!A571</f>
        <v>599</v>
      </c>
      <c r="I48" s="310">
        <f>'85'!A591</f>
        <v>600</v>
      </c>
      <c r="J48" s="310">
        <f>'85'!A611</f>
        <v>570</v>
      </c>
      <c r="K48" s="310">
        <f>'85'!A631</f>
        <v>579</v>
      </c>
      <c r="L48" s="310">
        <f>'85'!A651</f>
        <v>595</v>
      </c>
      <c r="M48" s="310">
        <f>'85'!A671</f>
        <v>0</v>
      </c>
      <c r="N48" s="204"/>
    </row>
    <row r="49" spans="2:14" x14ac:dyDescent="0.2">
      <c r="B49" s="244"/>
      <c r="C49" s="40" t="s">
        <v>317</v>
      </c>
      <c r="D49" s="40"/>
      <c r="E49" s="40"/>
      <c r="F49" s="310">
        <f>'85'!A532</f>
        <v>700</v>
      </c>
      <c r="G49" s="310">
        <f>'85'!A552</f>
        <v>712</v>
      </c>
      <c r="H49" s="310">
        <f>'85'!A572</f>
        <v>719</v>
      </c>
      <c r="I49" s="310">
        <f>'85'!A592</f>
        <v>710</v>
      </c>
      <c r="J49" s="310">
        <f>'85'!A612</f>
        <v>715</v>
      </c>
      <c r="K49" s="310">
        <f>'85'!A632</f>
        <v>699</v>
      </c>
      <c r="L49" s="310">
        <f>'85'!A652</f>
        <v>700</v>
      </c>
      <c r="M49" s="310">
        <f>'85'!A672</f>
        <v>0</v>
      </c>
      <c r="N49" s="204"/>
    </row>
    <row r="50" spans="2:14" x14ac:dyDescent="0.2">
      <c r="B50" s="244"/>
      <c r="C50" s="40" t="s">
        <v>1</v>
      </c>
      <c r="D50" s="182" t="s">
        <v>19</v>
      </c>
      <c r="E50" s="40"/>
      <c r="F50" s="310">
        <f>'85'!A533</f>
        <v>725</v>
      </c>
      <c r="G50" s="310">
        <f>'85'!A553</f>
        <v>720</v>
      </c>
      <c r="H50" s="310">
        <f>'85'!A573</f>
        <v>739</v>
      </c>
      <c r="I50" s="310">
        <f>'85'!A593</f>
        <v>735</v>
      </c>
      <c r="J50" s="310">
        <f>'85'!A613</f>
        <v>740</v>
      </c>
      <c r="K50" s="310">
        <f>'85'!A633</f>
        <v>720</v>
      </c>
      <c r="L50" s="310">
        <f>'85'!A653</f>
        <v>725</v>
      </c>
      <c r="M50" s="310">
        <f>'85'!A673</f>
        <v>0</v>
      </c>
      <c r="N50" s="204"/>
    </row>
    <row r="51" spans="2:14" x14ac:dyDescent="0.2">
      <c r="B51" s="244"/>
      <c r="C51" s="40"/>
      <c r="D51" s="40" t="s">
        <v>18</v>
      </c>
      <c r="E51" s="40"/>
      <c r="F51" s="310">
        <f>'85'!A534</f>
        <v>780</v>
      </c>
      <c r="G51" s="310">
        <f>'85'!A554</f>
        <v>855</v>
      </c>
      <c r="H51" s="310">
        <f>'85'!A574</f>
        <v>829</v>
      </c>
      <c r="I51" s="310">
        <f>'85'!A594</f>
        <v>820</v>
      </c>
      <c r="J51" s="310">
        <f>'85'!A614</f>
        <v>800</v>
      </c>
      <c r="K51" s="310">
        <f>'85'!A634</f>
        <v>820</v>
      </c>
      <c r="L51" s="310">
        <f>'85'!A654</f>
        <v>850</v>
      </c>
      <c r="M51" s="310">
        <f>'85'!A674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'85'!A535</f>
        <v>66</v>
      </c>
      <c r="G53" s="310">
        <f>'85'!A555</f>
        <v>73</v>
      </c>
      <c r="H53" s="310">
        <f>'85'!A575</f>
        <v>81</v>
      </c>
      <c r="I53" s="310">
        <f>'85'!A595</f>
        <v>62</v>
      </c>
      <c r="J53" s="310">
        <f>'85'!A615</f>
        <v>63</v>
      </c>
      <c r="K53" s="310">
        <f>'85'!A635</f>
        <v>84</v>
      </c>
      <c r="L53" s="310">
        <f>'85'!A655</f>
        <v>95</v>
      </c>
      <c r="M53" s="310">
        <f>'85'!A675</f>
        <v>0</v>
      </c>
      <c r="N53" s="204"/>
    </row>
    <row r="54" spans="2:14" ht="13.2" x14ac:dyDescent="0.3">
      <c r="B54" s="244"/>
      <c r="C54" s="256" t="s">
        <v>319</v>
      </c>
      <c r="D54" s="40"/>
      <c r="E54" s="40"/>
      <c r="F54" s="310">
        <f>'85'!A536</f>
        <v>1270</v>
      </c>
      <c r="G54" s="310">
        <f>'85'!A556</f>
        <v>1280</v>
      </c>
      <c r="H54" s="310">
        <f>'85'!A576</f>
        <v>1300</v>
      </c>
      <c r="I54" s="310">
        <f>'85'!A596</f>
        <v>1325</v>
      </c>
      <c r="J54" s="310">
        <f>'85'!A616</f>
        <v>1280</v>
      </c>
      <c r="K54" s="310">
        <f>'85'!A636</f>
        <v>1240</v>
      </c>
      <c r="L54" s="310">
        <f>'85'!A656</f>
        <v>1365</v>
      </c>
      <c r="M54" s="310">
        <f>'85'!A676</f>
        <v>0</v>
      </c>
      <c r="N54" s="204"/>
    </row>
    <row r="55" spans="2:14" x14ac:dyDescent="0.2">
      <c r="B55" s="244"/>
      <c r="C55" s="40" t="s">
        <v>320</v>
      </c>
      <c r="D55" s="40"/>
      <c r="E55" s="40"/>
      <c r="F55" s="310">
        <f>'85'!A537</f>
        <v>5</v>
      </c>
      <c r="G55" s="310">
        <f>'85'!A557</f>
        <v>5</v>
      </c>
      <c r="H55" s="310">
        <f>'85'!A577</f>
        <v>11</v>
      </c>
      <c r="I55" s="310">
        <f>'85'!A597</f>
        <v>4</v>
      </c>
      <c r="J55" s="310">
        <f>'85'!A617</f>
        <v>6</v>
      </c>
      <c r="K55" s="310">
        <f>'85'!A637</f>
        <v>9</v>
      </c>
      <c r="L55" s="310">
        <f>'85'!A657</f>
        <v>5</v>
      </c>
      <c r="M55" s="310">
        <f>'85'!A677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'85'!$A59</f>
        <v>4</v>
      </c>
      <c r="K61" s="170" t="s">
        <v>81</v>
      </c>
      <c r="L61" s="172">
        <f>'85'!$A62</f>
        <v>10</v>
      </c>
      <c r="M61" s="170" t="s">
        <v>289</v>
      </c>
      <c r="N61" s="517">
        <f>'85'!$A63</f>
        <v>8</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'85'!A701</f>
        <v>1</v>
      </c>
      <c r="G65" s="319">
        <f>'85'!A721</f>
        <v>2</v>
      </c>
      <c r="H65" s="319">
        <f>'85'!A741</f>
        <v>3</v>
      </c>
      <c r="I65" s="319">
        <f>'85'!A761</f>
        <v>4</v>
      </c>
      <c r="J65" s="319">
        <f>'85'!A781</f>
        <v>5</v>
      </c>
      <c r="K65" s="319">
        <f>'85'!A801</f>
        <v>6</v>
      </c>
      <c r="L65" s="319">
        <f>'85'!A821</f>
        <v>7</v>
      </c>
      <c r="M65" s="319" t="str">
        <f>'85'!A841</f>
        <v xml:space="preserve"> </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'85'!A702</f>
        <v>1998664</v>
      </c>
      <c r="G67" s="310">
        <f>'85'!A722</f>
        <v>1720606</v>
      </c>
      <c r="H67" s="310">
        <f>'85'!A742</f>
        <v>2275482</v>
      </c>
      <c r="I67" s="310">
        <f>'85'!A762</f>
        <v>1577736</v>
      </c>
      <c r="J67" s="310">
        <f>'85'!A782</f>
        <v>1637736</v>
      </c>
      <c r="K67" s="310">
        <f>'85'!A802</f>
        <v>2283852</v>
      </c>
      <c r="L67" s="310">
        <f>'85'!A822</f>
        <v>1660606</v>
      </c>
      <c r="M67" s="310" t="str">
        <f>'85'!A842</f>
        <v xml:space="preserve"> </v>
      </c>
      <c r="N67" s="179"/>
    </row>
    <row r="68" spans="2:14" x14ac:dyDescent="0.2">
      <c r="B68" s="244"/>
      <c r="C68" s="40" t="s">
        <v>326</v>
      </c>
      <c r="D68" s="40"/>
      <c r="E68" s="40"/>
      <c r="F68" s="310">
        <f>'85'!A703</f>
        <v>1837172</v>
      </c>
      <c r="G68" s="310">
        <f>'85'!A723</f>
        <v>1301918</v>
      </c>
      <c r="H68" s="310">
        <f>'85'!A743</f>
        <v>594807</v>
      </c>
      <c r="I68" s="310">
        <f>'85'!A763</f>
        <v>746073</v>
      </c>
      <c r="J68" s="310">
        <f>'85'!A783</f>
        <v>1090297</v>
      </c>
      <c r="K68" s="310">
        <f>'85'!A803</f>
        <v>466798</v>
      </c>
      <c r="L68" s="310">
        <f>'85'!A823</f>
        <v>504646</v>
      </c>
      <c r="M68" s="310" t="str">
        <f>'85'!A843</f>
        <v xml:space="preserve"> </v>
      </c>
      <c r="N68" s="179"/>
    </row>
    <row r="69" spans="2:14" x14ac:dyDescent="0.2">
      <c r="B69" s="244"/>
      <c r="C69" s="40" t="s">
        <v>327</v>
      </c>
      <c r="D69" s="40"/>
      <c r="E69" s="40"/>
      <c r="F69" s="310">
        <f>'85'!A704</f>
        <v>701903</v>
      </c>
      <c r="G69" s="310">
        <f>'85'!A724</f>
        <v>1032530</v>
      </c>
      <c r="H69" s="310">
        <f>'85'!A744</f>
        <v>1323637</v>
      </c>
      <c r="I69" s="310">
        <f>'85'!A764</f>
        <v>787605</v>
      </c>
      <c r="J69" s="310">
        <f>'85'!A784</f>
        <v>984989</v>
      </c>
      <c r="K69" s="310">
        <f>'85'!A804</f>
        <v>1332170</v>
      </c>
      <c r="L69" s="310">
        <f>'85'!A824</f>
        <v>1061858</v>
      </c>
      <c r="M69" s="310" t="str">
        <f>'85'!A844</f>
        <v xml:space="preserve"> </v>
      </c>
      <c r="N69" s="179"/>
    </row>
    <row r="70" spans="2:14" x14ac:dyDescent="0.2">
      <c r="B70" s="244"/>
      <c r="C70" s="40" t="s">
        <v>328</v>
      </c>
      <c r="D70" s="40"/>
      <c r="E70" s="40"/>
      <c r="F70" s="310">
        <f>'85'!A705</f>
        <v>1150000</v>
      </c>
      <c r="G70" s="310">
        <f>'85'!A725</f>
        <v>650000</v>
      </c>
      <c r="H70" s="310">
        <f>'85'!A745</f>
        <v>1150000</v>
      </c>
      <c r="I70" s="310">
        <f>'85'!A765</f>
        <v>1330004</v>
      </c>
      <c r="J70" s="310">
        <f>'85'!A785</f>
        <v>1150000</v>
      </c>
      <c r="K70" s="310">
        <f>'85'!A805</f>
        <v>1150000</v>
      </c>
      <c r="L70" s="310">
        <f>'85'!A825</f>
        <v>1297697</v>
      </c>
      <c r="M70" s="310" t="str">
        <f>'85'!A845</f>
        <v xml:space="preserve"> </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'85'!A708</f>
        <v>0</v>
      </c>
      <c r="G73" s="310">
        <f>'85'!A728</f>
        <v>0</v>
      </c>
      <c r="H73" s="310">
        <f>'85'!A748</f>
        <v>0</v>
      </c>
      <c r="I73" s="310">
        <f>'85'!A768</f>
        <v>0</v>
      </c>
      <c r="J73" s="310">
        <f>'85'!A788</f>
        <v>0</v>
      </c>
      <c r="K73" s="310">
        <f>'85'!A808</f>
        <v>0</v>
      </c>
      <c r="L73" s="310">
        <f>'85'!A828</f>
        <v>0</v>
      </c>
      <c r="M73" s="310" t="str">
        <f>'85'!A848</f>
        <v xml:space="preserve"> </v>
      </c>
      <c r="N73" s="179"/>
    </row>
    <row r="74" spans="2:14" x14ac:dyDescent="0.2">
      <c r="B74" s="244"/>
      <c r="C74" s="321" t="s">
        <v>331</v>
      </c>
      <c r="D74" s="40"/>
      <c r="E74" s="40"/>
      <c r="F74" s="310">
        <f>'85'!A709</f>
        <v>1163530</v>
      </c>
      <c r="G74" s="310">
        <f>'85'!A729</f>
        <v>777300</v>
      </c>
      <c r="H74" s="310">
        <f>'85'!A749</f>
        <v>716676</v>
      </c>
      <c r="I74" s="310">
        <f>'85'!A769</f>
        <v>473070</v>
      </c>
      <c r="J74" s="310">
        <f>'85'!A789</f>
        <v>801730</v>
      </c>
      <c r="K74" s="310">
        <f>'85'!A809</f>
        <v>396563</v>
      </c>
      <c r="L74" s="310">
        <f>'85'!A829</f>
        <v>591855</v>
      </c>
      <c r="M74" s="310" t="str">
        <f>'85'!A849</f>
        <v xml:space="preserve"> </v>
      </c>
      <c r="N74" s="179"/>
    </row>
    <row r="75" spans="2:14" x14ac:dyDescent="0.2">
      <c r="B75" s="244"/>
      <c r="C75" s="40" t="s">
        <v>332</v>
      </c>
      <c r="D75" s="40"/>
      <c r="E75" s="40"/>
      <c r="F75" s="310">
        <f>'85'!A710</f>
        <v>1175528</v>
      </c>
      <c r="G75" s="310">
        <f>'85'!A730</f>
        <v>34563</v>
      </c>
      <c r="H75" s="310">
        <f>'85'!A750</f>
        <v>615785</v>
      </c>
      <c r="I75" s="310">
        <f>'85'!A770</f>
        <v>0</v>
      </c>
      <c r="J75" s="310">
        <f>'85'!A790</f>
        <v>194234</v>
      </c>
      <c r="K75" s="310">
        <f>'85'!A810</f>
        <v>799975</v>
      </c>
      <c r="L75" s="310">
        <f>'85'!A830</f>
        <v>0</v>
      </c>
      <c r="M75" s="310" t="str">
        <f>'85'!A850</f>
        <v xml:space="preserve"> </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'85'!A712</f>
        <v>0</v>
      </c>
      <c r="G77" s="310">
        <f>'85'!A732</f>
        <v>0</v>
      </c>
      <c r="H77" s="310">
        <f>'85'!A752</f>
        <v>0</v>
      </c>
      <c r="I77" s="310">
        <f>'85'!A772</f>
        <v>0</v>
      </c>
      <c r="J77" s="310">
        <f>'85'!A792</f>
        <v>0</v>
      </c>
      <c r="K77" s="310">
        <f>'85'!A812</f>
        <v>0</v>
      </c>
      <c r="L77" s="310">
        <f>'85'!A832</f>
        <v>0</v>
      </c>
      <c r="M77" s="310" t="str">
        <f>'85'!A852</f>
        <v xml:space="preserve"> </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'85'!A714</f>
        <v>4000000</v>
      </c>
      <c r="G80" s="310">
        <f>'85'!A734</f>
        <v>4000000</v>
      </c>
      <c r="H80" s="310">
        <f>'85'!A754</f>
        <v>4000000</v>
      </c>
      <c r="I80" s="310">
        <f>'85'!A774</f>
        <v>4000000</v>
      </c>
      <c r="J80" s="310">
        <f>'85'!A794</f>
        <v>4000000</v>
      </c>
      <c r="K80" s="310">
        <f>'85'!A814</f>
        <v>4000000</v>
      </c>
      <c r="L80" s="310">
        <f>'85'!A834</f>
        <v>4000000</v>
      </c>
      <c r="M80" s="310" t="str">
        <f>'85'!A854</f>
        <v xml:space="preserve"> </v>
      </c>
      <c r="N80" s="179"/>
    </row>
    <row r="81" spans="2:14" x14ac:dyDescent="0.2">
      <c r="B81" s="244"/>
      <c r="C81" s="40" t="s">
        <v>336</v>
      </c>
      <c r="D81" s="40"/>
      <c r="E81" s="40"/>
      <c r="F81" s="310">
        <f>'85'!A715</f>
        <v>0</v>
      </c>
      <c r="G81" s="310">
        <f>'85'!A735</f>
        <v>0</v>
      </c>
      <c r="H81" s="310">
        <f>'85'!A755</f>
        <v>0</v>
      </c>
      <c r="I81" s="310">
        <f>'85'!A775</f>
        <v>0</v>
      </c>
      <c r="J81" s="310">
        <f>'85'!A795</f>
        <v>0</v>
      </c>
      <c r="K81" s="310">
        <f>'85'!A815</f>
        <v>0</v>
      </c>
      <c r="L81" s="310">
        <f>'85'!A835</f>
        <v>0</v>
      </c>
      <c r="M81" s="310" t="str">
        <f>'85'!A855</f>
        <v xml:space="preserve"> </v>
      </c>
      <c r="N81" s="179"/>
    </row>
    <row r="82" spans="2:14" x14ac:dyDescent="0.2">
      <c r="B82" s="244"/>
      <c r="C82" s="40" t="s">
        <v>337</v>
      </c>
      <c r="D82" s="40"/>
      <c r="E82" s="40"/>
      <c r="F82" s="310">
        <f>'85'!A716</f>
        <v>-651319</v>
      </c>
      <c r="G82" s="310">
        <f>'85'!A736</f>
        <v>-106809</v>
      </c>
      <c r="H82" s="310">
        <f>'85'!A756</f>
        <v>11465</v>
      </c>
      <c r="I82" s="310">
        <f>'85'!A776</f>
        <v>-31652</v>
      </c>
      <c r="J82" s="310">
        <f>'85'!A796</f>
        <v>-132942</v>
      </c>
      <c r="K82" s="310">
        <f>'85'!A816</f>
        <v>36282</v>
      </c>
      <c r="L82" s="310">
        <f>'85'!A836</f>
        <v>-67048</v>
      </c>
      <c r="M82" s="310" t="str">
        <f>'85'!A856</f>
        <v xml:space="preserve"> </v>
      </c>
      <c r="N82" s="179"/>
    </row>
    <row r="83" spans="2:14" ht="12" x14ac:dyDescent="0.25">
      <c r="B83" s="244"/>
      <c r="C83" s="247" t="s">
        <v>338</v>
      </c>
      <c r="D83" s="40"/>
      <c r="E83" s="40"/>
      <c r="F83" s="310">
        <f t="shared" ref="F83:M83" si="0">SUM(F80:F82)</f>
        <v>3348681</v>
      </c>
      <c r="G83" s="310">
        <f t="shared" si="0"/>
        <v>3893191</v>
      </c>
      <c r="H83" s="310">
        <f t="shared" si="0"/>
        <v>4011465</v>
      </c>
      <c r="I83" s="310">
        <f t="shared" si="0"/>
        <v>3968348</v>
      </c>
      <c r="J83" s="310">
        <f t="shared" si="0"/>
        <v>3867058</v>
      </c>
      <c r="K83" s="310">
        <f t="shared" si="0"/>
        <v>4036282</v>
      </c>
      <c r="L83" s="310">
        <f t="shared" si="0"/>
        <v>3932952</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878" t="str">
        <f>'85'!A330</f>
        <v xml:space="preserve"> </v>
      </c>
      <c r="N88" s="179"/>
    </row>
    <row r="89" spans="2:14" ht="12" x14ac:dyDescent="0.25">
      <c r="B89" s="244"/>
      <c r="C89" s="40"/>
      <c r="D89" s="175" t="s">
        <v>340</v>
      </c>
      <c r="F89" s="309">
        <f>'85'!A331</f>
        <v>1</v>
      </c>
      <c r="G89" s="309">
        <f>'85'!A341</f>
        <v>2</v>
      </c>
      <c r="H89" s="309">
        <f>'85'!A351</f>
        <v>3</v>
      </c>
      <c r="I89" s="309">
        <f>'85'!A361</f>
        <v>4</v>
      </c>
      <c r="J89" s="309">
        <f>'85'!A371</f>
        <v>5</v>
      </c>
      <c r="K89" s="309">
        <f>'85'!A381</f>
        <v>6</v>
      </c>
      <c r="L89" s="309">
        <f>'85'!A391</f>
        <v>7</v>
      </c>
      <c r="M89" s="309">
        <f>'85'!A401</f>
        <v>8</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'85'!A332</f>
        <v xml:space="preserve">  5.4</v>
      </c>
      <c r="G91" s="213" t="str">
        <f>'85'!A342</f>
        <v xml:space="preserve">  4.9</v>
      </c>
      <c r="H91" s="213" t="str">
        <f>'85'!A352</f>
        <v xml:space="preserve">  5.6</v>
      </c>
      <c r="I91" s="213" t="str">
        <f>'85'!A362</f>
        <v xml:space="preserve">  5.1</v>
      </c>
      <c r="J91" s="213" t="str">
        <f>'85'!A372</f>
        <v xml:space="preserve">  5.3</v>
      </c>
      <c r="K91" s="213" t="str">
        <f>'85'!A382</f>
        <v xml:space="preserve">  6.3</v>
      </c>
      <c r="L91" s="213" t="str">
        <f>'85'!A392</f>
        <v xml:space="preserve">  5.5</v>
      </c>
      <c r="M91" s="213">
        <f>'85'!A402</f>
        <v>0</v>
      </c>
      <c r="N91" s="179"/>
    </row>
    <row r="92" spans="2:14" x14ac:dyDescent="0.2">
      <c r="B92" s="244"/>
      <c r="C92" s="40"/>
      <c r="D92" s="182" t="s">
        <v>23</v>
      </c>
      <c r="E92" s="40"/>
      <c r="F92" s="213" t="str">
        <f>'85'!A333</f>
        <v xml:space="preserve">  1.2</v>
      </c>
      <c r="G92" s="213" t="str">
        <f>'85'!A343</f>
        <v xml:space="preserve">  2.6</v>
      </c>
      <c r="H92" s="213" t="str">
        <f>'85'!A353</f>
        <v xml:space="preserve">  4.2</v>
      </c>
      <c r="I92" s="213" t="str">
        <f>'85'!A363</f>
        <v xml:space="preserve">  1.0</v>
      </c>
      <c r="J92" s="213" t="str">
        <f>'85'!A373</f>
        <v xml:space="preserve">  2.0</v>
      </c>
      <c r="K92" s="213" t="str">
        <f>'85'!A383</f>
        <v xml:space="preserve">  4.4</v>
      </c>
      <c r="L92" s="213" t="str">
        <f>'85'!A393</f>
        <v xml:space="preserve">  3.4</v>
      </c>
      <c r="M92" s="213">
        <f>'85'!A403</f>
        <v>0</v>
      </c>
      <c r="N92" s="179"/>
    </row>
    <row r="93" spans="2:14" x14ac:dyDescent="0.2">
      <c r="B93" s="244"/>
      <c r="C93" s="40"/>
      <c r="D93" s="182" t="s">
        <v>24</v>
      </c>
      <c r="E93" s="40"/>
      <c r="F93" s="213" t="str">
        <f>'85'!A334</f>
        <v xml:space="preserve">  3.5</v>
      </c>
      <c r="G93" s="213" t="str">
        <f>'85'!A344</f>
        <v xml:space="preserve">  9.8</v>
      </c>
      <c r="H93" s="213" t="str">
        <f>'85'!A354</f>
        <v xml:space="preserve">  5.1</v>
      </c>
      <c r="I93" s="213" t="str">
        <f>'85'!A364</f>
        <v xml:space="preserve">  6.5</v>
      </c>
      <c r="J93" s="213" t="str">
        <f>'85'!A374</f>
        <v xml:space="preserve">  6.3</v>
      </c>
      <c r="K93" s="213" t="str">
        <f>'85'!A384</f>
        <v xml:space="preserve">  6.1</v>
      </c>
      <c r="L93" s="213" t="str">
        <f>'85'!A394</f>
        <v xml:space="preserve">  7.9</v>
      </c>
      <c r="M93" s="213">
        <f>'85'!A404</f>
        <v>0</v>
      </c>
      <c r="N93" s="179"/>
    </row>
    <row r="94" spans="2:14" x14ac:dyDescent="0.2">
      <c r="B94" s="244"/>
      <c r="C94" s="40" t="s">
        <v>343</v>
      </c>
      <c r="D94" s="40"/>
      <c r="E94" s="40"/>
      <c r="F94" s="213" t="str">
        <f>'85'!A335</f>
        <v xml:space="preserve">  3.6</v>
      </c>
      <c r="G94" s="213" t="str">
        <f>'85'!A345</f>
        <v xml:space="preserve">  7.3</v>
      </c>
      <c r="H94" s="213" t="str">
        <f>'85'!A355</f>
        <v xml:space="preserve">  8.8</v>
      </c>
      <c r="I94" s="213" t="str">
        <f>'85'!A365</f>
        <v xml:space="preserve">  4.7</v>
      </c>
      <c r="J94" s="213" t="str">
        <f>'85'!A375</f>
        <v xml:space="preserve">  5.8</v>
      </c>
      <c r="K94" s="213" t="str">
        <f>'85'!A385</f>
        <v xml:space="preserve">  7.5</v>
      </c>
      <c r="L94" s="213" t="str">
        <f>'85'!A395</f>
        <v xml:space="preserve">  7.2</v>
      </c>
      <c r="M94" s="213">
        <f>'85'!A405</f>
        <v>0</v>
      </c>
      <c r="N94" s="179"/>
    </row>
    <row r="95" spans="2:14" x14ac:dyDescent="0.2">
      <c r="B95" s="244"/>
      <c r="C95" s="40"/>
      <c r="D95" s="182" t="s">
        <v>23</v>
      </c>
      <c r="E95" s="40"/>
      <c r="F95" s="213" t="str">
        <f>'85'!A336</f>
        <v xml:space="preserve">  2.7</v>
      </c>
      <c r="G95" s="213" t="str">
        <f>'85'!A346</f>
        <v xml:space="preserve">  5.1</v>
      </c>
      <c r="H95" s="213" t="str">
        <f>'85'!A356</f>
        <v xml:space="preserve">  9.6</v>
      </c>
      <c r="I95" s="213" t="str">
        <f>'85'!A366</f>
        <v xml:space="preserve">  1.4</v>
      </c>
      <c r="J95" s="213" t="str">
        <f>'85'!A376</f>
        <v xml:space="preserve">  2.7</v>
      </c>
      <c r="K95" s="213" t="str">
        <f>'85'!A386</f>
        <v xml:space="preserve">  7.9</v>
      </c>
      <c r="L95" s="213" t="str">
        <f>'85'!A396</f>
        <v xml:space="preserve">  3.5</v>
      </c>
      <c r="M95" s="213">
        <f>'85'!A406</f>
        <v>0</v>
      </c>
      <c r="N95" s="179"/>
    </row>
    <row r="96" spans="2:14" x14ac:dyDescent="0.2">
      <c r="B96" s="244"/>
      <c r="C96" s="40"/>
      <c r="D96" s="224" t="s">
        <v>25</v>
      </c>
      <c r="E96" s="40"/>
      <c r="F96" s="213" t="str">
        <f>'85'!A337</f>
        <v xml:space="preserve">  3.1</v>
      </c>
      <c r="G96" s="213" t="str">
        <f>'85'!A347</f>
        <v xml:space="preserve">  9.7</v>
      </c>
      <c r="H96" s="213" t="str">
        <f>'85'!A357</f>
        <v xml:space="preserve">  7.2</v>
      </c>
      <c r="I96" s="213" t="str">
        <f>'85'!A367</f>
        <v xml:space="preserve">  6.1</v>
      </c>
      <c r="J96" s="213" t="str">
        <f>'85'!A377</f>
        <v xml:space="preserve">  8.4</v>
      </c>
      <c r="K96" s="213" t="str">
        <f>'85'!A387</f>
        <v xml:space="preserve">  7.2</v>
      </c>
      <c r="L96" s="213" t="str">
        <f>'85'!A397</f>
        <v xml:space="preserve">  8.2</v>
      </c>
      <c r="M96" s="213">
        <f>'85'!A407</f>
        <v>0</v>
      </c>
      <c r="N96" s="179"/>
    </row>
    <row r="97" spans="2:14" x14ac:dyDescent="0.2">
      <c r="B97" s="244"/>
      <c r="C97" s="40" t="s">
        <v>344</v>
      </c>
      <c r="D97" s="40"/>
      <c r="E97" s="40"/>
      <c r="F97" s="213" t="str">
        <f>'85'!A338</f>
        <v xml:space="preserve">  5.5</v>
      </c>
      <c r="G97" s="213" t="str">
        <f>'85'!A348</f>
        <v xml:space="preserve">  8.3</v>
      </c>
      <c r="H97" s="213" t="str">
        <f>'85'!A358</f>
        <v xml:space="preserve">  7.5</v>
      </c>
      <c r="I97" s="213" t="str">
        <f>'85'!A368</f>
        <v xml:space="preserve">  9.9</v>
      </c>
      <c r="J97" s="213" t="str">
        <f>'85'!A378</f>
        <v xml:space="preserve">  9.6</v>
      </c>
      <c r="K97" s="213" t="str">
        <f>'85'!A388</f>
        <v xml:space="preserve">  9.3</v>
      </c>
      <c r="L97" s="213" t="str">
        <f>'85'!A398</f>
        <v xml:space="preserve">  9.0</v>
      </c>
      <c r="M97" s="213">
        <f>'85'!A408</f>
        <v>0</v>
      </c>
      <c r="N97" s="179"/>
    </row>
    <row r="98" spans="2:14" x14ac:dyDescent="0.2">
      <c r="B98" s="244"/>
      <c r="C98" s="40"/>
      <c r="D98" s="182" t="s">
        <v>23</v>
      </c>
      <c r="E98" s="40"/>
      <c r="F98" s="213" t="str">
        <f>'85'!A339</f>
        <v xml:space="preserve">  2.8</v>
      </c>
      <c r="G98" s="213" t="str">
        <f>'85'!A349</f>
        <v xml:space="preserve">  6.0</v>
      </c>
      <c r="H98" s="213" t="str">
        <f>'85'!A359</f>
        <v xml:space="preserve">  8.6</v>
      </c>
      <c r="I98" s="213" t="str">
        <f>'85'!A369</f>
        <v xml:space="preserve">  2.7</v>
      </c>
      <c r="J98" s="213" t="str">
        <f>'85'!A379</f>
        <v xml:space="preserve">  7.6</v>
      </c>
      <c r="K98" s="213" t="str">
        <f>'85'!A389</f>
        <v xml:space="preserve"> 10.0</v>
      </c>
      <c r="L98" s="213" t="str">
        <f>'85'!A399</f>
        <v xml:space="preserve">  4.8</v>
      </c>
      <c r="M98" s="213">
        <f>'85'!A409</f>
        <v>0</v>
      </c>
      <c r="N98" s="179"/>
    </row>
    <row r="99" spans="2:14" x14ac:dyDescent="0.2">
      <c r="B99" s="244"/>
      <c r="C99" s="40"/>
      <c r="D99" s="182" t="s">
        <v>24</v>
      </c>
      <c r="E99" s="40"/>
      <c r="F99" s="213" t="str">
        <f>'85'!A340</f>
        <v xml:space="preserve">  4.0</v>
      </c>
      <c r="G99" s="213" t="str">
        <f>'85'!A350</f>
        <v xml:space="preserve"> 11.1</v>
      </c>
      <c r="H99" s="213" t="str">
        <f>'85'!A360</f>
        <v xml:space="preserve">  6.9</v>
      </c>
      <c r="I99" s="213" t="str">
        <f>'85'!A370</f>
        <v xml:space="preserve">  9.3</v>
      </c>
      <c r="J99" s="213" t="str">
        <f>'85'!A380</f>
        <v xml:space="preserve"> 11.5</v>
      </c>
      <c r="K99" s="213" t="str">
        <f>'85'!A390</f>
        <v xml:space="preserve">  7.8</v>
      </c>
      <c r="L99" s="213" t="str">
        <f>'85'!A400</f>
        <v xml:space="preserve"> 10.3</v>
      </c>
      <c r="M99" s="213">
        <f>'85'!A410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'85'!A420</f>
        <v xml:space="preserve"> </v>
      </c>
      <c r="L102" s="40"/>
      <c r="M102" s="40"/>
      <c r="N102" s="179"/>
    </row>
    <row r="103" spans="2:14" ht="12" x14ac:dyDescent="0.25">
      <c r="B103" s="244"/>
      <c r="C103" s="40"/>
      <c r="D103" s="40" t="s">
        <v>346</v>
      </c>
      <c r="E103" s="40"/>
      <c r="F103" s="309">
        <f>'85'!A421</f>
        <v>1</v>
      </c>
      <c r="G103" s="309">
        <f>'85'!A428</f>
        <v>2</v>
      </c>
      <c r="H103" s="309">
        <f>'85'!A435</f>
        <v>3</v>
      </c>
      <c r="I103" s="309">
        <f>'85'!A442</f>
        <v>4</v>
      </c>
      <c r="J103" s="309">
        <f>'85'!A449</f>
        <v>5</v>
      </c>
      <c r="K103" s="309">
        <f>'85'!A456</f>
        <v>6</v>
      </c>
      <c r="L103" s="309">
        <f>'85'!A463</f>
        <v>7</v>
      </c>
      <c r="M103" s="309">
        <f>'85'!A470</f>
        <v>8</v>
      </c>
      <c r="N103" s="179"/>
    </row>
    <row r="104" spans="2:14" x14ac:dyDescent="0.2">
      <c r="B104" s="244"/>
      <c r="C104" s="40" t="s">
        <v>347</v>
      </c>
      <c r="D104" s="40"/>
      <c r="E104" s="40"/>
      <c r="F104" s="310">
        <f>'85'!A422</f>
        <v>120000</v>
      </c>
      <c r="G104" s="310">
        <f>'85'!A429</f>
        <v>113000</v>
      </c>
      <c r="H104" s="310">
        <f>'85'!A436</f>
        <v>107000</v>
      </c>
      <c r="I104" s="310">
        <f>'85'!A443</f>
        <v>120000</v>
      </c>
      <c r="J104" s="310">
        <f>'85'!A450</f>
        <v>121000</v>
      </c>
      <c r="K104" s="310">
        <f>'85'!A457</f>
        <v>69000</v>
      </c>
      <c r="L104" s="310">
        <f>'85'!A464</f>
        <v>125000</v>
      </c>
      <c r="M104" s="310">
        <f>'85'!A471</f>
        <v>0</v>
      </c>
      <c r="N104" s="179"/>
    </row>
    <row r="105" spans="2:14" x14ac:dyDescent="0.2">
      <c r="B105" s="244"/>
      <c r="C105" s="40" t="s">
        <v>348</v>
      </c>
      <c r="D105" s="40"/>
      <c r="E105" s="40"/>
      <c r="F105" s="310">
        <f>'85'!A423</f>
        <v>65000</v>
      </c>
      <c r="G105" s="310">
        <f>'85'!A430</f>
        <v>116000</v>
      </c>
      <c r="H105" s="310">
        <f>'85'!A437</f>
        <v>45000</v>
      </c>
      <c r="I105" s="310">
        <f>'85'!A444</f>
        <v>60000</v>
      </c>
      <c r="J105" s="310">
        <f>'85'!A451</f>
        <v>80000</v>
      </c>
      <c r="K105" s="310">
        <f>'85'!A458</f>
        <v>30000</v>
      </c>
      <c r="L105" s="310">
        <f>'85'!A465</f>
        <v>62000</v>
      </c>
      <c r="M105" s="310">
        <f>'85'!A472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'85'!A424</f>
        <v xml:space="preserve">  ***</v>
      </c>
      <c r="G107" s="323" t="str">
        <f>'85'!A431</f>
        <v xml:space="preserve">  ***</v>
      </c>
      <c r="H107" s="323" t="str">
        <f>'85'!A438</f>
        <v xml:space="preserve">  ***</v>
      </c>
      <c r="I107" s="323" t="str">
        <f>'85'!A445</f>
        <v xml:space="preserve">   **</v>
      </c>
      <c r="J107" s="323" t="str">
        <f>'85'!A452</f>
        <v xml:space="preserve">   **</v>
      </c>
      <c r="K107" s="323" t="str">
        <f>'85'!A459</f>
        <v xml:space="preserve">   **</v>
      </c>
      <c r="L107" s="323" t="str">
        <f>'85'!A466</f>
        <v xml:space="preserve">   **</v>
      </c>
      <c r="M107" s="323">
        <f>'85'!A473</f>
        <v>0</v>
      </c>
      <c r="N107" s="179"/>
    </row>
    <row r="108" spans="2:14" x14ac:dyDescent="0.2">
      <c r="B108" s="244"/>
      <c r="C108" s="40" t="s">
        <v>351</v>
      </c>
      <c r="D108" s="40"/>
      <c r="E108" s="40"/>
      <c r="F108" s="323" t="str">
        <f>'85'!A425</f>
        <v xml:space="preserve">   **</v>
      </c>
      <c r="G108" s="323" t="str">
        <f>'85'!A432</f>
        <v xml:space="preserve"> ****</v>
      </c>
      <c r="H108" s="323" t="str">
        <f>'85'!A439</f>
        <v xml:space="preserve">  ***</v>
      </c>
      <c r="I108" s="323" t="str">
        <f>'85'!A446</f>
        <v xml:space="preserve">  ***</v>
      </c>
      <c r="J108" s="323" t="str">
        <f>'85'!A453</f>
        <v xml:space="preserve">  ***</v>
      </c>
      <c r="K108" s="323" t="str">
        <f>'85'!A460</f>
        <v xml:space="preserve">  ***</v>
      </c>
      <c r="L108" s="323" t="str">
        <f>'85'!A467</f>
        <v xml:space="preserve">  ***</v>
      </c>
      <c r="M108" s="323">
        <f>'85'!A474</f>
        <v>0</v>
      </c>
      <c r="N108" s="179"/>
    </row>
    <row r="109" spans="2:14" x14ac:dyDescent="0.2">
      <c r="B109" s="244"/>
      <c r="C109" s="40" t="s">
        <v>352</v>
      </c>
      <c r="D109" s="40"/>
      <c r="E109" s="40"/>
      <c r="F109" s="323" t="str">
        <f>'85'!A426</f>
        <v xml:space="preserve">   **</v>
      </c>
      <c r="G109" s="323" t="str">
        <f>'85'!A433</f>
        <v xml:space="preserve">  ***</v>
      </c>
      <c r="H109" s="323" t="str">
        <f>'85'!A440</f>
        <v xml:space="preserve">   **</v>
      </c>
      <c r="I109" s="323" t="str">
        <f>'85'!A447</f>
        <v xml:space="preserve">  ***</v>
      </c>
      <c r="J109" s="323" t="str">
        <f>'85'!A454</f>
        <v xml:space="preserve">   **</v>
      </c>
      <c r="K109" s="323" t="str">
        <f>'85'!A461</f>
        <v xml:space="preserve">   **</v>
      </c>
      <c r="L109" s="323" t="str">
        <f>'85'!A468</f>
        <v xml:space="preserve">   **</v>
      </c>
      <c r="M109" s="323">
        <f>'85'!A475</f>
        <v>0</v>
      </c>
      <c r="N109" s="179"/>
    </row>
    <row r="110" spans="2:14" x14ac:dyDescent="0.2">
      <c r="B110" s="244"/>
      <c r="C110" s="40" t="s">
        <v>353</v>
      </c>
      <c r="D110" s="40"/>
      <c r="E110" s="40"/>
      <c r="F110" s="323" t="str">
        <f>'85'!A427</f>
        <v xml:space="preserve">    *</v>
      </c>
      <c r="G110" s="323" t="str">
        <f>'85'!A434</f>
        <v xml:space="preserve">  ***</v>
      </c>
      <c r="H110" s="323" t="str">
        <f>'85'!A441</f>
        <v xml:space="preserve"> ****</v>
      </c>
      <c r="I110" s="323" t="str">
        <f>'85'!A448</f>
        <v xml:space="preserve"> ****</v>
      </c>
      <c r="J110" s="323" t="str">
        <f>'85'!A455</f>
        <v xml:space="preserve"> ****</v>
      </c>
      <c r="K110" s="323" t="str">
        <f>'85'!A462</f>
        <v xml:space="preserve"> ****</v>
      </c>
      <c r="L110" s="323" t="str">
        <f>'85'!A469</f>
        <v xml:space="preserve"> ****</v>
      </c>
      <c r="M110" s="323">
        <f>'85'!A476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3">
    <tabColor theme="5" tint="0.39997558519241921"/>
    <pageSetUpPr fitToPage="1"/>
  </sheetPr>
  <dimension ref="A1:B862"/>
  <sheetViews>
    <sheetView topLeftCell="A783" workbookViewId="0">
      <selection sqref="A1:AG1000"/>
    </sheetView>
  </sheetViews>
  <sheetFormatPr baseColWidth="10" defaultColWidth="9.109375" defaultRowHeight="13.2" x14ac:dyDescent="0.25"/>
  <cols>
    <col min="1" max="1" width="57.109375" bestFit="1" customWidth="1"/>
    <col min="2" max="2" width="1.6640625" style="695" bestFit="1" customWidth="1"/>
    <col min="257" max="257" width="57.109375" bestFit="1" customWidth="1"/>
    <col min="258" max="258" width="1.6640625" bestFit="1" customWidth="1"/>
    <col min="513" max="513" width="57.109375" bestFit="1" customWidth="1"/>
    <col min="514" max="514" width="1.6640625" bestFit="1" customWidth="1"/>
    <col min="769" max="769" width="57.109375" bestFit="1" customWidth="1"/>
    <col min="770" max="770" width="1.6640625" bestFit="1" customWidth="1"/>
    <col min="1025" max="1025" width="57.109375" bestFit="1" customWidth="1"/>
    <col min="1026" max="1026" width="1.6640625" bestFit="1" customWidth="1"/>
    <col min="1281" max="1281" width="57.109375" bestFit="1" customWidth="1"/>
    <col min="1282" max="1282" width="1.6640625" bestFit="1" customWidth="1"/>
    <col min="1537" max="1537" width="57.109375" bestFit="1" customWidth="1"/>
    <col min="1538" max="1538" width="1.6640625" bestFit="1" customWidth="1"/>
    <col min="1793" max="1793" width="57.109375" bestFit="1" customWidth="1"/>
    <col min="1794" max="1794" width="1.6640625" bestFit="1" customWidth="1"/>
    <col min="2049" max="2049" width="57.109375" bestFit="1" customWidth="1"/>
    <col min="2050" max="2050" width="1.6640625" bestFit="1" customWidth="1"/>
    <col min="2305" max="2305" width="57.109375" bestFit="1" customWidth="1"/>
    <col min="2306" max="2306" width="1.6640625" bestFit="1" customWidth="1"/>
    <col min="2561" max="2561" width="57.109375" bestFit="1" customWidth="1"/>
    <col min="2562" max="2562" width="1.6640625" bestFit="1" customWidth="1"/>
    <col min="2817" max="2817" width="57.109375" bestFit="1" customWidth="1"/>
    <col min="2818" max="2818" width="1.6640625" bestFit="1" customWidth="1"/>
    <col min="3073" max="3073" width="57.109375" bestFit="1" customWidth="1"/>
    <col min="3074" max="3074" width="1.6640625" bestFit="1" customWidth="1"/>
    <col min="3329" max="3329" width="57.109375" bestFit="1" customWidth="1"/>
    <col min="3330" max="3330" width="1.6640625" bestFit="1" customWidth="1"/>
    <col min="3585" max="3585" width="57.109375" bestFit="1" customWidth="1"/>
    <col min="3586" max="3586" width="1.6640625" bestFit="1" customWidth="1"/>
    <col min="3841" max="3841" width="57.109375" bestFit="1" customWidth="1"/>
    <col min="3842" max="3842" width="1.6640625" bestFit="1" customWidth="1"/>
    <col min="4097" max="4097" width="57.109375" bestFit="1" customWidth="1"/>
    <col min="4098" max="4098" width="1.6640625" bestFit="1" customWidth="1"/>
    <col min="4353" max="4353" width="57.109375" bestFit="1" customWidth="1"/>
    <col min="4354" max="4354" width="1.6640625" bestFit="1" customWidth="1"/>
    <col min="4609" max="4609" width="57.109375" bestFit="1" customWidth="1"/>
    <col min="4610" max="4610" width="1.6640625" bestFit="1" customWidth="1"/>
    <col min="4865" max="4865" width="57.109375" bestFit="1" customWidth="1"/>
    <col min="4866" max="4866" width="1.6640625" bestFit="1" customWidth="1"/>
    <col min="5121" max="5121" width="57.109375" bestFit="1" customWidth="1"/>
    <col min="5122" max="5122" width="1.6640625" bestFit="1" customWidth="1"/>
    <col min="5377" max="5377" width="57.109375" bestFit="1" customWidth="1"/>
    <col min="5378" max="5378" width="1.6640625" bestFit="1" customWidth="1"/>
    <col min="5633" max="5633" width="57.109375" bestFit="1" customWidth="1"/>
    <col min="5634" max="5634" width="1.6640625" bestFit="1" customWidth="1"/>
    <col min="5889" max="5889" width="57.109375" bestFit="1" customWidth="1"/>
    <col min="5890" max="5890" width="1.6640625" bestFit="1" customWidth="1"/>
    <col min="6145" max="6145" width="57.109375" bestFit="1" customWidth="1"/>
    <col min="6146" max="6146" width="1.6640625" bestFit="1" customWidth="1"/>
    <col min="6401" max="6401" width="57.109375" bestFit="1" customWidth="1"/>
    <col min="6402" max="6402" width="1.6640625" bestFit="1" customWidth="1"/>
    <col min="6657" max="6657" width="57.109375" bestFit="1" customWidth="1"/>
    <col min="6658" max="6658" width="1.6640625" bestFit="1" customWidth="1"/>
    <col min="6913" max="6913" width="57.109375" bestFit="1" customWidth="1"/>
    <col min="6914" max="6914" width="1.6640625" bestFit="1" customWidth="1"/>
    <col min="7169" max="7169" width="57.109375" bestFit="1" customWidth="1"/>
    <col min="7170" max="7170" width="1.6640625" bestFit="1" customWidth="1"/>
    <col min="7425" max="7425" width="57.109375" bestFit="1" customWidth="1"/>
    <col min="7426" max="7426" width="1.6640625" bestFit="1" customWidth="1"/>
    <col min="7681" max="7681" width="57.109375" bestFit="1" customWidth="1"/>
    <col min="7682" max="7682" width="1.6640625" bestFit="1" customWidth="1"/>
    <col min="7937" max="7937" width="57.109375" bestFit="1" customWidth="1"/>
    <col min="7938" max="7938" width="1.6640625" bestFit="1" customWidth="1"/>
    <col min="8193" max="8193" width="57.109375" bestFit="1" customWidth="1"/>
    <col min="8194" max="8194" width="1.6640625" bestFit="1" customWidth="1"/>
    <col min="8449" max="8449" width="57.109375" bestFit="1" customWidth="1"/>
    <col min="8450" max="8450" width="1.6640625" bestFit="1" customWidth="1"/>
    <col min="8705" max="8705" width="57.109375" bestFit="1" customWidth="1"/>
    <col min="8706" max="8706" width="1.6640625" bestFit="1" customWidth="1"/>
    <col min="8961" max="8961" width="57.109375" bestFit="1" customWidth="1"/>
    <col min="8962" max="8962" width="1.6640625" bestFit="1" customWidth="1"/>
    <col min="9217" max="9217" width="57.109375" bestFit="1" customWidth="1"/>
    <col min="9218" max="9218" width="1.6640625" bestFit="1" customWidth="1"/>
    <col min="9473" max="9473" width="57.109375" bestFit="1" customWidth="1"/>
    <col min="9474" max="9474" width="1.6640625" bestFit="1" customWidth="1"/>
    <col min="9729" max="9729" width="57.109375" bestFit="1" customWidth="1"/>
    <col min="9730" max="9730" width="1.6640625" bestFit="1" customWidth="1"/>
    <col min="9985" max="9985" width="57.109375" bestFit="1" customWidth="1"/>
    <col min="9986" max="9986" width="1.6640625" bestFit="1" customWidth="1"/>
    <col min="10241" max="10241" width="57.109375" bestFit="1" customWidth="1"/>
    <col min="10242" max="10242" width="1.6640625" bestFit="1" customWidth="1"/>
    <col min="10497" max="10497" width="57.109375" bestFit="1" customWidth="1"/>
    <col min="10498" max="10498" width="1.6640625" bestFit="1" customWidth="1"/>
    <col min="10753" max="10753" width="57.109375" bestFit="1" customWidth="1"/>
    <col min="10754" max="10754" width="1.6640625" bestFit="1" customWidth="1"/>
    <col min="11009" max="11009" width="57.109375" bestFit="1" customWidth="1"/>
    <col min="11010" max="11010" width="1.6640625" bestFit="1" customWidth="1"/>
    <col min="11265" max="11265" width="57.109375" bestFit="1" customWidth="1"/>
    <col min="11266" max="11266" width="1.6640625" bestFit="1" customWidth="1"/>
    <col min="11521" max="11521" width="57.109375" bestFit="1" customWidth="1"/>
    <col min="11522" max="11522" width="1.6640625" bestFit="1" customWidth="1"/>
    <col min="11777" max="11777" width="57.109375" bestFit="1" customWidth="1"/>
    <col min="11778" max="11778" width="1.6640625" bestFit="1" customWidth="1"/>
    <col min="12033" max="12033" width="57.109375" bestFit="1" customWidth="1"/>
    <col min="12034" max="12034" width="1.6640625" bestFit="1" customWidth="1"/>
    <col min="12289" max="12289" width="57.109375" bestFit="1" customWidth="1"/>
    <col min="12290" max="12290" width="1.6640625" bestFit="1" customWidth="1"/>
    <col min="12545" max="12545" width="57.109375" bestFit="1" customWidth="1"/>
    <col min="12546" max="12546" width="1.6640625" bestFit="1" customWidth="1"/>
    <col min="12801" max="12801" width="57.109375" bestFit="1" customWidth="1"/>
    <col min="12802" max="12802" width="1.6640625" bestFit="1" customWidth="1"/>
    <col min="13057" max="13057" width="57.109375" bestFit="1" customWidth="1"/>
    <col min="13058" max="13058" width="1.6640625" bestFit="1" customWidth="1"/>
    <col min="13313" max="13313" width="57.109375" bestFit="1" customWidth="1"/>
    <col min="13314" max="13314" width="1.6640625" bestFit="1" customWidth="1"/>
    <col min="13569" max="13569" width="57.109375" bestFit="1" customWidth="1"/>
    <col min="13570" max="13570" width="1.6640625" bestFit="1" customWidth="1"/>
    <col min="13825" max="13825" width="57.109375" bestFit="1" customWidth="1"/>
    <col min="13826" max="13826" width="1.6640625" bestFit="1" customWidth="1"/>
    <col min="14081" max="14081" width="57.109375" bestFit="1" customWidth="1"/>
    <col min="14082" max="14082" width="1.6640625" bestFit="1" customWidth="1"/>
    <col min="14337" max="14337" width="57.109375" bestFit="1" customWidth="1"/>
    <col min="14338" max="14338" width="1.6640625" bestFit="1" customWidth="1"/>
    <col min="14593" max="14593" width="57.109375" bestFit="1" customWidth="1"/>
    <col min="14594" max="14594" width="1.6640625" bestFit="1" customWidth="1"/>
    <col min="14849" max="14849" width="57.109375" bestFit="1" customWidth="1"/>
    <col min="14850" max="14850" width="1.6640625" bestFit="1" customWidth="1"/>
    <col min="15105" max="15105" width="57.109375" bestFit="1" customWidth="1"/>
    <col min="15106" max="15106" width="1.6640625" bestFit="1" customWidth="1"/>
    <col min="15361" max="15361" width="57.109375" bestFit="1" customWidth="1"/>
    <col min="15362" max="15362" width="1.6640625" bestFit="1" customWidth="1"/>
    <col min="15617" max="15617" width="57.109375" bestFit="1" customWidth="1"/>
    <col min="15618" max="15618" width="1.6640625" bestFit="1" customWidth="1"/>
    <col min="15873" max="15873" width="57.109375" bestFit="1" customWidth="1"/>
    <col min="15874" max="15874" width="1.6640625" bestFit="1" customWidth="1"/>
    <col min="16129" max="16129" width="57.109375" bestFit="1" customWidth="1"/>
    <col min="16130" max="16130" width="1.6640625" bestFit="1" customWidth="1"/>
  </cols>
  <sheetData>
    <row r="1" spans="1:1" x14ac:dyDescent="0.25">
      <c r="A1">
        <v>8</v>
      </c>
    </row>
    <row r="2" spans="1:1" x14ac:dyDescent="0.25">
      <c r="A2">
        <v>2</v>
      </c>
    </row>
    <row r="3" spans="1:1" x14ac:dyDescent="0.25">
      <c r="A3">
        <v>999</v>
      </c>
    </row>
    <row r="4" spans="1:1" x14ac:dyDescent="0.25">
      <c r="A4">
        <v>2018</v>
      </c>
    </row>
    <row r="5" spans="1:1" x14ac:dyDescent="0.25">
      <c r="A5">
        <v>1</v>
      </c>
    </row>
    <row r="6" spans="1:1" x14ac:dyDescent="0.25">
      <c r="A6" t="s">
        <v>682</v>
      </c>
    </row>
    <row r="7" spans="1:1" x14ac:dyDescent="0.25">
      <c r="A7">
        <v>20</v>
      </c>
    </row>
    <row r="8" spans="1:1" x14ac:dyDescent="0.25">
      <c r="A8">
        <v>15</v>
      </c>
    </row>
    <row r="9" spans="1:1" x14ac:dyDescent="0.25">
      <c r="A9">
        <v>20</v>
      </c>
    </row>
    <row r="10" spans="1:1" x14ac:dyDescent="0.25">
      <c r="A10">
        <v>0</v>
      </c>
    </row>
    <row r="11" spans="1:1" x14ac:dyDescent="0.25">
      <c r="A11">
        <v>6</v>
      </c>
    </row>
    <row r="12" spans="1:1" x14ac:dyDescent="0.25">
      <c r="A12">
        <v>6</v>
      </c>
    </row>
    <row r="13" spans="1:1" x14ac:dyDescent="0.25">
      <c r="A13">
        <v>7</v>
      </c>
    </row>
    <row r="14" spans="1:1" x14ac:dyDescent="0.25">
      <c r="A14">
        <v>6</v>
      </c>
    </row>
    <row r="15" spans="1:1" x14ac:dyDescent="0.25">
      <c r="A15">
        <v>7</v>
      </c>
    </row>
    <row r="16" spans="1:1" x14ac:dyDescent="0.25">
      <c r="A16">
        <v>7</v>
      </c>
    </row>
    <row r="17" spans="1:2" x14ac:dyDescent="0.25">
      <c r="A17">
        <v>5</v>
      </c>
    </row>
    <row r="18" spans="1:2" x14ac:dyDescent="0.25">
      <c r="A18">
        <v>7</v>
      </c>
    </row>
    <row r="19" spans="1:2" x14ac:dyDescent="0.25">
      <c r="A19">
        <v>7</v>
      </c>
    </row>
    <row r="20" spans="1:2" x14ac:dyDescent="0.25">
      <c r="A20">
        <v>0</v>
      </c>
    </row>
    <row r="21" spans="1:2" x14ac:dyDescent="0.25">
      <c r="A21">
        <v>343</v>
      </c>
    </row>
    <row r="22" spans="1:2" x14ac:dyDescent="0.25">
      <c r="A22">
        <v>330</v>
      </c>
    </row>
    <row r="23" spans="1:2" x14ac:dyDescent="0.25">
      <c r="A23">
        <v>365</v>
      </c>
    </row>
    <row r="24" spans="1:2" x14ac:dyDescent="0.25">
      <c r="A24">
        <v>492</v>
      </c>
    </row>
    <row r="25" spans="1:2" x14ac:dyDescent="0.25">
      <c r="A25">
        <v>490</v>
      </c>
    </row>
    <row r="26" spans="1:2" x14ac:dyDescent="0.25">
      <c r="A26">
        <v>580</v>
      </c>
    </row>
    <row r="27" spans="1:2" x14ac:dyDescent="0.25">
      <c r="A27">
        <v>712</v>
      </c>
    </row>
    <row r="28" spans="1:2" x14ac:dyDescent="0.25">
      <c r="A28">
        <v>720</v>
      </c>
    </row>
    <row r="29" spans="1:2" x14ac:dyDescent="0.25">
      <c r="A29">
        <v>855</v>
      </c>
    </row>
    <row r="30" spans="1:2" x14ac:dyDescent="0.25">
      <c r="A30">
        <v>0</v>
      </c>
    </row>
    <row r="31" spans="1:2" x14ac:dyDescent="0.25">
      <c r="A31">
        <v>1108</v>
      </c>
      <c r="B31" s="695" t="s">
        <v>27</v>
      </c>
    </row>
    <row r="32" spans="1:2" x14ac:dyDescent="0.25">
      <c r="A32">
        <v>300</v>
      </c>
      <c r="B32" s="695" t="s">
        <v>27</v>
      </c>
    </row>
    <row r="33" spans="1:2" x14ac:dyDescent="0.25">
      <c r="A33">
        <v>1200</v>
      </c>
      <c r="B33" s="695" t="s">
        <v>27</v>
      </c>
    </row>
    <row r="34" spans="1:2" x14ac:dyDescent="0.25">
      <c r="A34">
        <v>815</v>
      </c>
      <c r="B34" s="695" t="s">
        <v>27</v>
      </c>
    </row>
    <row r="35" spans="1:2" x14ac:dyDescent="0.25">
      <c r="A35">
        <v>300</v>
      </c>
      <c r="B35" s="695" t="s">
        <v>27</v>
      </c>
    </row>
    <row r="36" spans="1:2" x14ac:dyDescent="0.25">
      <c r="A36">
        <v>900</v>
      </c>
      <c r="B36" s="695" t="s">
        <v>27</v>
      </c>
    </row>
    <row r="37" spans="1:2" x14ac:dyDescent="0.25">
      <c r="A37">
        <v>430</v>
      </c>
      <c r="B37" s="695" t="s">
        <v>27</v>
      </c>
    </row>
    <row r="38" spans="1:2" x14ac:dyDescent="0.25">
      <c r="A38">
        <v>150</v>
      </c>
      <c r="B38" s="695" t="s">
        <v>27</v>
      </c>
    </row>
    <row r="39" spans="1:2" x14ac:dyDescent="0.25">
      <c r="A39">
        <v>400</v>
      </c>
      <c r="B39" s="695" t="s">
        <v>27</v>
      </c>
    </row>
    <row r="40" spans="1:2" x14ac:dyDescent="0.25">
      <c r="A40">
        <v>0</v>
      </c>
    </row>
    <row r="41" spans="1:2" x14ac:dyDescent="0.25">
      <c r="A41">
        <v>1</v>
      </c>
    </row>
    <row r="42" spans="1:2" x14ac:dyDescent="0.25">
      <c r="A42">
        <v>1</v>
      </c>
    </row>
    <row r="43" spans="1:2" x14ac:dyDescent="0.25">
      <c r="A43">
        <v>1</v>
      </c>
    </row>
    <row r="44" spans="1:2" x14ac:dyDescent="0.25">
      <c r="A44">
        <v>47</v>
      </c>
    </row>
    <row r="45" spans="1:2" x14ac:dyDescent="0.25">
      <c r="A45">
        <v>37</v>
      </c>
    </row>
    <row r="46" spans="1:2" x14ac:dyDescent="0.25">
      <c r="A46">
        <v>32</v>
      </c>
    </row>
    <row r="47" spans="1:2" x14ac:dyDescent="0.25">
      <c r="A47">
        <v>120</v>
      </c>
    </row>
    <row r="48" spans="1:2" x14ac:dyDescent="0.25">
      <c r="A48">
        <v>170</v>
      </c>
    </row>
    <row r="49" spans="1:2" x14ac:dyDescent="0.25">
      <c r="A49">
        <v>330</v>
      </c>
    </row>
    <row r="50" spans="1:2" x14ac:dyDescent="0.25">
      <c r="A50">
        <v>0</v>
      </c>
    </row>
    <row r="51" spans="1:2" x14ac:dyDescent="0.25">
      <c r="A51">
        <v>7</v>
      </c>
    </row>
    <row r="52" spans="1:2" x14ac:dyDescent="0.25">
      <c r="A52">
        <v>7</v>
      </c>
    </row>
    <row r="53" spans="1:2" x14ac:dyDescent="0.25">
      <c r="A53">
        <v>10</v>
      </c>
    </row>
    <row r="54" spans="1:2" x14ac:dyDescent="0.25">
      <c r="A54">
        <v>1000</v>
      </c>
    </row>
    <row r="55" spans="1:2" x14ac:dyDescent="0.25">
      <c r="A55">
        <v>1000</v>
      </c>
    </row>
    <row r="56" spans="1:2" x14ac:dyDescent="0.25">
      <c r="A56">
        <v>500</v>
      </c>
    </row>
    <row r="57" spans="1:2" x14ac:dyDescent="0.25">
      <c r="A57">
        <v>2</v>
      </c>
    </row>
    <row r="58" spans="1:2" x14ac:dyDescent="0.25">
      <c r="A58">
        <v>3</v>
      </c>
    </row>
    <row r="59" spans="1:2" x14ac:dyDescent="0.25">
      <c r="A59">
        <v>4</v>
      </c>
    </row>
    <row r="60" spans="1:2" x14ac:dyDescent="0.25">
      <c r="A60">
        <v>0</v>
      </c>
    </row>
    <row r="61" spans="1:2" x14ac:dyDescent="0.25">
      <c r="A61">
        <v>6</v>
      </c>
      <c r="B61" s="695" t="s">
        <v>27</v>
      </c>
    </row>
    <row r="62" spans="1:2" x14ac:dyDescent="0.25">
      <c r="A62">
        <v>10</v>
      </c>
    </row>
    <row r="63" spans="1:2" x14ac:dyDescent="0.25">
      <c r="A63">
        <v>8</v>
      </c>
    </row>
    <row r="64" spans="1:2" x14ac:dyDescent="0.25">
      <c r="A64">
        <v>4</v>
      </c>
    </row>
    <row r="65" spans="1:1" x14ac:dyDescent="0.25">
      <c r="A65">
        <v>10</v>
      </c>
    </row>
    <row r="66" spans="1:1" x14ac:dyDescent="0.25">
      <c r="A66">
        <v>8</v>
      </c>
    </row>
    <row r="67" spans="1:1" x14ac:dyDescent="0.25">
      <c r="A67">
        <v>0</v>
      </c>
    </row>
    <row r="68" spans="1:1" x14ac:dyDescent="0.25">
      <c r="A68">
        <v>12</v>
      </c>
    </row>
    <row r="69" spans="1:1" x14ac:dyDescent="0.25">
      <c r="A69">
        <v>8</v>
      </c>
    </row>
    <row r="70" spans="1:1" x14ac:dyDescent="0.25">
      <c r="A70">
        <v>0</v>
      </c>
    </row>
    <row r="71" spans="1:1" x14ac:dyDescent="0.25">
      <c r="A71">
        <v>0</v>
      </c>
    </row>
    <row r="72" spans="1:1" x14ac:dyDescent="0.25">
      <c r="A72">
        <v>50</v>
      </c>
    </row>
    <row r="73" spans="1:1" x14ac:dyDescent="0.25">
      <c r="A73">
        <v>0</v>
      </c>
    </row>
    <row r="74" spans="1:1" x14ac:dyDescent="0.25">
      <c r="A74">
        <v>0</v>
      </c>
    </row>
    <row r="75" spans="1:1" x14ac:dyDescent="0.25">
      <c r="A75">
        <v>25</v>
      </c>
    </row>
    <row r="76" spans="1:1" x14ac:dyDescent="0.25">
      <c r="A76">
        <v>2</v>
      </c>
    </row>
    <row r="77" spans="1:1" x14ac:dyDescent="0.25">
      <c r="A77">
        <v>9</v>
      </c>
    </row>
    <row r="78" spans="1:1" x14ac:dyDescent="0.25">
      <c r="A78">
        <v>18</v>
      </c>
    </row>
    <row r="79" spans="1:1" x14ac:dyDescent="0.25">
      <c r="A79">
        <v>0</v>
      </c>
    </row>
    <row r="80" spans="1:1" x14ac:dyDescent="0.25">
      <c r="A80">
        <v>0</v>
      </c>
    </row>
    <row r="81" spans="1:2" x14ac:dyDescent="0.25">
      <c r="A81">
        <v>2</v>
      </c>
    </row>
    <row r="82" spans="1:2" x14ac:dyDescent="0.25">
      <c r="A82">
        <v>5</v>
      </c>
    </row>
    <row r="83" spans="1:2" x14ac:dyDescent="0.25">
      <c r="A83">
        <v>1280</v>
      </c>
    </row>
    <row r="84" spans="1:2" x14ac:dyDescent="0.25">
      <c r="A84">
        <v>0</v>
      </c>
    </row>
    <row r="85" spans="1:2" x14ac:dyDescent="0.25">
      <c r="A85">
        <v>90</v>
      </c>
    </row>
    <row r="86" spans="1:2" x14ac:dyDescent="0.25">
      <c r="A86">
        <v>10</v>
      </c>
    </row>
    <row r="87" spans="1:2" x14ac:dyDescent="0.25">
      <c r="A87">
        <v>0</v>
      </c>
    </row>
    <row r="88" spans="1:2" x14ac:dyDescent="0.25">
      <c r="A88">
        <v>0</v>
      </c>
    </row>
    <row r="89" spans="1:2" x14ac:dyDescent="0.25">
      <c r="A89">
        <v>0</v>
      </c>
    </row>
    <row r="90" spans="1:2" x14ac:dyDescent="0.25">
      <c r="A90">
        <v>0</v>
      </c>
    </row>
    <row r="91" spans="1:2" x14ac:dyDescent="0.25">
      <c r="A91">
        <v>0</v>
      </c>
    </row>
    <row r="92" spans="1:2" x14ac:dyDescent="0.25">
      <c r="A92">
        <v>0</v>
      </c>
      <c r="B92" s="695" t="s">
        <v>27</v>
      </c>
    </row>
    <row r="93" spans="1:2" x14ac:dyDescent="0.25">
      <c r="A93">
        <v>0</v>
      </c>
    </row>
    <row r="94" spans="1:2" x14ac:dyDescent="0.25">
      <c r="A94">
        <v>0</v>
      </c>
    </row>
    <row r="95" spans="1:2" x14ac:dyDescent="0.25">
      <c r="A95">
        <v>0</v>
      </c>
    </row>
    <row r="96" spans="1:2" x14ac:dyDescent="0.25">
      <c r="A96">
        <v>0</v>
      </c>
    </row>
    <row r="97" spans="1:1" x14ac:dyDescent="0.25">
      <c r="A97">
        <v>1</v>
      </c>
    </row>
    <row r="98" spans="1:1" x14ac:dyDescent="0.25">
      <c r="A98">
        <v>1</v>
      </c>
    </row>
    <row r="99" spans="1:1" x14ac:dyDescent="0.25">
      <c r="A99">
        <v>1</v>
      </c>
    </row>
    <row r="100" spans="1:1" x14ac:dyDescent="0.25">
      <c r="A100">
        <v>999</v>
      </c>
    </row>
    <row r="101" spans="1:1" x14ac:dyDescent="0.25">
      <c r="A101">
        <v>999</v>
      </c>
    </row>
    <row r="102" spans="1:1" x14ac:dyDescent="0.25">
      <c r="A102">
        <v>128</v>
      </c>
    </row>
    <row r="103" spans="1:1" x14ac:dyDescent="0.25">
      <c r="A103">
        <v>131</v>
      </c>
    </row>
    <row r="104" spans="1:1" x14ac:dyDescent="0.25">
      <c r="A104">
        <v>115</v>
      </c>
    </row>
    <row r="105" spans="1:1" x14ac:dyDescent="0.25">
      <c r="A105" t="s">
        <v>722</v>
      </c>
    </row>
    <row r="106" spans="1:1" x14ac:dyDescent="0.25">
      <c r="A106" t="s">
        <v>723</v>
      </c>
    </row>
    <row r="107" spans="1:1" x14ac:dyDescent="0.25">
      <c r="A107" t="s">
        <v>724</v>
      </c>
    </row>
    <row r="108" spans="1:1" x14ac:dyDescent="0.25">
      <c r="A108">
        <v>2364</v>
      </c>
    </row>
    <row r="109" spans="1:1" x14ac:dyDescent="0.25">
      <c r="A109">
        <v>1835</v>
      </c>
    </row>
    <row r="110" spans="1:1" x14ac:dyDescent="0.25">
      <c r="A110">
        <v>882</v>
      </c>
    </row>
    <row r="111" spans="1:1" x14ac:dyDescent="0.25">
      <c r="A111">
        <v>2494</v>
      </c>
    </row>
    <row r="112" spans="1:1" x14ac:dyDescent="0.25">
      <c r="A112">
        <v>1947</v>
      </c>
    </row>
    <row r="113" spans="1:2" x14ac:dyDescent="0.25">
      <c r="A113">
        <v>909</v>
      </c>
    </row>
    <row r="114" spans="1:2" x14ac:dyDescent="0.25">
      <c r="A114">
        <v>68</v>
      </c>
    </row>
    <row r="115" spans="1:2" x14ac:dyDescent="0.25">
      <c r="A115">
        <v>57</v>
      </c>
    </row>
    <row r="116" spans="1:2" x14ac:dyDescent="0.25">
      <c r="A116">
        <v>27</v>
      </c>
    </row>
    <row r="117" spans="1:2" x14ac:dyDescent="0.25">
      <c r="A117">
        <v>62</v>
      </c>
      <c r="B117" s="695" t="s">
        <v>7</v>
      </c>
    </row>
    <row r="118" spans="1:2" x14ac:dyDescent="0.25">
      <c r="A118">
        <v>55</v>
      </c>
      <c r="B118" s="695" t="s">
        <v>7</v>
      </c>
    </row>
    <row r="119" spans="1:2" x14ac:dyDescent="0.25">
      <c r="A119">
        <v>0</v>
      </c>
    </row>
    <row r="120" spans="1:2" x14ac:dyDescent="0.25">
      <c r="A120">
        <v>999</v>
      </c>
    </row>
    <row r="121" spans="1:2" x14ac:dyDescent="0.25">
      <c r="A121">
        <v>1004</v>
      </c>
    </row>
    <row r="122" spans="1:2" x14ac:dyDescent="0.25">
      <c r="A122">
        <v>272</v>
      </c>
    </row>
    <row r="123" spans="1:2" x14ac:dyDescent="0.25">
      <c r="A123">
        <v>1088</v>
      </c>
    </row>
    <row r="124" spans="1:2" x14ac:dyDescent="0.25">
      <c r="A124">
        <v>742</v>
      </c>
    </row>
    <row r="125" spans="1:2" x14ac:dyDescent="0.25">
      <c r="A125">
        <v>273</v>
      </c>
    </row>
    <row r="126" spans="1:2" x14ac:dyDescent="0.25">
      <c r="A126">
        <v>820</v>
      </c>
    </row>
    <row r="127" spans="1:2" x14ac:dyDescent="0.25">
      <c r="A127">
        <v>387</v>
      </c>
    </row>
    <row r="128" spans="1:2" x14ac:dyDescent="0.25">
      <c r="A128">
        <v>135</v>
      </c>
    </row>
    <row r="129" spans="1:1" x14ac:dyDescent="0.25">
      <c r="A129">
        <v>360</v>
      </c>
    </row>
    <row r="130" spans="1:1" x14ac:dyDescent="0.25">
      <c r="A130">
        <v>999</v>
      </c>
    </row>
    <row r="131" spans="1:1" x14ac:dyDescent="0.25">
      <c r="A131">
        <v>1093</v>
      </c>
    </row>
    <row r="132" spans="1:1" x14ac:dyDescent="0.25">
      <c r="A132">
        <v>595</v>
      </c>
    </row>
    <row r="133" spans="1:1" x14ac:dyDescent="0.25">
      <c r="A133">
        <v>928</v>
      </c>
    </row>
    <row r="134" spans="1:1" x14ac:dyDescent="0.25">
      <c r="A134">
        <v>701</v>
      </c>
    </row>
    <row r="135" spans="1:1" x14ac:dyDescent="0.25">
      <c r="A135">
        <v>362</v>
      </c>
    </row>
    <row r="136" spans="1:1" x14ac:dyDescent="0.25">
      <c r="A136">
        <v>479</v>
      </c>
    </row>
    <row r="137" spans="1:1" x14ac:dyDescent="0.25">
      <c r="A137">
        <v>363</v>
      </c>
    </row>
    <row r="138" spans="1:1" x14ac:dyDescent="0.25">
      <c r="A138">
        <v>190</v>
      </c>
    </row>
    <row r="139" spans="1:1" x14ac:dyDescent="0.25">
      <c r="A139">
        <v>254</v>
      </c>
    </row>
    <row r="140" spans="1:1" x14ac:dyDescent="0.25">
      <c r="A140">
        <v>999</v>
      </c>
    </row>
    <row r="141" spans="1:1" x14ac:dyDescent="0.25">
      <c r="A141">
        <v>1004</v>
      </c>
    </row>
    <row r="142" spans="1:1" x14ac:dyDescent="0.25">
      <c r="A142">
        <v>272</v>
      </c>
    </row>
    <row r="143" spans="1:1" x14ac:dyDescent="0.25">
      <c r="A143">
        <v>928</v>
      </c>
    </row>
    <row r="144" spans="1:1" x14ac:dyDescent="0.25">
      <c r="A144">
        <v>742</v>
      </c>
    </row>
    <row r="145" spans="1:1" x14ac:dyDescent="0.25">
      <c r="A145">
        <v>273</v>
      </c>
    </row>
    <row r="146" spans="1:1" x14ac:dyDescent="0.25">
      <c r="A146">
        <v>479</v>
      </c>
    </row>
    <row r="147" spans="1:1" x14ac:dyDescent="0.25">
      <c r="A147">
        <v>387</v>
      </c>
    </row>
    <row r="148" spans="1:1" x14ac:dyDescent="0.25">
      <c r="A148">
        <v>135</v>
      </c>
    </row>
    <row r="149" spans="1:1" x14ac:dyDescent="0.25">
      <c r="A149">
        <v>254</v>
      </c>
    </row>
    <row r="150" spans="1:1" x14ac:dyDescent="0.25">
      <c r="A150">
        <v>999</v>
      </c>
    </row>
    <row r="151" spans="1:1" x14ac:dyDescent="0.25">
      <c r="A151">
        <v>75</v>
      </c>
    </row>
    <row r="152" spans="1:1" x14ac:dyDescent="0.25">
      <c r="A152">
        <v>161</v>
      </c>
    </row>
    <row r="153" spans="1:1" x14ac:dyDescent="0.25">
      <c r="A153">
        <v>0</v>
      </c>
    </row>
    <row r="154" spans="1:1" x14ac:dyDescent="0.25">
      <c r="A154">
        <v>22</v>
      </c>
    </row>
    <row r="155" spans="1:1" x14ac:dyDescent="0.25">
      <c r="A155">
        <v>44</v>
      </c>
    </row>
    <row r="156" spans="1:1" x14ac:dyDescent="0.25">
      <c r="A156">
        <v>0</v>
      </c>
    </row>
    <row r="157" spans="1:1" x14ac:dyDescent="0.25">
      <c r="A157">
        <v>12</v>
      </c>
    </row>
    <row r="158" spans="1:1" x14ac:dyDescent="0.25">
      <c r="A158">
        <v>27</v>
      </c>
    </row>
    <row r="159" spans="1:1" x14ac:dyDescent="0.25">
      <c r="A159">
        <v>0</v>
      </c>
    </row>
    <row r="160" spans="1:1" x14ac:dyDescent="0.25">
      <c r="A160">
        <v>999</v>
      </c>
    </row>
    <row r="161" spans="1:1" x14ac:dyDescent="0.25">
      <c r="A161">
        <v>0</v>
      </c>
    </row>
    <row r="162" spans="1:1" x14ac:dyDescent="0.25">
      <c r="A162">
        <v>0</v>
      </c>
    </row>
    <row r="163" spans="1:1" x14ac:dyDescent="0.25">
      <c r="A163">
        <v>160</v>
      </c>
    </row>
    <row r="164" spans="1:1" x14ac:dyDescent="0.25">
      <c r="A164">
        <v>0</v>
      </c>
    </row>
    <row r="165" spans="1:1" x14ac:dyDescent="0.25">
      <c r="A165">
        <v>0</v>
      </c>
    </row>
    <row r="166" spans="1:1" x14ac:dyDescent="0.25">
      <c r="A166">
        <v>341</v>
      </c>
    </row>
    <row r="167" spans="1:1" x14ac:dyDescent="0.25">
      <c r="A167">
        <v>0</v>
      </c>
    </row>
    <row r="168" spans="1:1" x14ac:dyDescent="0.25">
      <c r="A168">
        <v>0</v>
      </c>
    </row>
    <row r="169" spans="1:1" x14ac:dyDescent="0.25">
      <c r="A169">
        <v>106</v>
      </c>
    </row>
    <row r="170" spans="1:1" x14ac:dyDescent="0.25">
      <c r="A170">
        <v>999</v>
      </c>
    </row>
    <row r="171" spans="1:1" x14ac:dyDescent="0.25">
      <c r="A171">
        <v>47</v>
      </c>
    </row>
    <row r="172" spans="1:1" x14ac:dyDescent="0.25">
      <c r="A172">
        <v>32</v>
      </c>
    </row>
    <row r="173" spans="1:1" x14ac:dyDescent="0.25">
      <c r="A173">
        <v>17</v>
      </c>
    </row>
    <row r="174" spans="1:1" x14ac:dyDescent="0.25">
      <c r="A174">
        <v>999</v>
      </c>
    </row>
    <row r="175" spans="1:1" x14ac:dyDescent="0.25">
      <c r="A175">
        <v>999</v>
      </c>
    </row>
    <row r="176" spans="1:1" x14ac:dyDescent="0.25">
      <c r="A176">
        <v>999</v>
      </c>
    </row>
    <row r="177" spans="1:1" x14ac:dyDescent="0.25">
      <c r="A177" t="s">
        <v>11</v>
      </c>
    </row>
    <row r="178" spans="1:1" x14ac:dyDescent="0.25">
      <c r="A178" t="s">
        <v>10</v>
      </c>
    </row>
    <row r="179" spans="1:1" x14ac:dyDescent="0.25">
      <c r="A179" t="s">
        <v>10</v>
      </c>
    </row>
    <row r="180" spans="1:1" x14ac:dyDescent="0.25">
      <c r="A180">
        <v>999</v>
      </c>
    </row>
    <row r="181" spans="1:1" x14ac:dyDescent="0.25">
      <c r="A181">
        <v>800</v>
      </c>
    </row>
    <row r="182" spans="1:1" x14ac:dyDescent="0.25">
      <c r="A182">
        <v>800</v>
      </c>
    </row>
    <row r="183" spans="1:1" x14ac:dyDescent="0.25">
      <c r="A183">
        <v>0</v>
      </c>
    </row>
    <row r="184" spans="1:1" x14ac:dyDescent="0.25">
      <c r="A184">
        <v>0</v>
      </c>
    </row>
    <row r="185" spans="1:1" x14ac:dyDescent="0.25">
      <c r="A185">
        <v>0</v>
      </c>
    </row>
    <row r="186" spans="1:1" x14ac:dyDescent="0.25">
      <c r="A186">
        <v>0</v>
      </c>
    </row>
    <row r="187" spans="1:1" x14ac:dyDescent="0.25">
      <c r="A187">
        <v>1000</v>
      </c>
    </row>
    <row r="188" spans="1:1" x14ac:dyDescent="0.25">
      <c r="A188">
        <v>1000</v>
      </c>
    </row>
    <row r="189" spans="1:1" x14ac:dyDescent="0.25">
      <c r="A189">
        <v>500</v>
      </c>
    </row>
    <row r="190" spans="1:1" x14ac:dyDescent="0.25">
      <c r="A190">
        <v>999</v>
      </c>
    </row>
    <row r="191" spans="1:1" x14ac:dyDescent="0.25">
      <c r="A191">
        <v>33</v>
      </c>
    </row>
    <row r="192" spans="1:1" x14ac:dyDescent="0.25">
      <c r="A192">
        <v>35</v>
      </c>
    </row>
    <row r="193" spans="1:1" x14ac:dyDescent="0.25">
      <c r="A193">
        <v>2</v>
      </c>
    </row>
    <row r="194" spans="1:1" x14ac:dyDescent="0.25">
      <c r="A194">
        <v>5</v>
      </c>
    </row>
    <row r="195" spans="1:1" x14ac:dyDescent="0.25">
      <c r="A195">
        <v>0</v>
      </c>
    </row>
    <row r="196" spans="1:1" x14ac:dyDescent="0.25">
      <c r="A196">
        <v>0</v>
      </c>
    </row>
    <row r="197" spans="1:1" x14ac:dyDescent="0.25">
      <c r="A197">
        <v>38</v>
      </c>
    </row>
    <row r="198" spans="1:1" x14ac:dyDescent="0.25">
      <c r="A198">
        <v>30</v>
      </c>
    </row>
    <row r="199" spans="1:1" x14ac:dyDescent="0.25">
      <c r="A199">
        <v>999</v>
      </c>
    </row>
    <row r="200" spans="1:1" x14ac:dyDescent="0.25">
      <c r="A200">
        <v>999</v>
      </c>
    </row>
    <row r="201" spans="1:1" x14ac:dyDescent="0.25">
      <c r="A201">
        <v>113000</v>
      </c>
    </row>
    <row r="202" spans="1:1" x14ac:dyDescent="0.25">
      <c r="A202">
        <v>78695</v>
      </c>
    </row>
    <row r="203" spans="1:1" x14ac:dyDescent="0.25">
      <c r="A203">
        <v>31010</v>
      </c>
    </row>
    <row r="204" spans="1:1" x14ac:dyDescent="0.25">
      <c r="A204">
        <v>191415</v>
      </c>
    </row>
    <row r="205" spans="1:1" x14ac:dyDescent="0.25">
      <c r="A205">
        <v>23224</v>
      </c>
    </row>
    <row r="206" spans="1:1" x14ac:dyDescent="0.25">
      <c r="A206">
        <v>11870</v>
      </c>
    </row>
    <row r="207" spans="1:1" x14ac:dyDescent="0.25">
      <c r="A207">
        <v>116000</v>
      </c>
    </row>
    <row r="208" spans="1:1" x14ac:dyDescent="0.25">
      <c r="A208">
        <v>18000</v>
      </c>
    </row>
    <row r="209" spans="1:1" x14ac:dyDescent="0.25">
      <c r="A209">
        <v>61500</v>
      </c>
    </row>
    <row r="210" spans="1:1" x14ac:dyDescent="0.25">
      <c r="A210">
        <v>10625</v>
      </c>
    </row>
    <row r="211" spans="1:1" x14ac:dyDescent="0.25">
      <c r="A211">
        <v>10962</v>
      </c>
    </row>
    <row r="212" spans="1:1" x14ac:dyDescent="0.25">
      <c r="A212">
        <v>12500</v>
      </c>
    </row>
    <row r="213" spans="1:1" x14ac:dyDescent="0.25">
      <c r="A213">
        <v>4474</v>
      </c>
    </row>
    <row r="214" spans="1:1" x14ac:dyDescent="0.25">
      <c r="A214">
        <v>15149</v>
      </c>
    </row>
    <row r="215" spans="1:1" x14ac:dyDescent="0.25">
      <c r="A215">
        <v>90000</v>
      </c>
    </row>
    <row r="216" spans="1:1" x14ac:dyDescent="0.25">
      <c r="A216">
        <v>16284</v>
      </c>
    </row>
    <row r="217" spans="1:1" x14ac:dyDescent="0.25">
      <c r="A217">
        <v>804708</v>
      </c>
    </row>
    <row r="218" spans="1:1" x14ac:dyDescent="0.25">
      <c r="A218">
        <v>1891745</v>
      </c>
    </row>
    <row r="219" spans="1:1" x14ac:dyDescent="0.25">
      <c r="A219">
        <v>54647</v>
      </c>
    </row>
    <row r="220" spans="1:1" x14ac:dyDescent="0.25">
      <c r="A220">
        <v>2524</v>
      </c>
    </row>
    <row r="221" spans="1:1" x14ac:dyDescent="0.25">
      <c r="A221">
        <v>1891745</v>
      </c>
    </row>
    <row r="222" spans="1:1" x14ac:dyDescent="0.25">
      <c r="A222">
        <v>52123</v>
      </c>
    </row>
    <row r="223" spans="1:1" x14ac:dyDescent="0.25">
      <c r="A223">
        <v>2495141</v>
      </c>
    </row>
    <row r="224" spans="1:1" x14ac:dyDescent="0.25">
      <c r="A224">
        <v>0</v>
      </c>
    </row>
    <row r="225" spans="1:1" x14ac:dyDescent="0.25">
      <c r="A225">
        <v>812</v>
      </c>
    </row>
    <row r="226" spans="1:1" x14ac:dyDescent="0.25">
      <c r="A226">
        <v>0</v>
      </c>
    </row>
    <row r="227" spans="1:1" x14ac:dyDescent="0.25">
      <c r="A227">
        <v>25000</v>
      </c>
    </row>
    <row r="228" spans="1:1" x14ac:dyDescent="0.25">
      <c r="A228">
        <v>0</v>
      </c>
    </row>
    <row r="229" spans="1:1" x14ac:dyDescent="0.25">
      <c r="A229">
        <v>0</v>
      </c>
    </row>
    <row r="230" spans="1:1" x14ac:dyDescent="0.25">
      <c r="A230">
        <v>0</v>
      </c>
    </row>
    <row r="231" spans="1:1" x14ac:dyDescent="0.25">
      <c r="A231">
        <v>0</v>
      </c>
    </row>
    <row r="232" spans="1:1" x14ac:dyDescent="0.25">
      <c r="A232">
        <v>197</v>
      </c>
    </row>
    <row r="233" spans="1:1" x14ac:dyDescent="0.25">
      <c r="A233">
        <v>-575658</v>
      </c>
    </row>
    <row r="234" spans="1:1" x14ac:dyDescent="0.25">
      <c r="A234">
        <v>1191095</v>
      </c>
    </row>
    <row r="235" spans="1:1" x14ac:dyDescent="0.25">
      <c r="A235">
        <v>999</v>
      </c>
    </row>
    <row r="236" spans="1:1" x14ac:dyDescent="0.25">
      <c r="A236">
        <v>999</v>
      </c>
    </row>
    <row r="237" spans="1:1" x14ac:dyDescent="0.25">
      <c r="A237">
        <v>999</v>
      </c>
    </row>
    <row r="238" spans="1:1" x14ac:dyDescent="0.25">
      <c r="A238">
        <v>1028000</v>
      </c>
    </row>
    <row r="239" spans="1:1" x14ac:dyDescent="0.25">
      <c r="A239">
        <v>1080000</v>
      </c>
    </row>
    <row r="240" spans="1:1" x14ac:dyDescent="0.25">
      <c r="A240">
        <v>-236078</v>
      </c>
    </row>
    <row r="241" spans="1:1" x14ac:dyDescent="0.25">
      <c r="A241">
        <v>2172773</v>
      </c>
    </row>
    <row r="242" spans="1:1" x14ac:dyDescent="0.25">
      <c r="A242">
        <v>796747</v>
      </c>
    </row>
    <row r="243" spans="1:1" x14ac:dyDescent="0.25">
      <c r="A243">
        <v>498000</v>
      </c>
    </row>
    <row r="244" spans="1:1" x14ac:dyDescent="0.25">
      <c r="A244">
        <v>603386</v>
      </c>
    </row>
    <row r="245" spans="1:1" x14ac:dyDescent="0.25">
      <c r="A245">
        <v>90311</v>
      </c>
    </row>
    <row r="246" spans="1:1" x14ac:dyDescent="0.25">
      <c r="A246">
        <v>279413</v>
      </c>
    </row>
    <row r="247" spans="1:1" x14ac:dyDescent="0.25">
      <c r="A247">
        <v>230515</v>
      </c>
    </row>
    <row r="248" spans="1:1" x14ac:dyDescent="0.25">
      <c r="A248">
        <v>5350</v>
      </c>
    </row>
    <row r="249" spans="1:1" x14ac:dyDescent="0.25">
      <c r="A249">
        <v>57150</v>
      </c>
    </row>
    <row r="250" spans="1:1" x14ac:dyDescent="0.25">
      <c r="A250">
        <v>1301918</v>
      </c>
    </row>
    <row r="251" spans="1:1" x14ac:dyDescent="0.25">
      <c r="A251">
        <v>1258954</v>
      </c>
    </row>
    <row r="252" spans="1:1" x14ac:dyDescent="0.25">
      <c r="A252">
        <v>913819</v>
      </c>
    </row>
    <row r="253" spans="1:1" x14ac:dyDescent="0.25">
      <c r="A253">
        <v>0</v>
      </c>
    </row>
    <row r="254" spans="1:1" x14ac:dyDescent="0.25">
      <c r="A254">
        <v>32580</v>
      </c>
    </row>
    <row r="255" spans="1:1" x14ac:dyDescent="0.25">
      <c r="A255">
        <v>0</v>
      </c>
    </row>
    <row r="256" spans="1:1" x14ac:dyDescent="0.25">
      <c r="A256">
        <v>129269</v>
      </c>
    </row>
    <row r="257" spans="1:1" x14ac:dyDescent="0.25">
      <c r="A257">
        <v>-106809</v>
      </c>
    </row>
    <row r="258" spans="1:1" x14ac:dyDescent="0.25">
      <c r="A258">
        <v>999</v>
      </c>
    </row>
    <row r="259" spans="1:1" x14ac:dyDescent="0.25">
      <c r="A259">
        <v>999</v>
      </c>
    </row>
    <row r="260" spans="1:1" x14ac:dyDescent="0.25">
      <c r="A260">
        <v>-236078</v>
      </c>
    </row>
    <row r="261" spans="1:1" x14ac:dyDescent="0.25">
      <c r="A261">
        <v>50000</v>
      </c>
    </row>
    <row r="262" spans="1:1" x14ac:dyDescent="0.25">
      <c r="A262">
        <v>400000</v>
      </c>
    </row>
    <row r="263" spans="1:1" x14ac:dyDescent="0.25">
      <c r="A263">
        <v>1270606</v>
      </c>
    </row>
    <row r="264" spans="1:1" x14ac:dyDescent="0.25">
      <c r="A264">
        <v>0</v>
      </c>
    </row>
    <row r="265" spans="1:1" x14ac:dyDescent="0.25">
      <c r="A265">
        <v>143796</v>
      </c>
    </row>
    <row r="266" spans="1:1" x14ac:dyDescent="0.25">
      <c r="A266">
        <v>498000</v>
      </c>
    </row>
    <row r="267" spans="1:1" x14ac:dyDescent="0.25">
      <c r="A267">
        <v>660122</v>
      </c>
    </row>
    <row r="268" spans="1:1" x14ac:dyDescent="0.25">
      <c r="A268">
        <v>1032530</v>
      </c>
    </row>
    <row r="269" spans="1:1" x14ac:dyDescent="0.25">
      <c r="A269">
        <v>650000</v>
      </c>
    </row>
    <row r="270" spans="1:1" x14ac:dyDescent="0.25">
      <c r="A270">
        <v>650000</v>
      </c>
    </row>
    <row r="271" spans="1:1" x14ac:dyDescent="0.25">
      <c r="A271">
        <v>0</v>
      </c>
    </row>
    <row r="272" spans="1:1" x14ac:dyDescent="0.25">
      <c r="A272">
        <v>777300</v>
      </c>
    </row>
    <row r="273" spans="1:1" x14ac:dyDescent="0.25">
      <c r="A273">
        <v>34563</v>
      </c>
    </row>
    <row r="274" spans="1:1" x14ac:dyDescent="0.25">
      <c r="A274">
        <v>0</v>
      </c>
    </row>
    <row r="275" spans="1:1" x14ac:dyDescent="0.25">
      <c r="A275">
        <v>4000000</v>
      </c>
    </row>
    <row r="276" spans="1:1" x14ac:dyDescent="0.25">
      <c r="A276">
        <v>0</v>
      </c>
    </row>
    <row r="277" spans="1:1" x14ac:dyDescent="0.25">
      <c r="A277">
        <v>3893191</v>
      </c>
    </row>
    <row r="278" spans="1:1" x14ac:dyDescent="0.25">
      <c r="A278">
        <v>999</v>
      </c>
    </row>
    <row r="279" spans="1:1" x14ac:dyDescent="0.25">
      <c r="A279">
        <v>999</v>
      </c>
    </row>
    <row r="280" spans="1:1" x14ac:dyDescent="0.25">
      <c r="A280">
        <v>999</v>
      </c>
    </row>
    <row r="281" spans="1:1" x14ac:dyDescent="0.25">
      <c r="A281">
        <v>1000</v>
      </c>
    </row>
    <row r="282" spans="1:1" x14ac:dyDescent="0.25">
      <c r="A282">
        <v>999</v>
      </c>
    </row>
    <row r="283" spans="1:1" x14ac:dyDescent="0.25">
      <c r="A283">
        <v>999</v>
      </c>
    </row>
    <row r="284" spans="1:1" x14ac:dyDescent="0.25">
      <c r="A284">
        <v>800</v>
      </c>
    </row>
    <row r="285" spans="1:1" x14ac:dyDescent="0.25">
      <c r="A285">
        <v>125</v>
      </c>
    </row>
    <row r="286" spans="1:1" x14ac:dyDescent="0.25">
      <c r="A286">
        <v>380</v>
      </c>
    </row>
    <row r="287" spans="1:1" x14ac:dyDescent="0.25">
      <c r="A287">
        <v>213</v>
      </c>
    </row>
    <row r="288" spans="1:1" x14ac:dyDescent="0.25">
      <c r="A288">
        <v>999</v>
      </c>
    </row>
    <row r="289" spans="1:2" x14ac:dyDescent="0.25">
      <c r="A289">
        <v>999</v>
      </c>
    </row>
    <row r="290" spans="1:2" x14ac:dyDescent="0.25">
      <c r="A290">
        <v>999</v>
      </c>
    </row>
    <row r="291" spans="1:2" x14ac:dyDescent="0.25">
      <c r="A291">
        <v>0</v>
      </c>
    </row>
    <row r="292" spans="1:2" x14ac:dyDescent="0.25">
      <c r="A292">
        <v>5</v>
      </c>
    </row>
    <row r="293" spans="1:2" x14ac:dyDescent="0.25">
      <c r="A293">
        <v>0</v>
      </c>
    </row>
    <row r="294" spans="1:2" x14ac:dyDescent="0.25">
      <c r="A294">
        <v>5</v>
      </c>
    </row>
    <row r="295" spans="1:2" x14ac:dyDescent="0.25">
      <c r="A295">
        <v>1381</v>
      </c>
    </row>
    <row r="296" spans="1:2" x14ac:dyDescent="0.25">
      <c r="A296">
        <v>9</v>
      </c>
    </row>
    <row r="297" spans="1:2" x14ac:dyDescent="0.25">
      <c r="A297">
        <v>500</v>
      </c>
    </row>
    <row r="298" spans="1:2" x14ac:dyDescent="0.25">
      <c r="A298">
        <v>3</v>
      </c>
    </row>
    <row r="299" spans="1:2" x14ac:dyDescent="0.25">
      <c r="A299">
        <v>300</v>
      </c>
    </row>
    <row r="300" spans="1:2" x14ac:dyDescent="0.25">
      <c r="A300">
        <v>9</v>
      </c>
    </row>
    <row r="301" spans="1:2" x14ac:dyDescent="0.25">
      <c r="A301">
        <v>5340</v>
      </c>
    </row>
    <row r="302" spans="1:2" x14ac:dyDescent="0.25">
      <c r="A302">
        <v>77</v>
      </c>
      <c r="B302" s="695" t="s">
        <v>7</v>
      </c>
    </row>
    <row r="303" spans="1:2" x14ac:dyDescent="0.25">
      <c r="A303">
        <v>5276</v>
      </c>
    </row>
    <row r="304" spans="1:2" x14ac:dyDescent="0.25">
      <c r="A304">
        <v>94</v>
      </c>
    </row>
    <row r="305" spans="1:1" x14ac:dyDescent="0.25">
      <c r="A305">
        <v>19008</v>
      </c>
    </row>
    <row r="306" spans="1:1" x14ac:dyDescent="0.25">
      <c r="A306">
        <v>360</v>
      </c>
    </row>
    <row r="307" spans="1:1" x14ac:dyDescent="0.25">
      <c r="A307">
        <v>15503</v>
      </c>
    </row>
    <row r="308" spans="1:1" x14ac:dyDescent="0.25">
      <c r="A308">
        <v>0</v>
      </c>
    </row>
    <row r="309" spans="1:1" x14ac:dyDescent="0.25">
      <c r="A309">
        <v>999</v>
      </c>
    </row>
    <row r="310" spans="1:1" x14ac:dyDescent="0.25">
      <c r="A310">
        <v>999</v>
      </c>
    </row>
    <row r="311" spans="1:1" x14ac:dyDescent="0.25">
      <c r="A311">
        <v>5540</v>
      </c>
    </row>
    <row r="312" spans="1:1" x14ac:dyDescent="0.25">
      <c r="A312">
        <v>550</v>
      </c>
    </row>
    <row r="313" spans="1:1" x14ac:dyDescent="0.25">
      <c r="A313">
        <v>0</v>
      </c>
    </row>
    <row r="314" spans="1:1" x14ac:dyDescent="0.25">
      <c r="A314">
        <v>0</v>
      </c>
    </row>
    <row r="315" spans="1:1" x14ac:dyDescent="0.25">
      <c r="A315">
        <v>6715</v>
      </c>
    </row>
    <row r="316" spans="1:1" x14ac:dyDescent="0.25">
      <c r="A316">
        <v>1375</v>
      </c>
    </row>
    <row r="317" spans="1:1" x14ac:dyDescent="0.25">
      <c r="A317">
        <v>4000</v>
      </c>
    </row>
    <row r="318" spans="1:1" x14ac:dyDescent="0.25">
      <c r="A318">
        <v>9</v>
      </c>
    </row>
    <row r="319" spans="1:1" x14ac:dyDescent="0.25">
      <c r="A319">
        <v>24110</v>
      </c>
    </row>
    <row r="320" spans="1:1" x14ac:dyDescent="0.25">
      <c r="A320">
        <v>999</v>
      </c>
    </row>
    <row r="321" spans="1:1" x14ac:dyDescent="0.25">
      <c r="A321">
        <v>3</v>
      </c>
    </row>
    <row r="322" spans="1:1" x14ac:dyDescent="0.25">
      <c r="A322">
        <v>2</v>
      </c>
    </row>
    <row r="323" spans="1:1" x14ac:dyDescent="0.25">
      <c r="A323">
        <v>0</v>
      </c>
    </row>
    <row r="324" spans="1:1" x14ac:dyDescent="0.25">
      <c r="A324">
        <v>0</v>
      </c>
    </row>
    <row r="325" spans="1:1" x14ac:dyDescent="0.25">
      <c r="A325">
        <v>5</v>
      </c>
    </row>
    <row r="326" spans="1:1" x14ac:dyDescent="0.25">
      <c r="A326">
        <v>4</v>
      </c>
    </row>
    <row r="327" spans="1:1" x14ac:dyDescent="0.25">
      <c r="A327">
        <v>6</v>
      </c>
    </row>
    <row r="328" spans="1:1" x14ac:dyDescent="0.25">
      <c r="A328">
        <v>9</v>
      </c>
    </row>
    <row r="329" spans="1:1" x14ac:dyDescent="0.25">
      <c r="A329">
        <v>106</v>
      </c>
    </row>
    <row r="330" spans="1:1" x14ac:dyDescent="0.25">
      <c r="A330" s="695" t="s">
        <v>0</v>
      </c>
    </row>
    <row r="331" spans="1:1" x14ac:dyDescent="0.25">
      <c r="A331">
        <v>1</v>
      </c>
    </row>
    <row r="332" spans="1:1" x14ac:dyDescent="0.25">
      <c r="A332" t="s">
        <v>624</v>
      </c>
    </row>
    <row r="333" spans="1:1" x14ac:dyDescent="0.25">
      <c r="A333" t="s">
        <v>619</v>
      </c>
    </row>
    <row r="334" spans="1:1" x14ac:dyDescent="0.25">
      <c r="A334" t="s">
        <v>725</v>
      </c>
    </row>
    <row r="335" spans="1:1" x14ac:dyDescent="0.25">
      <c r="A335" t="s">
        <v>642</v>
      </c>
    </row>
    <row r="336" spans="1:1" x14ac:dyDescent="0.25">
      <c r="A336" t="s">
        <v>612</v>
      </c>
    </row>
    <row r="337" spans="1:1" x14ac:dyDescent="0.25">
      <c r="A337" t="s">
        <v>621</v>
      </c>
    </row>
    <row r="338" spans="1:1" x14ac:dyDescent="0.25">
      <c r="A338" t="s">
        <v>669</v>
      </c>
    </row>
    <row r="339" spans="1:1" x14ac:dyDescent="0.25">
      <c r="A339" t="s">
        <v>634</v>
      </c>
    </row>
    <row r="340" spans="1:1" x14ac:dyDescent="0.25">
      <c r="A340" t="s">
        <v>630</v>
      </c>
    </row>
    <row r="341" spans="1:1" x14ac:dyDescent="0.25">
      <c r="A341">
        <v>2</v>
      </c>
    </row>
    <row r="342" spans="1:1" x14ac:dyDescent="0.25">
      <c r="A342" t="s">
        <v>661</v>
      </c>
    </row>
    <row r="343" spans="1:1" x14ac:dyDescent="0.25">
      <c r="A343" t="s">
        <v>638</v>
      </c>
    </row>
    <row r="344" spans="1:1" x14ac:dyDescent="0.25">
      <c r="A344" t="s">
        <v>726</v>
      </c>
    </row>
    <row r="345" spans="1:1" x14ac:dyDescent="0.25">
      <c r="A345" t="s">
        <v>727</v>
      </c>
    </row>
    <row r="346" spans="1:1" x14ac:dyDescent="0.25">
      <c r="A346" t="s">
        <v>635</v>
      </c>
    </row>
    <row r="347" spans="1:1" x14ac:dyDescent="0.25">
      <c r="A347" t="s">
        <v>728</v>
      </c>
    </row>
    <row r="348" spans="1:1" x14ac:dyDescent="0.25">
      <c r="A348" t="s">
        <v>729</v>
      </c>
    </row>
    <row r="349" spans="1:1" x14ac:dyDescent="0.25">
      <c r="A349" t="s">
        <v>656</v>
      </c>
    </row>
    <row r="350" spans="1:1" x14ac:dyDescent="0.25">
      <c r="A350" t="s">
        <v>730</v>
      </c>
    </row>
    <row r="351" spans="1:1" x14ac:dyDescent="0.25">
      <c r="A351">
        <v>3</v>
      </c>
    </row>
    <row r="352" spans="1:1" x14ac:dyDescent="0.25">
      <c r="A352" t="s">
        <v>631</v>
      </c>
    </row>
    <row r="353" spans="1:1" x14ac:dyDescent="0.25">
      <c r="A353" t="s">
        <v>626</v>
      </c>
    </row>
    <row r="354" spans="1:1" x14ac:dyDescent="0.25">
      <c r="A354" t="s">
        <v>635</v>
      </c>
    </row>
    <row r="355" spans="1:1" x14ac:dyDescent="0.25">
      <c r="A355" t="s">
        <v>663</v>
      </c>
    </row>
    <row r="356" spans="1:1" x14ac:dyDescent="0.25">
      <c r="A356" t="s">
        <v>731</v>
      </c>
    </row>
    <row r="357" spans="1:1" x14ac:dyDescent="0.25">
      <c r="A357" t="s">
        <v>616</v>
      </c>
    </row>
    <row r="358" spans="1:1" x14ac:dyDescent="0.25">
      <c r="A358" t="s">
        <v>732</v>
      </c>
    </row>
    <row r="359" spans="1:1" x14ac:dyDescent="0.25">
      <c r="A359" t="s">
        <v>620</v>
      </c>
    </row>
    <row r="360" spans="1:1" x14ac:dyDescent="0.25">
      <c r="A360" t="s">
        <v>733</v>
      </c>
    </row>
    <row r="361" spans="1:1" x14ac:dyDescent="0.25">
      <c r="A361">
        <v>4</v>
      </c>
    </row>
    <row r="362" spans="1:1" x14ac:dyDescent="0.25">
      <c r="A362" t="s">
        <v>635</v>
      </c>
    </row>
    <row r="363" spans="1:1" x14ac:dyDescent="0.25">
      <c r="A363" t="s">
        <v>636</v>
      </c>
    </row>
    <row r="364" spans="1:1" x14ac:dyDescent="0.25">
      <c r="A364" t="s">
        <v>633</v>
      </c>
    </row>
    <row r="365" spans="1:1" x14ac:dyDescent="0.25">
      <c r="A365" t="s">
        <v>651</v>
      </c>
    </row>
    <row r="366" spans="1:1" x14ac:dyDescent="0.25">
      <c r="A366" t="s">
        <v>614</v>
      </c>
    </row>
    <row r="367" spans="1:1" x14ac:dyDescent="0.25">
      <c r="A367" t="s">
        <v>664</v>
      </c>
    </row>
    <row r="368" spans="1:1" x14ac:dyDescent="0.25">
      <c r="A368" t="s">
        <v>734</v>
      </c>
    </row>
    <row r="369" spans="1:1" x14ac:dyDescent="0.25">
      <c r="A369" t="s">
        <v>612</v>
      </c>
    </row>
    <row r="370" spans="1:1" x14ac:dyDescent="0.25">
      <c r="A370" t="s">
        <v>735</v>
      </c>
    </row>
    <row r="371" spans="1:1" x14ac:dyDescent="0.25">
      <c r="A371">
        <v>5</v>
      </c>
    </row>
    <row r="372" spans="1:1" x14ac:dyDescent="0.25">
      <c r="A372" t="s">
        <v>639</v>
      </c>
    </row>
    <row r="373" spans="1:1" x14ac:dyDescent="0.25">
      <c r="A373" t="s">
        <v>625</v>
      </c>
    </row>
    <row r="374" spans="1:1" x14ac:dyDescent="0.25">
      <c r="A374" t="s">
        <v>640</v>
      </c>
    </row>
    <row r="375" spans="1:1" x14ac:dyDescent="0.25">
      <c r="A375" t="s">
        <v>613</v>
      </c>
    </row>
    <row r="376" spans="1:1" x14ac:dyDescent="0.25">
      <c r="A376" t="s">
        <v>612</v>
      </c>
    </row>
    <row r="377" spans="1:1" x14ac:dyDescent="0.25">
      <c r="A377" t="s">
        <v>736</v>
      </c>
    </row>
    <row r="378" spans="1:1" x14ac:dyDescent="0.25">
      <c r="A378" t="s">
        <v>731</v>
      </c>
    </row>
    <row r="379" spans="1:1" x14ac:dyDescent="0.25">
      <c r="A379" t="s">
        <v>654</v>
      </c>
    </row>
    <row r="380" spans="1:1" x14ac:dyDescent="0.25">
      <c r="A380" t="s">
        <v>737</v>
      </c>
    </row>
    <row r="381" spans="1:1" x14ac:dyDescent="0.25">
      <c r="A381">
        <v>6</v>
      </c>
    </row>
    <row r="382" spans="1:1" x14ac:dyDescent="0.25">
      <c r="A382" t="s">
        <v>640</v>
      </c>
    </row>
    <row r="383" spans="1:1" x14ac:dyDescent="0.25">
      <c r="A383" t="s">
        <v>622</v>
      </c>
    </row>
    <row r="384" spans="1:1" x14ac:dyDescent="0.25">
      <c r="A384" t="s">
        <v>664</v>
      </c>
    </row>
    <row r="385" spans="1:1" x14ac:dyDescent="0.25">
      <c r="A385" t="s">
        <v>732</v>
      </c>
    </row>
    <row r="386" spans="1:1" x14ac:dyDescent="0.25">
      <c r="A386" t="s">
        <v>670</v>
      </c>
    </row>
    <row r="387" spans="1:1" x14ac:dyDescent="0.25">
      <c r="A387" t="s">
        <v>616</v>
      </c>
    </row>
    <row r="388" spans="1:1" x14ac:dyDescent="0.25">
      <c r="A388" t="s">
        <v>735</v>
      </c>
    </row>
    <row r="389" spans="1:1" x14ac:dyDescent="0.25">
      <c r="A389" t="s">
        <v>671</v>
      </c>
    </row>
    <row r="390" spans="1:1" x14ac:dyDescent="0.25">
      <c r="A390" t="s">
        <v>738</v>
      </c>
    </row>
    <row r="391" spans="1:1" x14ac:dyDescent="0.25">
      <c r="A391">
        <v>7</v>
      </c>
    </row>
    <row r="392" spans="1:1" x14ac:dyDescent="0.25">
      <c r="A392" t="s">
        <v>669</v>
      </c>
    </row>
    <row r="393" spans="1:1" x14ac:dyDescent="0.25">
      <c r="A393" t="s">
        <v>615</v>
      </c>
    </row>
    <row r="394" spans="1:1" x14ac:dyDescent="0.25">
      <c r="A394" t="s">
        <v>670</v>
      </c>
    </row>
    <row r="395" spans="1:1" x14ac:dyDescent="0.25">
      <c r="A395" t="s">
        <v>616</v>
      </c>
    </row>
    <row r="396" spans="1:1" x14ac:dyDescent="0.25">
      <c r="A396" t="s">
        <v>725</v>
      </c>
    </row>
    <row r="397" spans="1:1" x14ac:dyDescent="0.25">
      <c r="A397" t="s">
        <v>739</v>
      </c>
    </row>
    <row r="398" spans="1:1" x14ac:dyDescent="0.25">
      <c r="A398" t="s">
        <v>740</v>
      </c>
    </row>
    <row r="399" spans="1:1" x14ac:dyDescent="0.25">
      <c r="A399" t="s">
        <v>628</v>
      </c>
    </row>
    <row r="400" spans="1:1" x14ac:dyDescent="0.25">
      <c r="A400" t="s">
        <v>741</v>
      </c>
    </row>
    <row r="401" spans="1:1" x14ac:dyDescent="0.25">
      <c r="A401">
        <v>8</v>
      </c>
    </row>
    <row r="402" spans="1:1" x14ac:dyDescent="0.25">
      <c r="A402">
        <v>0</v>
      </c>
    </row>
    <row r="403" spans="1:1" x14ac:dyDescent="0.25">
      <c r="A403">
        <v>0</v>
      </c>
    </row>
    <row r="404" spans="1:1" x14ac:dyDescent="0.25">
      <c r="A404">
        <v>0</v>
      </c>
    </row>
    <row r="405" spans="1:1" x14ac:dyDescent="0.25">
      <c r="A405">
        <v>0</v>
      </c>
    </row>
    <row r="406" spans="1:1" x14ac:dyDescent="0.25">
      <c r="A406">
        <v>0</v>
      </c>
    </row>
    <row r="407" spans="1:1" x14ac:dyDescent="0.25">
      <c r="A407">
        <v>0</v>
      </c>
    </row>
    <row r="408" spans="1:1" x14ac:dyDescent="0.25">
      <c r="A408">
        <v>0</v>
      </c>
    </row>
    <row r="409" spans="1:1" x14ac:dyDescent="0.25">
      <c r="A409">
        <v>0</v>
      </c>
    </row>
    <row r="410" spans="1:1" x14ac:dyDescent="0.25">
      <c r="A410">
        <v>0</v>
      </c>
    </row>
    <row r="411" spans="1:1" x14ac:dyDescent="0.25">
      <c r="A411">
        <v>999</v>
      </c>
    </row>
    <row r="412" spans="1:1" x14ac:dyDescent="0.25">
      <c r="A412">
        <v>999</v>
      </c>
    </row>
    <row r="413" spans="1:1" x14ac:dyDescent="0.25">
      <c r="A413">
        <v>999</v>
      </c>
    </row>
    <row r="414" spans="1:1" x14ac:dyDescent="0.25">
      <c r="A414">
        <v>999</v>
      </c>
    </row>
    <row r="415" spans="1:1" x14ac:dyDescent="0.25">
      <c r="A415">
        <v>999</v>
      </c>
    </row>
    <row r="416" spans="1:1" x14ac:dyDescent="0.25">
      <c r="A416">
        <v>999</v>
      </c>
    </row>
    <row r="417" spans="1:1" x14ac:dyDescent="0.25">
      <c r="A417">
        <v>999</v>
      </c>
    </row>
    <row r="418" spans="1:1" x14ac:dyDescent="0.25">
      <c r="A418">
        <v>999</v>
      </c>
    </row>
    <row r="419" spans="1:1" x14ac:dyDescent="0.25">
      <c r="A419">
        <v>999</v>
      </c>
    </row>
    <row r="420" spans="1:1" x14ac:dyDescent="0.25">
      <c r="A420" t="s">
        <v>0</v>
      </c>
    </row>
    <row r="421" spans="1:1" x14ac:dyDescent="0.25">
      <c r="A421">
        <v>1</v>
      </c>
    </row>
    <row r="422" spans="1:1" x14ac:dyDescent="0.25">
      <c r="A422">
        <v>120000</v>
      </c>
    </row>
    <row r="423" spans="1:1" x14ac:dyDescent="0.25">
      <c r="A423">
        <v>65000</v>
      </c>
    </row>
    <row r="424" spans="1:1" x14ac:dyDescent="0.25">
      <c r="A424" s="696" t="s">
        <v>601</v>
      </c>
    </row>
    <row r="425" spans="1:1" x14ac:dyDescent="0.25">
      <c r="A425" s="696" t="s">
        <v>602</v>
      </c>
    </row>
    <row r="426" spans="1:1" x14ac:dyDescent="0.25">
      <c r="A426" s="696" t="s">
        <v>602</v>
      </c>
    </row>
    <row r="427" spans="1:1" x14ac:dyDescent="0.25">
      <c r="A427" s="696" t="s">
        <v>608</v>
      </c>
    </row>
    <row r="428" spans="1:1" x14ac:dyDescent="0.25">
      <c r="A428">
        <v>2</v>
      </c>
    </row>
    <row r="429" spans="1:1" x14ac:dyDescent="0.25">
      <c r="A429">
        <v>113000</v>
      </c>
    </row>
    <row r="430" spans="1:1" x14ac:dyDescent="0.25">
      <c r="A430">
        <v>116000</v>
      </c>
    </row>
    <row r="431" spans="1:1" x14ac:dyDescent="0.25">
      <c r="A431" s="696" t="s">
        <v>601</v>
      </c>
    </row>
    <row r="432" spans="1:1" x14ac:dyDescent="0.25">
      <c r="A432" s="696" t="s">
        <v>742</v>
      </c>
    </row>
    <row r="433" spans="1:1" x14ac:dyDescent="0.25">
      <c r="A433" s="696" t="s">
        <v>601</v>
      </c>
    </row>
    <row r="434" spans="1:1" x14ac:dyDescent="0.25">
      <c r="A434" s="696" t="s">
        <v>601</v>
      </c>
    </row>
    <row r="435" spans="1:1" x14ac:dyDescent="0.25">
      <c r="A435">
        <v>3</v>
      </c>
    </row>
    <row r="436" spans="1:1" x14ac:dyDescent="0.25">
      <c r="A436">
        <v>107000</v>
      </c>
    </row>
    <row r="437" spans="1:1" x14ac:dyDescent="0.25">
      <c r="A437">
        <v>45000</v>
      </c>
    </row>
    <row r="438" spans="1:1" x14ac:dyDescent="0.25">
      <c r="A438" s="696" t="s">
        <v>601</v>
      </c>
    </row>
    <row r="439" spans="1:1" x14ac:dyDescent="0.25">
      <c r="A439" s="696" t="s">
        <v>601</v>
      </c>
    </row>
    <row r="440" spans="1:1" x14ac:dyDescent="0.25">
      <c r="A440" s="696" t="s">
        <v>602</v>
      </c>
    </row>
    <row r="441" spans="1:1" x14ac:dyDescent="0.25">
      <c r="A441" s="696" t="s">
        <v>742</v>
      </c>
    </row>
    <row r="442" spans="1:1" x14ac:dyDescent="0.25">
      <c r="A442">
        <v>4</v>
      </c>
    </row>
    <row r="443" spans="1:1" x14ac:dyDescent="0.25">
      <c r="A443">
        <v>120000</v>
      </c>
    </row>
    <row r="444" spans="1:1" x14ac:dyDescent="0.25">
      <c r="A444">
        <v>60000</v>
      </c>
    </row>
    <row r="445" spans="1:1" x14ac:dyDescent="0.25">
      <c r="A445" s="696" t="s">
        <v>602</v>
      </c>
    </row>
    <row r="446" spans="1:1" x14ac:dyDescent="0.25">
      <c r="A446" s="696" t="s">
        <v>601</v>
      </c>
    </row>
    <row r="447" spans="1:1" x14ac:dyDescent="0.25">
      <c r="A447" s="696" t="s">
        <v>601</v>
      </c>
    </row>
    <row r="448" spans="1:1" x14ac:dyDescent="0.25">
      <c r="A448" s="696" t="s">
        <v>742</v>
      </c>
    </row>
    <row r="449" spans="1:1" x14ac:dyDescent="0.25">
      <c r="A449">
        <v>5</v>
      </c>
    </row>
    <row r="450" spans="1:1" x14ac:dyDescent="0.25">
      <c r="A450">
        <v>121000</v>
      </c>
    </row>
    <row r="451" spans="1:1" x14ac:dyDescent="0.25">
      <c r="A451">
        <v>80000</v>
      </c>
    </row>
    <row r="452" spans="1:1" x14ac:dyDescent="0.25">
      <c r="A452" s="696" t="s">
        <v>602</v>
      </c>
    </row>
    <row r="453" spans="1:1" x14ac:dyDescent="0.25">
      <c r="A453" s="696" t="s">
        <v>601</v>
      </c>
    </row>
    <row r="454" spans="1:1" x14ac:dyDescent="0.25">
      <c r="A454" s="696" t="s">
        <v>602</v>
      </c>
    </row>
    <row r="455" spans="1:1" x14ac:dyDescent="0.25">
      <c r="A455" s="696" t="s">
        <v>742</v>
      </c>
    </row>
    <row r="456" spans="1:1" x14ac:dyDescent="0.25">
      <c r="A456">
        <v>6</v>
      </c>
    </row>
    <row r="457" spans="1:1" x14ac:dyDescent="0.25">
      <c r="A457">
        <v>69000</v>
      </c>
    </row>
    <row r="458" spans="1:1" x14ac:dyDescent="0.25">
      <c r="A458">
        <v>30000</v>
      </c>
    </row>
    <row r="459" spans="1:1" x14ac:dyDescent="0.25">
      <c r="A459" s="696" t="s">
        <v>602</v>
      </c>
    </row>
    <row r="460" spans="1:1" x14ac:dyDescent="0.25">
      <c r="A460" s="696" t="s">
        <v>601</v>
      </c>
    </row>
    <row r="461" spans="1:1" x14ac:dyDescent="0.25">
      <c r="A461" s="696" t="s">
        <v>602</v>
      </c>
    </row>
    <row r="462" spans="1:1" x14ac:dyDescent="0.25">
      <c r="A462" s="696" t="s">
        <v>742</v>
      </c>
    </row>
    <row r="463" spans="1:1" x14ac:dyDescent="0.25">
      <c r="A463">
        <v>7</v>
      </c>
    </row>
    <row r="464" spans="1:1" x14ac:dyDescent="0.25">
      <c r="A464">
        <v>125000</v>
      </c>
    </row>
    <row r="465" spans="1:1" x14ac:dyDescent="0.25">
      <c r="A465">
        <v>62000</v>
      </c>
    </row>
    <row r="466" spans="1:1" x14ac:dyDescent="0.25">
      <c r="A466" s="696" t="s">
        <v>602</v>
      </c>
    </row>
    <row r="467" spans="1:1" x14ac:dyDescent="0.25">
      <c r="A467" s="696" t="s">
        <v>601</v>
      </c>
    </row>
    <row r="468" spans="1:1" x14ac:dyDescent="0.25">
      <c r="A468" s="696" t="s">
        <v>602</v>
      </c>
    </row>
    <row r="469" spans="1:1" x14ac:dyDescent="0.25">
      <c r="A469" s="696" t="s">
        <v>742</v>
      </c>
    </row>
    <row r="470" spans="1:1" x14ac:dyDescent="0.25">
      <c r="A470">
        <v>8</v>
      </c>
    </row>
    <row r="471" spans="1:1" x14ac:dyDescent="0.25">
      <c r="A471">
        <v>0</v>
      </c>
    </row>
    <row r="472" spans="1:1" x14ac:dyDescent="0.25">
      <c r="A472">
        <v>0</v>
      </c>
    </row>
    <row r="473" spans="1:1" x14ac:dyDescent="0.25">
      <c r="A473" s="696">
        <v>0</v>
      </c>
    </row>
    <row r="474" spans="1:1" x14ac:dyDescent="0.25">
      <c r="A474" s="696">
        <v>0</v>
      </c>
    </row>
    <row r="475" spans="1:1" x14ac:dyDescent="0.25">
      <c r="A475" s="696">
        <v>0</v>
      </c>
    </row>
    <row r="476" spans="1:1" x14ac:dyDescent="0.25">
      <c r="A476" s="696">
        <v>0</v>
      </c>
    </row>
    <row r="477" spans="1:1" x14ac:dyDescent="0.25">
      <c r="A477">
        <v>999</v>
      </c>
    </row>
    <row r="478" spans="1:1" x14ac:dyDescent="0.25">
      <c r="A478">
        <v>999</v>
      </c>
    </row>
    <row r="479" spans="1:1" x14ac:dyDescent="0.25">
      <c r="A479">
        <v>999</v>
      </c>
    </row>
    <row r="480" spans="1:1" x14ac:dyDescent="0.25">
      <c r="A480">
        <v>999</v>
      </c>
    </row>
    <row r="481" spans="1:1" x14ac:dyDescent="0.25">
      <c r="A481">
        <v>999</v>
      </c>
    </row>
    <row r="482" spans="1:1" x14ac:dyDescent="0.25">
      <c r="A482">
        <v>999</v>
      </c>
    </row>
    <row r="483" spans="1:1" x14ac:dyDescent="0.25">
      <c r="A483">
        <v>999</v>
      </c>
    </row>
    <row r="484" spans="1:1" x14ac:dyDescent="0.25">
      <c r="A484">
        <v>999</v>
      </c>
    </row>
    <row r="485" spans="1:1" x14ac:dyDescent="0.25">
      <c r="A485">
        <v>999</v>
      </c>
    </row>
    <row r="486" spans="1:1" x14ac:dyDescent="0.25">
      <c r="A486">
        <v>999</v>
      </c>
    </row>
    <row r="487" spans="1:1" x14ac:dyDescent="0.25">
      <c r="A487">
        <v>999</v>
      </c>
    </row>
    <row r="488" spans="1:1" x14ac:dyDescent="0.25">
      <c r="A488">
        <v>999</v>
      </c>
    </row>
    <row r="489" spans="1:1" x14ac:dyDescent="0.25">
      <c r="A489">
        <v>999</v>
      </c>
    </row>
    <row r="490" spans="1:1" x14ac:dyDescent="0.25">
      <c r="A490">
        <v>999</v>
      </c>
    </row>
    <row r="491" spans="1:1" x14ac:dyDescent="0.25">
      <c r="A491">
        <v>999</v>
      </c>
    </row>
    <row r="492" spans="1:1" x14ac:dyDescent="0.25">
      <c r="A492">
        <v>999</v>
      </c>
    </row>
    <row r="493" spans="1:1" x14ac:dyDescent="0.25">
      <c r="A493">
        <v>999</v>
      </c>
    </row>
    <row r="494" spans="1:1" x14ac:dyDescent="0.25">
      <c r="A494">
        <v>999</v>
      </c>
    </row>
    <row r="495" spans="1:1" x14ac:dyDescent="0.25">
      <c r="A495">
        <v>999</v>
      </c>
    </row>
    <row r="496" spans="1:1" x14ac:dyDescent="0.25">
      <c r="A496">
        <v>999</v>
      </c>
    </row>
    <row r="497" spans="1:1" x14ac:dyDescent="0.25">
      <c r="A497">
        <v>999</v>
      </c>
    </row>
    <row r="498" spans="1:1" x14ac:dyDescent="0.25">
      <c r="A498">
        <v>999</v>
      </c>
    </row>
    <row r="499" spans="1:1" x14ac:dyDescent="0.25">
      <c r="A499">
        <v>999</v>
      </c>
    </row>
    <row r="500" spans="1:1" x14ac:dyDescent="0.25">
      <c r="A500" t="s">
        <v>14</v>
      </c>
    </row>
    <row r="501" spans="1:1" x14ac:dyDescent="0.25">
      <c r="A501">
        <v>6</v>
      </c>
    </row>
    <row r="502" spans="1:1" x14ac:dyDescent="0.25">
      <c r="A502">
        <v>11</v>
      </c>
    </row>
    <row r="503" spans="1:1" x14ac:dyDescent="0.25">
      <c r="A503">
        <v>50</v>
      </c>
    </row>
    <row r="504" spans="1:1" x14ac:dyDescent="0.25">
      <c r="A504">
        <v>6143</v>
      </c>
    </row>
    <row r="505" spans="1:1" x14ac:dyDescent="0.25">
      <c r="A505">
        <v>4237</v>
      </c>
    </row>
    <row r="506" spans="1:1" x14ac:dyDescent="0.25">
      <c r="A506">
        <v>4352</v>
      </c>
    </row>
    <row r="507" spans="1:1" x14ac:dyDescent="0.25">
      <c r="A507">
        <v>83</v>
      </c>
    </row>
    <row r="508" spans="1:1" x14ac:dyDescent="0.25">
      <c r="A508">
        <v>44</v>
      </c>
    </row>
    <row r="509" spans="1:1" x14ac:dyDescent="0.25">
      <c r="A509">
        <v>1755</v>
      </c>
    </row>
    <row r="510" spans="1:1" x14ac:dyDescent="0.25">
      <c r="A510">
        <v>1774</v>
      </c>
    </row>
    <row r="511" spans="1:1" x14ac:dyDescent="0.25">
      <c r="A511">
        <v>83</v>
      </c>
    </row>
    <row r="512" spans="1:1" x14ac:dyDescent="0.25">
      <c r="A512">
        <v>999</v>
      </c>
    </row>
    <row r="513" spans="1:1" x14ac:dyDescent="0.25">
      <c r="A513">
        <v>999</v>
      </c>
    </row>
    <row r="514" spans="1:1" x14ac:dyDescent="0.25">
      <c r="A514">
        <v>65856</v>
      </c>
    </row>
    <row r="515" spans="1:1" x14ac:dyDescent="0.25">
      <c r="A515">
        <v>79345</v>
      </c>
    </row>
    <row r="516" spans="1:1" x14ac:dyDescent="0.25">
      <c r="A516">
        <v>75378</v>
      </c>
    </row>
    <row r="517" spans="1:1" x14ac:dyDescent="0.25">
      <c r="A517">
        <v>71410</v>
      </c>
    </row>
    <row r="518" spans="1:1" x14ac:dyDescent="0.25">
      <c r="A518">
        <v>500</v>
      </c>
    </row>
    <row r="519" spans="1:1" x14ac:dyDescent="0.25">
      <c r="A519">
        <v>999</v>
      </c>
    </row>
    <row r="520" spans="1:1" x14ac:dyDescent="0.25">
      <c r="A520">
        <v>999</v>
      </c>
    </row>
    <row r="521" spans="1:1" x14ac:dyDescent="0.25">
      <c r="A521">
        <v>1</v>
      </c>
    </row>
    <row r="522" spans="1:1" x14ac:dyDescent="0.25">
      <c r="A522">
        <v>7113</v>
      </c>
    </row>
    <row r="523" spans="1:1" x14ac:dyDescent="0.25">
      <c r="A523">
        <v>2845200</v>
      </c>
    </row>
    <row r="524" spans="1:1" x14ac:dyDescent="0.25">
      <c r="A524">
        <v>0</v>
      </c>
    </row>
    <row r="525" spans="1:1" x14ac:dyDescent="0.25">
      <c r="A525">
        <v>2845200</v>
      </c>
    </row>
    <row r="526" spans="1:1" x14ac:dyDescent="0.25">
      <c r="A526">
        <v>325</v>
      </c>
    </row>
    <row r="527" spans="1:1" x14ac:dyDescent="0.25">
      <c r="A527">
        <v>335</v>
      </c>
    </row>
    <row r="528" spans="1:1" x14ac:dyDescent="0.25">
      <c r="A528">
        <v>355</v>
      </c>
    </row>
    <row r="529" spans="1:1" x14ac:dyDescent="0.25">
      <c r="A529">
        <v>490</v>
      </c>
    </row>
    <row r="530" spans="1:1" x14ac:dyDescent="0.25">
      <c r="A530">
        <v>490</v>
      </c>
    </row>
    <row r="531" spans="1:1" x14ac:dyDescent="0.25">
      <c r="A531">
        <v>550</v>
      </c>
    </row>
    <row r="532" spans="1:1" x14ac:dyDescent="0.25">
      <c r="A532">
        <v>700</v>
      </c>
    </row>
    <row r="533" spans="1:1" x14ac:dyDescent="0.25">
      <c r="A533">
        <v>725</v>
      </c>
    </row>
    <row r="534" spans="1:1" x14ac:dyDescent="0.25">
      <c r="A534">
        <v>780</v>
      </c>
    </row>
    <row r="535" spans="1:1" x14ac:dyDescent="0.25">
      <c r="A535">
        <v>66</v>
      </c>
    </row>
    <row r="536" spans="1:1" x14ac:dyDescent="0.25">
      <c r="A536">
        <v>1270</v>
      </c>
    </row>
    <row r="537" spans="1:1" x14ac:dyDescent="0.25">
      <c r="A537">
        <v>5</v>
      </c>
    </row>
    <row r="538" spans="1:1" x14ac:dyDescent="0.25">
      <c r="A538">
        <v>999</v>
      </c>
    </row>
    <row r="539" spans="1:1" x14ac:dyDescent="0.25">
      <c r="A539">
        <v>999</v>
      </c>
    </row>
    <row r="540" spans="1:1" x14ac:dyDescent="0.25">
      <c r="A540">
        <v>999</v>
      </c>
    </row>
    <row r="541" spans="1:1" x14ac:dyDescent="0.25">
      <c r="A541">
        <v>2</v>
      </c>
    </row>
    <row r="542" spans="1:1" x14ac:dyDescent="0.25">
      <c r="A542">
        <v>10538</v>
      </c>
    </row>
    <row r="543" spans="1:1" x14ac:dyDescent="0.25">
      <c r="A543">
        <v>4215200</v>
      </c>
    </row>
    <row r="544" spans="1:1" x14ac:dyDescent="0.25">
      <c r="A544">
        <v>0</v>
      </c>
    </row>
    <row r="545" spans="1:2" x14ac:dyDescent="0.25">
      <c r="A545">
        <v>4215200</v>
      </c>
    </row>
    <row r="546" spans="1:2" x14ac:dyDescent="0.25">
      <c r="A546">
        <v>343</v>
      </c>
    </row>
    <row r="547" spans="1:2" x14ac:dyDescent="0.25">
      <c r="A547">
        <v>330</v>
      </c>
    </row>
    <row r="548" spans="1:2" x14ac:dyDescent="0.25">
      <c r="A548">
        <v>365</v>
      </c>
    </row>
    <row r="549" spans="1:2" x14ac:dyDescent="0.25">
      <c r="A549">
        <v>492</v>
      </c>
    </row>
    <row r="550" spans="1:2" x14ac:dyDescent="0.25">
      <c r="A550">
        <v>490</v>
      </c>
    </row>
    <row r="551" spans="1:2" x14ac:dyDescent="0.25">
      <c r="A551">
        <v>580</v>
      </c>
    </row>
    <row r="552" spans="1:2" x14ac:dyDescent="0.25">
      <c r="A552">
        <v>712</v>
      </c>
    </row>
    <row r="553" spans="1:2" x14ac:dyDescent="0.25">
      <c r="A553">
        <v>720</v>
      </c>
      <c r="B553"/>
    </row>
    <row r="554" spans="1:2" x14ac:dyDescent="0.25">
      <c r="A554">
        <v>855</v>
      </c>
      <c r="B554"/>
    </row>
    <row r="555" spans="1:2" x14ac:dyDescent="0.25">
      <c r="A555">
        <v>73</v>
      </c>
      <c r="B555"/>
    </row>
    <row r="556" spans="1:2" x14ac:dyDescent="0.25">
      <c r="A556">
        <v>1280</v>
      </c>
      <c r="B556"/>
    </row>
    <row r="557" spans="1:2" x14ac:dyDescent="0.25">
      <c r="A557">
        <v>5</v>
      </c>
      <c r="B557"/>
    </row>
    <row r="558" spans="1:2" x14ac:dyDescent="0.25">
      <c r="A558">
        <v>999</v>
      </c>
    </row>
    <row r="559" spans="1:2" x14ac:dyDescent="0.25">
      <c r="A559">
        <v>999</v>
      </c>
    </row>
    <row r="560" spans="1:2" x14ac:dyDescent="0.25">
      <c r="A560">
        <v>999</v>
      </c>
    </row>
    <row r="561" spans="1:1" x14ac:dyDescent="0.25">
      <c r="A561">
        <v>3</v>
      </c>
    </row>
    <row r="562" spans="1:1" x14ac:dyDescent="0.25">
      <c r="A562">
        <v>10336</v>
      </c>
    </row>
    <row r="563" spans="1:1" x14ac:dyDescent="0.25">
      <c r="A563">
        <v>4134400</v>
      </c>
    </row>
    <row r="564" spans="1:1" x14ac:dyDescent="0.25">
      <c r="A564">
        <v>0</v>
      </c>
    </row>
    <row r="565" spans="1:1" x14ac:dyDescent="0.25">
      <c r="A565">
        <v>4134400</v>
      </c>
    </row>
    <row r="566" spans="1:1" x14ac:dyDescent="0.25">
      <c r="A566">
        <v>339</v>
      </c>
    </row>
    <row r="567" spans="1:1" x14ac:dyDescent="0.25">
      <c r="A567">
        <v>349</v>
      </c>
    </row>
    <row r="568" spans="1:1" x14ac:dyDescent="0.25">
      <c r="A568">
        <v>389</v>
      </c>
    </row>
    <row r="569" spans="1:1" x14ac:dyDescent="0.25">
      <c r="A569">
        <v>499</v>
      </c>
    </row>
    <row r="570" spans="1:1" x14ac:dyDescent="0.25">
      <c r="A570">
        <v>499</v>
      </c>
    </row>
    <row r="571" spans="1:1" x14ac:dyDescent="0.25">
      <c r="A571">
        <v>599</v>
      </c>
    </row>
    <row r="572" spans="1:1" x14ac:dyDescent="0.25">
      <c r="A572">
        <v>719</v>
      </c>
    </row>
    <row r="573" spans="1:1" x14ac:dyDescent="0.25">
      <c r="A573">
        <v>739</v>
      </c>
    </row>
    <row r="574" spans="1:1" x14ac:dyDescent="0.25">
      <c r="A574">
        <v>829</v>
      </c>
    </row>
    <row r="575" spans="1:1" x14ac:dyDescent="0.25">
      <c r="A575">
        <v>81</v>
      </c>
    </row>
    <row r="576" spans="1:1" x14ac:dyDescent="0.25">
      <c r="A576">
        <v>1300</v>
      </c>
    </row>
    <row r="577" spans="1:1" x14ac:dyDescent="0.25">
      <c r="A577">
        <v>11</v>
      </c>
    </row>
    <row r="578" spans="1:1" x14ac:dyDescent="0.25">
      <c r="A578">
        <v>999</v>
      </c>
    </row>
    <row r="579" spans="1:1" x14ac:dyDescent="0.25">
      <c r="A579">
        <v>999</v>
      </c>
    </row>
    <row r="580" spans="1:1" x14ac:dyDescent="0.25">
      <c r="A580">
        <v>999</v>
      </c>
    </row>
    <row r="581" spans="1:1" x14ac:dyDescent="0.25">
      <c r="A581">
        <v>4</v>
      </c>
    </row>
    <row r="582" spans="1:1" x14ac:dyDescent="0.25">
      <c r="A582">
        <v>9834</v>
      </c>
    </row>
    <row r="583" spans="1:1" x14ac:dyDescent="0.25">
      <c r="A583">
        <v>3933600</v>
      </c>
    </row>
    <row r="584" spans="1:1" x14ac:dyDescent="0.25">
      <c r="A584">
        <v>0</v>
      </c>
    </row>
    <row r="585" spans="1:1" x14ac:dyDescent="0.25">
      <c r="A585">
        <v>3933600</v>
      </c>
    </row>
    <row r="586" spans="1:1" x14ac:dyDescent="0.25">
      <c r="A586">
        <v>320</v>
      </c>
    </row>
    <row r="587" spans="1:1" x14ac:dyDescent="0.25">
      <c r="A587">
        <v>325</v>
      </c>
    </row>
    <row r="588" spans="1:1" x14ac:dyDescent="0.25">
      <c r="A588">
        <v>360</v>
      </c>
    </row>
    <row r="589" spans="1:1" x14ac:dyDescent="0.25">
      <c r="A589">
        <v>530</v>
      </c>
    </row>
    <row r="590" spans="1:1" x14ac:dyDescent="0.25">
      <c r="A590">
        <v>530</v>
      </c>
    </row>
    <row r="591" spans="1:1" x14ac:dyDescent="0.25">
      <c r="A591">
        <v>600</v>
      </c>
    </row>
    <row r="592" spans="1:1" x14ac:dyDescent="0.25">
      <c r="A592">
        <v>710</v>
      </c>
    </row>
    <row r="593" spans="1:1" x14ac:dyDescent="0.25">
      <c r="A593">
        <v>735</v>
      </c>
    </row>
    <row r="594" spans="1:1" x14ac:dyDescent="0.25">
      <c r="A594">
        <v>820</v>
      </c>
    </row>
    <row r="595" spans="1:1" x14ac:dyDescent="0.25">
      <c r="A595">
        <v>62</v>
      </c>
    </row>
    <row r="596" spans="1:1" x14ac:dyDescent="0.25">
      <c r="A596">
        <v>1325</v>
      </c>
    </row>
    <row r="597" spans="1:1" x14ac:dyDescent="0.25">
      <c r="A597">
        <v>4</v>
      </c>
    </row>
    <row r="598" spans="1:1" x14ac:dyDescent="0.25">
      <c r="A598">
        <v>999</v>
      </c>
    </row>
    <row r="599" spans="1:1" x14ac:dyDescent="0.25">
      <c r="A599">
        <v>999</v>
      </c>
    </row>
    <row r="600" spans="1:1" x14ac:dyDescent="0.25">
      <c r="A600">
        <v>999</v>
      </c>
    </row>
    <row r="601" spans="1:1" x14ac:dyDescent="0.25">
      <c r="A601">
        <v>5</v>
      </c>
    </row>
    <row r="602" spans="1:1" x14ac:dyDescent="0.25">
      <c r="A602">
        <v>10157</v>
      </c>
    </row>
    <row r="603" spans="1:1" x14ac:dyDescent="0.25">
      <c r="A603">
        <v>4062800</v>
      </c>
    </row>
    <row r="604" spans="1:1" x14ac:dyDescent="0.25">
      <c r="A604">
        <v>0</v>
      </c>
    </row>
    <row r="605" spans="1:1" x14ac:dyDescent="0.25">
      <c r="A605">
        <v>4062800</v>
      </c>
    </row>
    <row r="606" spans="1:1" x14ac:dyDescent="0.25">
      <c r="A606">
        <v>340</v>
      </c>
    </row>
    <row r="607" spans="1:1" x14ac:dyDescent="0.25">
      <c r="A607">
        <v>350</v>
      </c>
    </row>
    <row r="608" spans="1:1" x14ac:dyDescent="0.25">
      <c r="A608">
        <v>375</v>
      </c>
    </row>
    <row r="609" spans="1:1" x14ac:dyDescent="0.25">
      <c r="A609">
        <v>500</v>
      </c>
    </row>
    <row r="610" spans="1:1" x14ac:dyDescent="0.25">
      <c r="A610">
        <v>500</v>
      </c>
    </row>
    <row r="611" spans="1:1" x14ac:dyDescent="0.25">
      <c r="A611">
        <v>570</v>
      </c>
    </row>
    <row r="612" spans="1:1" x14ac:dyDescent="0.25">
      <c r="A612">
        <v>715</v>
      </c>
    </row>
    <row r="613" spans="1:1" x14ac:dyDescent="0.25">
      <c r="A613">
        <v>740</v>
      </c>
    </row>
    <row r="614" spans="1:1" x14ac:dyDescent="0.25">
      <c r="A614">
        <v>800</v>
      </c>
    </row>
    <row r="615" spans="1:1" x14ac:dyDescent="0.25">
      <c r="A615">
        <v>63</v>
      </c>
    </row>
    <row r="616" spans="1:1" x14ac:dyDescent="0.25">
      <c r="A616">
        <v>1280</v>
      </c>
    </row>
    <row r="617" spans="1:1" x14ac:dyDescent="0.25">
      <c r="A617">
        <v>6</v>
      </c>
    </row>
    <row r="618" spans="1:1" x14ac:dyDescent="0.25">
      <c r="A618">
        <v>999</v>
      </c>
    </row>
    <row r="619" spans="1:1" x14ac:dyDescent="0.25">
      <c r="A619">
        <v>999</v>
      </c>
    </row>
    <row r="620" spans="1:1" x14ac:dyDescent="0.25">
      <c r="A620">
        <v>999</v>
      </c>
    </row>
    <row r="621" spans="1:1" x14ac:dyDescent="0.25">
      <c r="A621">
        <v>6</v>
      </c>
    </row>
    <row r="622" spans="1:1" x14ac:dyDescent="0.25">
      <c r="A622">
        <v>10320</v>
      </c>
    </row>
    <row r="623" spans="1:1" x14ac:dyDescent="0.25">
      <c r="A623">
        <v>4128000</v>
      </c>
    </row>
    <row r="624" spans="1:1" x14ac:dyDescent="0.25">
      <c r="A624">
        <v>0</v>
      </c>
    </row>
    <row r="625" spans="1:1" x14ac:dyDescent="0.25">
      <c r="A625">
        <v>4128000</v>
      </c>
    </row>
    <row r="626" spans="1:1" x14ac:dyDescent="0.25">
      <c r="A626">
        <v>315</v>
      </c>
    </row>
    <row r="627" spans="1:1" x14ac:dyDescent="0.25">
      <c r="A627">
        <v>340</v>
      </c>
    </row>
    <row r="628" spans="1:1" x14ac:dyDescent="0.25">
      <c r="A628">
        <v>370</v>
      </c>
    </row>
    <row r="629" spans="1:1" x14ac:dyDescent="0.25">
      <c r="A629">
        <v>489</v>
      </c>
    </row>
    <row r="630" spans="1:1" x14ac:dyDescent="0.25">
      <c r="A630">
        <v>489</v>
      </c>
    </row>
    <row r="631" spans="1:1" x14ac:dyDescent="0.25">
      <c r="A631">
        <v>579</v>
      </c>
    </row>
    <row r="632" spans="1:1" x14ac:dyDescent="0.25">
      <c r="A632">
        <v>699</v>
      </c>
    </row>
    <row r="633" spans="1:1" x14ac:dyDescent="0.25">
      <c r="A633">
        <v>720</v>
      </c>
    </row>
    <row r="634" spans="1:1" x14ac:dyDescent="0.25">
      <c r="A634">
        <v>820</v>
      </c>
    </row>
    <row r="635" spans="1:1" x14ac:dyDescent="0.25">
      <c r="A635">
        <v>84</v>
      </c>
    </row>
    <row r="636" spans="1:1" x14ac:dyDescent="0.25">
      <c r="A636">
        <v>1240</v>
      </c>
    </row>
    <row r="637" spans="1:1" x14ac:dyDescent="0.25">
      <c r="A637">
        <v>9</v>
      </c>
    </row>
    <row r="638" spans="1:1" x14ac:dyDescent="0.25">
      <c r="A638">
        <v>999</v>
      </c>
    </row>
    <row r="639" spans="1:1" x14ac:dyDescent="0.25">
      <c r="A639">
        <v>999</v>
      </c>
    </row>
    <row r="640" spans="1:1" x14ac:dyDescent="0.25">
      <c r="A640">
        <v>999</v>
      </c>
    </row>
    <row r="641" spans="1:1" x14ac:dyDescent="0.25">
      <c r="A641">
        <v>7</v>
      </c>
    </row>
    <row r="642" spans="1:1" x14ac:dyDescent="0.25">
      <c r="A642">
        <v>9985</v>
      </c>
    </row>
    <row r="643" spans="1:1" x14ac:dyDescent="0.25">
      <c r="A643">
        <v>3994000</v>
      </c>
    </row>
    <row r="644" spans="1:1" x14ac:dyDescent="0.25">
      <c r="A644">
        <v>0</v>
      </c>
    </row>
    <row r="645" spans="1:1" x14ac:dyDescent="0.25">
      <c r="A645">
        <v>3994000</v>
      </c>
    </row>
    <row r="646" spans="1:1" x14ac:dyDescent="0.25">
      <c r="A646">
        <v>335</v>
      </c>
    </row>
    <row r="647" spans="1:1" x14ac:dyDescent="0.25">
      <c r="A647">
        <v>345</v>
      </c>
    </row>
    <row r="648" spans="1:1" x14ac:dyDescent="0.25">
      <c r="A648">
        <v>375</v>
      </c>
    </row>
    <row r="649" spans="1:1" x14ac:dyDescent="0.25">
      <c r="A649">
        <v>495</v>
      </c>
    </row>
    <row r="650" spans="1:1" x14ac:dyDescent="0.25">
      <c r="A650">
        <v>495</v>
      </c>
    </row>
    <row r="651" spans="1:1" x14ac:dyDescent="0.25">
      <c r="A651">
        <v>595</v>
      </c>
    </row>
    <row r="652" spans="1:1" x14ac:dyDescent="0.25">
      <c r="A652">
        <v>700</v>
      </c>
    </row>
    <row r="653" spans="1:1" x14ac:dyDescent="0.25">
      <c r="A653">
        <v>725</v>
      </c>
    </row>
    <row r="654" spans="1:1" x14ac:dyDescent="0.25">
      <c r="A654">
        <v>850</v>
      </c>
    </row>
    <row r="655" spans="1:1" x14ac:dyDescent="0.25">
      <c r="A655">
        <v>95</v>
      </c>
    </row>
    <row r="656" spans="1:1" x14ac:dyDescent="0.25">
      <c r="A656">
        <v>1365</v>
      </c>
    </row>
    <row r="657" spans="1:1" x14ac:dyDescent="0.25">
      <c r="A657">
        <v>5</v>
      </c>
    </row>
    <row r="658" spans="1:1" x14ac:dyDescent="0.25">
      <c r="A658">
        <v>999</v>
      </c>
    </row>
    <row r="659" spans="1:1" x14ac:dyDescent="0.25">
      <c r="A659">
        <v>999</v>
      </c>
    </row>
    <row r="660" spans="1:1" x14ac:dyDescent="0.25">
      <c r="A660">
        <v>999</v>
      </c>
    </row>
    <row r="661" spans="1:1" x14ac:dyDescent="0.25">
      <c r="A661">
        <v>8</v>
      </c>
    </row>
    <row r="662" spans="1:1" x14ac:dyDescent="0.25">
      <c r="A662">
        <v>0</v>
      </c>
    </row>
    <row r="663" spans="1:1" x14ac:dyDescent="0.25">
      <c r="A663">
        <v>0</v>
      </c>
    </row>
    <row r="664" spans="1:1" x14ac:dyDescent="0.25">
      <c r="A664">
        <v>0</v>
      </c>
    </row>
    <row r="665" spans="1:1" x14ac:dyDescent="0.25">
      <c r="A665">
        <v>0</v>
      </c>
    </row>
    <row r="666" spans="1:1" x14ac:dyDescent="0.25">
      <c r="A666">
        <v>0</v>
      </c>
    </row>
    <row r="667" spans="1:1" x14ac:dyDescent="0.25">
      <c r="A667">
        <v>0</v>
      </c>
    </row>
    <row r="668" spans="1:1" x14ac:dyDescent="0.25">
      <c r="A668">
        <v>0</v>
      </c>
    </row>
    <row r="669" spans="1:1" x14ac:dyDescent="0.25">
      <c r="A669">
        <v>0</v>
      </c>
    </row>
    <row r="670" spans="1:1" x14ac:dyDescent="0.25">
      <c r="A670">
        <v>0</v>
      </c>
    </row>
    <row r="671" spans="1:1" x14ac:dyDescent="0.25">
      <c r="A671">
        <v>0</v>
      </c>
    </row>
    <row r="672" spans="1:1" x14ac:dyDescent="0.25">
      <c r="A672">
        <v>0</v>
      </c>
    </row>
    <row r="673" spans="1:1" x14ac:dyDescent="0.25">
      <c r="A673">
        <v>0</v>
      </c>
    </row>
    <row r="674" spans="1:1" x14ac:dyDescent="0.25">
      <c r="A674">
        <v>0</v>
      </c>
    </row>
    <row r="675" spans="1:1" x14ac:dyDescent="0.25">
      <c r="A675">
        <v>0</v>
      </c>
    </row>
    <row r="676" spans="1:1" x14ac:dyDescent="0.25">
      <c r="A676">
        <v>0</v>
      </c>
    </row>
    <row r="677" spans="1:1" x14ac:dyDescent="0.25">
      <c r="A677">
        <v>0</v>
      </c>
    </row>
    <row r="678" spans="1:1" x14ac:dyDescent="0.25">
      <c r="A678">
        <v>0</v>
      </c>
    </row>
    <row r="679" spans="1:1" x14ac:dyDescent="0.25">
      <c r="A679">
        <v>0</v>
      </c>
    </row>
    <row r="680" spans="1:1" x14ac:dyDescent="0.25">
      <c r="A680">
        <v>0</v>
      </c>
    </row>
    <row r="681" spans="1:1" x14ac:dyDescent="0.25">
      <c r="A681" t="s">
        <v>743</v>
      </c>
    </row>
    <row r="682" spans="1:1" x14ac:dyDescent="0.25">
      <c r="A682" t="s">
        <v>744</v>
      </c>
    </row>
    <row r="683" spans="1:1" x14ac:dyDescent="0.25">
      <c r="A683" t="s">
        <v>745</v>
      </c>
    </row>
    <row r="684" spans="1:1" x14ac:dyDescent="0.25">
      <c r="A684" t="s">
        <v>746</v>
      </c>
    </row>
    <row r="685" spans="1:1" x14ac:dyDescent="0.25">
      <c r="A685" t="s">
        <v>0</v>
      </c>
    </row>
    <row r="686" spans="1:1" x14ac:dyDescent="0.25">
      <c r="A686" t="s">
        <v>0</v>
      </c>
    </row>
    <row r="687" spans="1:1" x14ac:dyDescent="0.25">
      <c r="A687">
        <v>999</v>
      </c>
    </row>
    <row r="688" spans="1:1" x14ac:dyDescent="0.25">
      <c r="A688">
        <v>999</v>
      </c>
    </row>
    <row r="689" spans="1:1" x14ac:dyDescent="0.25">
      <c r="A689">
        <v>999</v>
      </c>
    </row>
    <row r="690" spans="1:1" x14ac:dyDescent="0.25">
      <c r="A690">
        <v>999</v>
      </c>
    </row>
    <row r="691" spans="1:1" x14ac:dyDescent="0.25">
      <c r="A691">
        <v>999</v>
      </c>
    </row>
    <row r="692" spans="1:1" x14ac:dyDescent="0.25">
      <c r="A692">
        <v>999</v>
      </c>
    </row>
    <row r="693" spans="1:1" x14ac:dyDescent="0.25">
      <c r="A693">
        <v>999</v>
      </c>
    </row>
    <row r="694" spans="1:1" x14ac:dyDescent="0.25">
      <c r="A694">
        <v>999</v>
      </c>
    </row>
    <row r="695" spans="1:1" x14ac:dyDescent="0.25">
      <c r="A695">
        <v>999</v>
      </c>
    </row>
    <row r="696" spans="1:1" x14ac:dyDescent="0.25">
      <c r="A696">
        <v>999</v>
      </c>
    </row>
    <row r="697" spans="1:1" x14ac:dyDescent="0.25">
      <c r="A697">
        <v>999</v>
      </c>
    </row>
    <row r="698" spans="1:1" x14ac:dyDescent="0.25">
      <c r="A698">
        <v>999</v>
      </c>
    </row>
    <row r="699" spans="1:1" x14ac:dyDescent="0.25">
      <c r="A699" t="s">
        <v>707</v>
      </c>
    </row>
    <row r="700" spans="1:1" x14ac:dyDescent="0.25">
      <c r="A700" t="s">
        <v>747</v>
      </c>
    </row>
    <row r="701" spans="1:1" x14ac:dyDescent="0.25">
      <c r="A701">
        <v>1</v>
      </c>
    </row>
    <row r="702" spans="1:1" x14ac:dyDescent="0.25">
      <c r="A702">
        <v>1998664</v>
      </c>
    </row>
    <row r="703" spans="1:1" x14ac:dyDescent="0.25">
      <c r="A703">
        <v>1837172</v>
      </c>
    </row>
    <row r="704" spans="1:1" x14ac:dyDescent="0.25">
      <c r="A704">
        <v>701903</v>
      </c>
    </row>
    <row r="705" spans="1:1" x14ac:dyDescent="0.25">
      <c r="A705">
        <v>1150000</v>
      </c>
    </row>
    <row r="706" spans="1:1" x14ac:dyDescent="0.25">
      <c r="A706">
        <v>999</v>
      </c>
    </row>
    <row r="707" spans="1:1" x14ac:dyDescent="0.25">
      <c r="A707">
        <v>999</v>
      </c>
    </row>
    <row r="708" spans="1:1" x14ac:dyDescent="0.25">
      <c r="A708">
        <v>0</v>
      </c>
    </row>
    <row r="709" spans="1:1" x14ac:dyDescent="0.25">
      <c r="A709">
        <v>1163530</v>
      </c>
    </row>
    <row r="710" spans="1:1" x14ac:dyDescent="0.25">
      <c r="A710">
        <v>1175528</v>
      </c>
    </row>
    <row r="711" spans="1:1" x14ac:dyDescent="0.25">
      <c r="A711">
        <v>999</v>
      </c>
    </row>
    <row r="712" spans="1:1" x14ac:dyDescent="0.25">
      <c r="A712">
        <v>0</v>
      </c>
    </row>
    <row r="713" spans="1:1" x14ac:dyDescent="0.25">
      <c r="A713">
        <v>999</v>
      </c>
    </row>
    <row r="714" spans="1:1" x14ac:dyDescent="0.25">
      <c r="A714">
        <v>4000000</v>
      </c>
    </row>
    <row r="715" spans="1:1" x14ac:dyDescent="0.25">
      <c r="A715">
        <v>0</v>
      </c>
    </row>
    <row r="716" spans="1:1" x14ac:dyDescent="0.25">
      <c r="A716">
        <v>-651319</v>
      </c>
    </row>
    <row r="717" spans="1:1" x14ac:dyDescent="0.25">
      <c r="A717">
        <v>3348681</v>
      </c>
    </row>
    <row r="718" spans="1:1" x14ac:dyDescent="0.25">
      <c r="A718">
        <v>999</v>
      </c>
    </row>
    <row r="719" spans="1:1" x14ac:dyDescent="0.25">
      <c r="A719">
        <v>999</v>
      </c>
    </row>
    <row r="720" spans="1:1" x14ac:dyDescent="0.25">
      <c r="A720">
        <v>999</v>
      </c>
    </row>
    <row r="721" spans="1:1" x14ac:dyDescent="0.25">
      <c r="A721">
        <v>2</v>
      </c>
    </row>
    <row r="722" spans="1:1" x14ac:dyDescent="0.25">
      <c r="A722">
        <v>1720606</v>
      </c>
    </row>
    <row r="723" spans="1:1" x14ac:dyDescent="0.25">
      <c r="A723">
        <v>1301918</v>
      </c>
    </row>
    <row r="724" spans="1:1" x14ac:dyDescent="0.25">
      <c r="A724">
        <v>1032530</v>
      </c>
    </row>
    <row r="725" spans="1:1" x14ac:dyDescent="0.25">
      <c r="A725">
        <v>650000</v>
      </c>
    </row>
    <row r="726" spans="1:1" x14ac:dyDescent="0.25">
      <c r="A726">
        <v>999</v>
      </c>
    </row>
    <row r="727" spans="1:1" x14ac:dyDescent="0.25">
      <c r="A727">
        <v>999</v>
      </c>
    </row>
    <row r="728" spans="1:1" x14ac:dyDescent="0.25">
      <c r="A728">
        <v>0</v>
      </c>
    </row>
    <row r="729" spans="1:1" x14ac:dyDescent="0.25">
      <c r="A729">
        <v>777300</v>
      </c>
    </row>
    <row r="730" spans="1:1" x14ac:dyDescent="0.25">
      <c r="A730">
        <v>34563</v>
      </c>
    </row>
    <row r="731" spans="1:1" x14ac:dyDescent="0.25">
      <c r="A731">
        <v>999</v>
      </c>
    </row>
    <row r="732" spans="1:1" x14ac:dyDescent="0.25">
      <c r="A732">
        <v>0</v>
      </c>
    </row>
    <row r="733" spans="1:1" x14ac:dyDescent="0.25">
      <c r="A733">
        <v>999</v>
      </c>
    </row>
    <row r="734" spans="1:1" x14ac:dyDescent="0.25">
      <c r="A734">
        <v>4000000</v>
      </c>
    </row>
    <row r="735" spans="1:1" x14ac:dyDescent="0.25">
      <c r="A735">
        <v>0</v>
      </c>
    </row>
    <row r="736" spans="1:1" x14ac:dyDescent="0.25">
      <c r="A736">
        <v>-106809</v>
      </c>
    </row>
    <row r="737" spans="1:1" x14ac:dyDescent="0.25">
      <c r="A737">
        <v>3893191</v>
      </c>
    </row>
    <row r="738" spans="1:1" x14ac:dyDescent="0.25">
      <c r="A738">
        <v>999</v>
      </c>
    </row>
    <row r="739" spans="1:1" x14ac:dyDescent="0.25">
      <c r="A739">
        <v>999</v>
      </c>
    </row>
    <row r="740" spans="1:1" x14ac:dyDescent="0.25">
      <c r="A740">
        <v>999</v>
      </c>
    </row>
    <row r="741" spans="1:1" x14ac:dyDescent="0.25">
      <c r="A741">
        <v>3</v>
      </c>
    </row>
    <row r="742" spans="1:1" x14ac:dyDescent="0.25">
      <c r="A742">
        <v>2275482</v>
      </c>
    </row>
    <row r="743" spans="1:1" x14ac:dyDescent="0.25">
      <c r="A743">
        <v>594807</v>
      </c>
    </row>
    <row r="744" spans="1:1" x14ac:dyDescent="0.25">
      <c r="A744">
        <v>1323637</v>
      </c>
    </row>
    <row r="745" spans="1:1" x14ac:dyDescent="0.25">
      <c r="A745">
        <v>1150000</v>
      </c>
    </row>
    <row r="746" spans="1:1" x14ac:dyDescent="0.25">
      <c r="A746">
        <v>999</v>
      </c>
    </row>
    <row r="747" spans="1:1" x14ac:dyDescent="0.25">
      <c r="A747">
        <v>999</v>
      </c>
    </row>
    <row r="748" spans="1:1" x14ac:dyDescent="0.25">
      <c r="A748">
        <v>0</v>
      </c>
    </row>
    <row r="749" spans="1:1" x14ac:dyDescent="0.25">
      <c r="A749">
        <v>716676</v>
      </c>
    </row>
    <row r="750" spans="1:1" x14ac:dyDescent="0.25">
      <c r="A750">
        <v>615785</v>
      </c>
    </row>
    <row r="751" spans="1:1" x14ac:dyDescent="0.25">
      <c r="A751">
        <v>999</v>
      </c>
    </row>
    <row r="752" spans="1:1" x14ac:dyDescent="0.25">
      <c r="A752">
        <v>0</v>
      </c>
    </row>
    <row r="753" spans="1:1" x14ac:dyDescent="0.25">
      <c r="A753">
        <v>999</v>
      </c>
    </row>
    <row r="754" spans="1:1" x14ac:dyDescent="0.25">
      <c r="A754">
        <v>4000000</v>
      </c>
    </row>
    <row r="755" spans="1:1" x14ac:dyDescent="0.25">
      <c r="A755">
        <v>0</v>
      </c>
    </row>
    <row r="756" spans="1:1" x14ac:dyDescent="0.25">
      <c r="A756">
        <v>11465</v>
      </c>
    </row>
    <row r="757" spans="1:1" x14ac:dyDescent="0.25">
      <c r="A757">
        <v>4011465</v>
      </c>
    </row>
    <row r="758" spans="1:1" x14ac:dyDescent="0.25">
      <c r="A758">
        <v>999</v>
      </c>
    </row>
    <row r="759" spans="1:1" x14ac:dyDescent="0.25">
      <c r="A759">
        <v>999</v>
      </c>
    </row>
    <row r="760" spans="1:1" x14ac:dyDescent="0.25">
      <c r="A760">
        <v>999</v>
      </c>
    </row>
    <row r="761" spans="1:1" x14ac:dyDescent="0.25">
      <c r="A761">
        <v>4</v>
      </c>
    </row>
    <row r="762" spans="1:1" x14ac:dyDescent="0.25">
      <c r="A762">
        <v>1577736</v>
      </c>
    </row>
    <row r="763" spans="1:1" x14ac:dyDescent="0.25">
      <c r="A763">
        <v>746073</v>
      </c>
    </row>
    <row r="764" spans="1:1" x14ac:dyDescent="0.25">
      <c r="A764">
        <v>787605</v>
      </c>
    </row>
    <row r="765" spans="1:1" x14ac:dyDescent="0.25">
      <c r="A765">
        <v>1330004</v>
      </c>
    </row>
    <row r="766" spans="1:1" x14ac:dyDescent="0.25">
      <c r="A766">
        <v>999</v>
      </c>
    </row>
    <row r="767" spans="1:1" x14ac:dyDescent="0.25">
      <c r="A767">
        <v>999</v>
      </c>
    </row>
    <row r="768" spans="1:1" x14ac:dyDescent="0.25">
      <c r="A768">
        <v>0</v>
      </c>
    </row>
    <row r="769" spans="1:1" x14ac:dyDescent="0.25">
      <c r="A769">
        <v>473070</v>
      </c>
    </row>
    <row r="770" spans="1:1" x14ac:dyDescent="0.25">
      <c r="A770">
        <v>0</v>
      </c>
    </row>
    <row r="771" spans="1:1" x14ac:dyDescent="0.25">
      <c r="A771">
        <v>999</v>
      </c>
    </row>
    <row r="772" spans="1:1" x14ac:dyDescent="0.25">
      <c r="A772">
        <v>0</v>
      </c>
    </row>
    <row r="773" spans="1:1" x14ac:dyDescent="0.25">
      <c r="A773">
        <v>999</v>
      </c>
    </row>
    <row r="774" spans="1:1" x14ac:dyDescent="0.25">
      <c r="A774">
        <v>4000000</v>
      </c>
    </row>
    <row r="775" spans="1:1" x14ac:dyDescent="0.25">
      <c r="A775">
        <v>0</v>
      </c>
    </row>
    <row r="776" spans="1:1" x14ac:dyDescent="0.25">
      <c r="A776">
        <v>-31652</v>
      </c>
    </row>
    <row r="777" spans="1:1" x14ac:dyDescent="0.25">
      <c r="A777">
        <v>3968348</v>
      </c>
    </row>
    <row r="778" spans="1:1" x14ac:dyDescent="0.25">
      <c r="A778">
        <v>999</v>
      </c>
    </row>
    <row r="779" spans="1:1" x14ac:dyDescent="0.25">
      <c r="A779">
        <v>999</v>
      </c>
    </row>
    <row r="780" spans="1:1" x14ac:dyDescent="0.25">
      <c r="A780">
        <v>999</v>
      </c>
    </row>
    <row r="781" spans="1:1" x14ac:dyDescent="0.25">
      <c r="A781">
        <v>5</v>
      </c>
    </row>
    <row r="782" spans="1:1" x14ac:dyDescent="0.25">
      <c r="A782">
        <v>1637736</v>
      </c>
    </row>
    <row r="783" spans="1:1" x14ac:dyDescent="0.25">
      <c r="A783">
        <v>1090297</v>
      </c>
    </row>
    <row r="784" spans="1:1" x14ac:dyDescent="0.25">
      <c r="A784">
        <v>984989</v>
      </c>
    </row>
    <row r="785" spans="1:1" x14ac:dyDescent="0.25">
      <c r="A785">
        <v>1150000</v>
      </c>
    </row>
    <row r="786" spans="1:1" x14ac:dyDescent="0.25">
      <c r="A786">
        <v>999</v>
      </c>
    </row>
    <row r="787" spans="1:1" x14ac:dyDescent="0.25">
      <c r="A787">
        <v>999</v>
      </c>
    </row>
    <row r="788" spans="1:1" x14ac:dyDescent="0.25">
      <c r="A788">
        <v>0</v>
      </c>
    </row>
    <row r="789" spans="1:1" x14ac:dyDescent="0.25">
      <c r="A789">
        <v>801730</v>
      </c>
    </row>
    <row r="790" spans="1:1" x14ac:dyDescent="0.25">
      <c r="A790">
        <v>194234</v>
      </c>
    </row>
    <row r="791" spans="1:1" x14ac:dyDescent="0.25">
      <c r="A791">
        <v>999</v>
      </c>
    </row>
    <row r="792" spans="1:1" x14ac:dyDescent="0.25">
      <c r="A792">
        <v>0</v>
      </c>
    </row>
    <row r="793" spans="1:1" x14ac:dyDescent="0.25">
      <c r="A793">
        <v>999</v>
      </c>
    </row>
    <row r="794" spans="1:1" x14ac:dyDescent="0.25">
      <c r="A794">
        <v>4000000</v>
      </c>
    </row>
    <row r="795" spans="1:1" x14ac:dyDescent="0.25">
      <c r="A795">
        <v>0</v>
      </c>
    </row>
    <row r="796" spans="1:1" x14ac:dyDescent="0.25">
      <c r="A796">
        <v>-132942</v>
      </c>
    </row>
    <row r="797" spans="1:1" x14ac:dyDescent="0.25">
      <c r="A797">
        <v>3867058</v>
      </c>
    </row>
    <row r="798" spans="1:1" x14ac:dyDescent="0.25">
      <c r="A798">
        <v>999</v>
      </c>
    </row>
    <row r="799" spans="1:1" x14ac:dyDescent="0.25">
      <c r="A799">
        <v>999</v>
      </c>
    </row>
    <row r="800" spans="1:1" x14ac:dyDescent="0.25">
      <c r="A800">
        <v>999</v>
      </c>
    </row>
    <row r="801" spans="1:1" x14ac:dyDescent="0.25">
      <c r="A801">
        <v>6</v>
      </c>
    </row>
    <row r="802" spans="1:1" x14ac:dyDescent="0.25">
      <c r="A802">
        <v>2283852</v>
      </c>
    </row>
    <row r="803" spans="1:1" x14ac:dyDescent="0.25">
      <c r="A803">
        <v>466798</v>
      </c>
    </row>
    <row r="804" spans="1:1" x14ac:dyDescent="0.25">
      <c r="A804">
        <v>1332170</v>
      </c>
    </row>
    <row r="805" spans="1:1" x14ac:dyDescent="0.25">
      <c r="A805">
        <v>1150000</v>
      </c>
    </row>
    <row r="806" spans="1:1" x14ac:dyDescent="0.25">
      <c r="A806">
        <v>999</v>
      </c>
    </row>
    <row r="807" spans="1:1" x14ac:dyDescent="0.25">
      <c r="A807">
        <v>999</v>
      </c>
    </row>
    <row r="808" spans="1:1" x14ac:dyDescent="0.25">
      <c r="A808">
        <v>0</v>
      </c>
    </row>
    <row r="809" spans="1:1" x14ac:dyDescent="0.25">
      <c r="A809">
        <v>396563</v>
      </c>
    </row>
    <row r="810" spans="1:1" x14ac:dyDescent="0.25">
      <c r="A810">
        <v>799975</v>
      </c>
    </row>
    <row r="811" spans="1:1" x14ac:dyDescent="0.25">
      <c r="A811">
        <v>999</v>
      </c>
    </row>
    <row r="812" spans="1:1" x14ac:dyDescent="0.25">
      <c r="A812">
        <v>0</v>
      </c>
    </row>
    <row r="813" spans="1:1" x14ac:dyDescent="0.25">
      <c r="A813">
        <v>999</v>
      </c>
    </row>
    <row r="814" spans="1:1" x14ac:dyDescent="0.25">
      <c r="A814">
        <v>4000000</v>
      </c>
    </row>
    <row r="815" spans="1:1" x14ac:dyDescent="0.25">
      <c r="A815">
        <v>0</v>
      </c>
    </row>
    <row r="816" spans="1:1" x14ac:dyDescent="0.25">
      <c r="A816">
        <v>36282</v>
      </c>
    </row>
    <row r="817" spans="1:1" x14ac:dyDescent="0.25">
      <c r="A817">
        <v>4036282</v>
      </c>
    </row>
    <row r="818" spans="1:1" x14ac:dyDescent="0.25">
      <c r="A818">
        <v>999</v>
      </c>
    </row>
    <row r="819" spans="1:1" x14ac:dyDescent="0.25">
      <c r="A819">
        <v>999</v>
      </c>
    </row>
    <row r="820" spans="1:1" x14ac:dyDescent="0.25">
      <c r="A820">
        <v>999</v>
      </c>
    </row>
    <row r="821" spans="1:1" x14ac:dyDescent="0.25">
      <c r="A821">
        <v>7</v>
      </c>
    </row>
    <row r="822" spans="1:1" x14ac:dyDescent="0.25">
      <c r="A822">
        <v>1660606</v>
      </c>
    </row>
    <row r="823" spans="1:1" x14ac:dyDescent="0.25">
      <c r="A823">
        <v>504646</v>
      </c>
    </row>
    <row r="824" spans="1:1" x14ac:dyDescent="0.25">
      <c r="A824">
        <v>1061858</v>
      </c>
    </row>
    <row r="825" spans="1:1" x14ac:dyDescent="0.25">
      <c r="A825">
        <v>1297697</v>
      </c>
    </row>
    <row r="826" spans="1:1" x14ac:dyDescent="0.25">
      <c r="A826">
        <v>999</v>
      </c>
    </row>
    <row r="827" spans="1:1" x14ac:dyDescent="0.25">
      <c r="A827">
        <v>999</v>
      </c>
    </row>
    <row r="828" spans="1:1" x14ac:dyDescent="0.25">
      <c r="A828">
        <v>0</v>
      </c>
    </row>
    <row r="829" spans="1:1" x14ac:dyDescent="0.25">
      <c r="A829">
        <v>591855</v>
      </c>
    </row>
    <row r="830" spans="1:1" x14ac:dyDescent="0.25">
      <c r="A830">
        <v>0</v>
      </c>
    </row>
    <row r="831" spans="1:1" x14ac:dyDescent="0.25">
      <c r="A831">
        <v>999</v>
      </c>
    </row>
    <row r="832" spans="1:1" x14ac:dyDescent="0.25">
      <c r="A832">
        <v>0</v>
      </c>
    </row>
    <row r="833" spans="1:1" x14ac:dyDescent="0.25">
      <c r="A833">
        <v>999</v>
      </c>
    </row>
    <row r="834" spans="1:1" x14ac:dyDescent="0.25">
      <c r="A834">
        <v>4000000</v>
      </c>
    </row>
    <row r="835" spans="1:1" x14ac:dyDescent="0.25">
      <c r="A835">
        <v>0</v>
      </c>
    </row>
    <row r="836" spans="1:1" x14ac:dyDescent="0.25">
      <c r="A836">
        <v>-67048</v>
      </c>
    </row>
    <row r="837" spans="1:1" x14ac:dyDescent="0.25">
      <c r="A837">
        <v>3932952</v>
      </c>
    </row>
    <row r="838" spans="1:1" x14ac:dyDescent="0.25">
      <c r="A838">
        <v>999</v>
      </c>
    </row>
    <row r="839" spans="1:1" x14ac:dyDescent="0.25">
      <c r="A839">
        <v>999</v>
      </c>
    </row>
    <row r="840" spans="1:1" x14ac:dyDescent="0.25">
      <c r="A840">
        <v>999</v>
      </c>
    </row>
    <row r="841" spans="1:1" x14ac:dyDescent="0.25">
      <c r="A841" t="s">
        <v>0</v>
      </c>
    </row>
    <row r="842" spans="1:1" x14ac:dyDescent="0.25">
      <c r="A842" t="s">
        <v>0</v>
      </c>
    </row>
    <row r="843" spans="1:1" x14ac:dyDescent="0.25">
      <c r="A843" t="s">
        <v>0</v>
      </c>
    </row>
    <row r="844" spans="1:1" x14ac:dyDescent="0.25">
      <c r="A844" t="s">
        <v>0</v>
      </c>
    </row>
    <row r="845" spans="1:1" x14ac:dyDescent="0.25">
      <c r="A845" t="s">
        <v>0</v>
      </c>
    </row>
    <row r="846" spans="1:1" x14ac:dyDescent="0.25">
      <c r="A846" t="s">
        <v>0</v>
      </c>
    </row>
    <row r="847" spans="1:1" x14ac:dyDescent="0.25">
      <c r="A847" t="s">
        <v>0</v>
      </c>
    </row>
    <row r="848" spans="1:1" x14ac:dyDescent="0.25">
      <c r="A848" t="s">
        <v>0</v>
      </c>
    </row>
    <row r="849" spans="1:1" x14ac:dyDescent="0.25">
      <c r="A849" t="s">
        <v>0</v>
      </c>
    </row>
    <row r="850" spans="1:1" x14ac:dyDescent="0.25">
      <c r="A850" t="s">
        <v>0</v>
      </c>
    </row>
    <row r="851" spans="1:1" x14ac:dyDescent="0.25">
      <c r="A851" t="s">
        <v>0</v>
      </c>
    </row>
    <row r="852" spans="1:1" x14ac:dyDescent="0.25">
      <c r="A852" t="s">
        <v>0</v>
      </c>
    </row>
    <row r="853" spans="1:1" x14ac:dyDescent="0.25">
      <c r="A853" t="s">
        <v>0</v>
      </c>
    </row>
    <row r="854" spans="1:1" x14ac:dyDescent="0.25">
      <c r="A854" t="s">
        <v>0</v>
      </c>
    </row>
    <row r="855" spans="1:1" x14ac:dyDescent="0.25">
      <c r="A855" t="s">
        <v>0</v>
      </c>
    </row>
    <row r="856" spans="1:1" x14ac:dyDescent="0.25">
      <c r="A856" t="s">
        <v>0</v>
      </c>
    </row>
    <row r="857" spans="1:1" x14ac:dyDescent="0.25">
      <c r="A857" t="s">
        <v>0</v>
      </c>
    </row>
    <row r="858" spans="1:1" x14ac:dyDescent="0.25">
      <c r="A858" t="s">
        <v>0</v>
      </c>
    </row>
    <row r="859" spans="1:1" x14ac:dyDescent="0.25">
      <c r="A859" t="s">
        <v>0</v>
      </c>
    </row>
    <row r="860" spans="1:1" x14ac:dyDescent="0.25">
      <c r="A860" t="s">
        <v>0</v>
      </c>
    </row>
    <row r="861" spans="1:1" x14ac:dyDescent="0.25">
      <c r="A861" t="s">
        <v>709</v>
      </c>
    </row>
    <row r="862" spans="1:1" x14ac:dyDescent="0.25">
      <c r="A862" t="s">
        <v>710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6">
    <tabColor theme="5" tint="-0.249977111117893"/>
    <pageSetUpPr fitToPage="1"/>
  </sheetPr>
  <dimension ref="B1:Y55"/>
  <sheetViews>
    <sheetView workbookViewId="0">
      <selection activeCell="L5" sqref="L5"/>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LEFT(TRIM('95'!A699),4)</f>
        <v/>
      </c>
      <c r="W1" t="str">
        <f>RIGHT(TRIM('95'!A699),10)</f>
        <v/>
      </c>
    </row>
    <row r="2" spans="2:25" ht="33" x14ac:dyDescent="0.6">
      <c r="G2" s="157" t="s">
        <v>82</v>
      </c>
      <c r="H2" s="156"/>
    </row>
    <row r="3" spans="2:25" x14ac:dyDescent="0.25">
      <c r="B3">
        <f>'95'!A861</f>
        <v>0</v>
      </c>
      <c r="C3" s="506"/>
      <c r="V3" s="158" t="s">
        <v>83</v>
      </c>
      <c r="W3" s="159">
        <f>'95'!A6</f>
        <v>0</v>
      </c>
    </row>
    <row r="4" spans="2:25" x14ac:dyDescent="0.25">
      <c r="B4">
        <f>'95'!A862</f>
        <v>0</v>
      </c>
      <c r="C4" s="506"/>
    </row>
    <row r="5" spans="2:25" ht="17.399999999999999" x14ac:dyDescent="0.3">
      <c r="B5">
        <f>'95'!A863</f>
        <v>0</v>
      </c>
      <c r="H5" s="160" t="s">
        <v>85</v>
      </c>
      <c r="J5" s="161"/>
      <c r="K5" s="161"/>
      <c r="L5" s="162">
        <f>'95'!$A1</f>
        <v>0</v>
      </c>
      <c r="M5" s="160" t="s">
        <v>84</v>
      </c>
      <c r="N5" s="160"/>
      <c r="O5" s="162">
        <f>'95'!$A2</f>
        <v>0</v>
      </c>
      <c r="P5" s="161"/>
      <c r="Q5" s="161"/>
      <c r="S5" s="163"/>
      <c r="T5" s="164"/>
      <c r="U5" s="163"/>
      <c r="V5" s="163"/>
    </row>
    <row r="6" spans="2:25" x14ac:dyDescent="0.25">
      <c r="B6">
        <f>'95'!A864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'95'!$A4</f>
        <v>0</v>
      </c>
      <c r="Q9" s="164"/>
      <c r="R9" s="171" t="s">
        <v>80</v>
      </c>
      <c r="S9" s="172">
        <f>'95'!$A5</f>
        <v>0</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'95'!A7</f>
        <v>0</v>
      </c>
      <c r="F14" s="196">
        <f>'95'!A11</f>
        <v>0</v>
      </c>
      <c r="G14" s="197"/>
      <c r="H14" s="196">
        <f>'95'!A14</f>
        <v>0</v>
      </c>
      <c r="I14" s="198"/>
      <c r="J14" s="196">
        <f>'95'!A17</f>
        <v>0</v>
      </c>
      <c r="K14" s="198"/>
      <c r="L14" s="40"/>
      <c r="M14" s="182"/>
      <c r="N14" s="182" t="s">
        <v>36</v>
      </c>
      <c r="O14" s="182"/>
      <c r="P14" s="201">
        <f>'95'!A61</f>
        <v>0</v>
      </c>
      <c r="Q14" s="200">
        <f>'95'!B61</f>
        <v>0</v>
      </c>
      <c r="R14" s="190"/>
      <c r="S14" s="175"/>
      <c r="T14" s="201">
        <f>'95'!A62</f>
        <v>0</v>
      </c>
      <c r="U14" s="200">
        <f>'95'!B62</f>
        <v>0</v>
      </c>
      <c r="V14" s="175"/>
      <c r="W14" s="201">
        <f>'95'!A63</f>
        <v>0</v>
      </c>
      <c r="X14" s="202"/>
      <c r="Y14" s="179"/>
    </row>
    <row r="15" spans="2:25" x14ac:dyDescent="0.25">
      <c r="B15" s="168"/>
      <c r="C15" s="40"/>
      <c r="D15" s="40" t="s">
        <v>5</v>
      </c>
      <c r="E15" s="203">
        <f>'95'!A8</f>
        <v>0</v>
      </c>
      <c r="F15" s="196">
        <f>'95'!A12</f>
        <v>0</v>
      </c>
      <c r="G15" s="204"/>
      <c r="H15" s="196">
        <f>'95'!A15</f>
        <v>0</v>
      </c>
      <c r="I15" s="205"/>
      <c r="J15" s="196">
        <f>'95'!A18</f>
        <v>0</v>
      </c>
      <c r="K15" s="205"/>
      <c r="L15" s="40"/>
      <c r="M15" s="182"/>
      <c r="N15" s="182" t="s">
        <v>38</v>
      </c>
      <c r="O15" s="182"/>
      <c r="P15" s="193">
        <f>'95'!A64</f>
        <v>0</v>
      </c>
      <c r="Q15" s="189">
        <f>'95'!B64</f>
        <v>0</v>
      </c>
      <c r="R15" s="190"/>
      <c r="S15" s="175"/>
      <c r="T15" s="199">
        <f>'95'!A65</f>
        <v>0</v>
      </c>
      <c r="U15" s="206">
        <f>'95'!B65</f>
        <v>0</v>
      </c>
      <c r="V15" s="175"/>
      <c r="W15" s="207">
        <f>'95'!A66</f>
        <v>0</v>
      </c>
      <c r="X15" s="206"/>
      <c r="Y15" s="179"/>
    </row>
    <row r="16" spans="2:25" x14ac:dyDescent="0.25">
      <c r="B16" s="168"/>
      <c r="C16" s="40"/>
      <c r="D16" s="40" t="s">
        <v>6</v>
      </c>
      <c r="E16" s="208">
        <f>'95'!A9</f>
        <v>0</v>
      </c>
      <c r="F16" s="209">
        <f>'95'!A13</f>
        <v>0</v>
      </c>
      <c r="G16" s="210"/>
      <c r="H16" s="209">
        <f>'95'!A16</f>
        <v>0</v>
      </c>
      <c r="I16" s="189"/>
      <c r="J16" s="209">
        <f>'95'!A19</f>
        <v>0</v>
      </c>
      <c r="K16" s="189"/>
      <c r="L16" s="40"/>
      <c r="M16" s="182"/>
      <c r="N16" s="182" t="s">
        <v>40</v>
      </c>
      <c r="O16" s="182"/>
      <c r="P16" s="187"/>
      <c r="Q16" s="182"/>
      <c r="R16" s="182"/>
      <c r="S16" s="175"/>
      <c r="T16" s="193">
        <f>'95'!A68</f>
        <v>0</v>
      </c>
      <c r="U16" s="211">
        <f>'95'!B68</f>
        <v>0</v>
      </c>
      <c r="V16" s="175"/>
      <c r="W16" s="212">
        <f>'95'!A69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'95'!A21</f>
        <v>0</v>
      </c>
      <c r="G19" s="206">
        <f>'95'!B21</f>
        <v>0</v>
      </c>
      <c r="H19" s="218">
        <f>'95'!A24</f>
        <v>0</v>
      </c>
      <c r="I19" s="200">
        <f>'95'!B24</f>
        <v>0</v>
      </c>
      <c r="J19" s="218">
        <f>'95'!A27</f>
        <v>0</v>
      </c>
      <c r="K19" s="200">
        <f>'95'!B27</f>
        <v>0</v>
      </c>
      <c r="L19" s="40"/>
      <c r="M19" s="182" t="s">
        <v>50</v>
      </c>
      <c r="N19" s="182"/>
      <c r="O19" s="187" t="s">
        <v>51</v>
      </c>
      <c r="P19" s="219">
        <f>'95'!A57</f>
        <v>0</v>
      </c>
      <c r="Q19" s="220"/>
      <c r="R19" s="182"/>
      <c r="S19" s="216" t="s">
        <v>74</v>
      </c>
      <c r="T19" s="221">
        <f>'95'!A58</f>
        <v>0</v>
      </c>
      <c r="U19" s="220"/>
      <c r="V19" s="217" t="s">
        <v>75</v>
      </c>
      <c r="W19" s="219">
        <f>'95'!A59</f>
        <v>0</v>
      </c>
      <c r="X19" s="222"/>
      <c r="Y19" s="179"/>
    </row>
    <row r="20" spans="2:25" x14ac:dyDescent="0.25">
      <c r="B20" s="168"/>
      <c r="C20" s="40"/>
      <c r="D20" s="40" t="s">
        <v>5</v>
      </c>
      <c r="E20" s="40"/>
      <c r="F20" s="199">
        <f>'95'!A22</f>
        <v>0</v>
      </c>
      <c r="G20" s="206">
        <f>'95'!B22</f>
        <v>0</v>
      </c>
      <c r="H20" s="196">
        <f>'95'!A25</f>
        <v>0</v>
      </c>
      <c r="I20" s="206">
        <f>'95'!B25</f>
        <v>0</v>
      </c>
      <c r="J20" s="196">
        <f>'95'!A28</f>
        <v>0</v>
      </c>
      <c r="K20" s="206">
        <f>'95'!B28</f>
        <v>0</v>
      </c>
      <c r="L20" s="40"/>
      <c r="M20" s="224" t="s">
        <v>52</v>
      </c>
      <c r="N20" s="223"/>
      <c r="O20" s="224"/>
      <c r="P20" s="199">
        <f>'95'!A75</f>
        <v>0</v>
      </c>
      <c r="Q20" s="225"/>
      <c r="R20" s="224"/>
      <c r="S20" s="182" t="s">
        <v>65</v>
      </c>
      <c r="T20" s="226"/>
      <c r="U20" s="227"/>
      <c r="V20" s="226"/>
      <c r="W20" s="199">
        <f>'95'!A76</f>
        <v>0</v>
      </c>
      <c r="X20" s="202"/>
      <c r="Y20" s="179"/>
    </row>
    <row r="21" spans="2:25" x14ac:dyDescent="0.25">
      <c r="B21" s="168"/>
      <c r="C21" s="40"/>
      <c r="D21" s="40" t="s">
        <v>6</v>
      </c>
      <c r="E21" s="40"/>
      <c r="F21" s="193">
        <f>'95'!A23</f>
        <v>0</v>
      </c>
      <c r="G21" s="211">
        <f>'95'!B23</f>
        <v>0</v>
      </c>
      <c r="H21" s="209">
        <f>'95'!A26</f>
        <v>0</v>
      </c>
      <c r="I21" s="211">
        <f>'95'!B26</f>
        <v>0</v>
      </c>
      <c r="J21" s="209">
        <f>'95'!A29</f>
        <v>0</v>
      </c>
      <c r="K21" s="211">
        <f>'95'!B29</f>
        <v>0</v>
      </c>
      <c r="L21" s="40"/>
      <c r="M21" s="182" t="s">
        <v>53</v>
      </c>
      <c r="N21" s="175"/>
      <c r="O21" s="182"/>
      <c r="P21" s="193">
        <f>'95'!A77</f>
        <v>0</v>
      </c>
      <c r="Q21" s="228"/>
      <c r="R21" s="196"/>
      <c r="S21" s="182" t="s">
        <v>66</v>
      </c>
      <c r="T21" s="182"/>
      <c r="U21" s="182"/>
      <c r="V21" s="182"/>
      <c r="W21" s="193">
        <f>'95'!A78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'95'!A31</f>
        <v>0</v>
      </c>
      <c r="G24" s="200">
        <f>'95'!B31</f>
        <v>0</v>
      </c>
      <c r="H24" s="218">
        <f>'95'!A34</f>
        <v>0</v>
      </c>
      <c r="I24" s="200">
        <f>'95'!B34</f>
        <v>0</v>
      </c>
      <c r="J24" s="218">
        <f>'95'!A37</f>
        <v>0</v>
      </c>
      <c r="K24" s="200">
        <f>'95'!B37</f>
        <v>0</v>
      </c>
      <c r="L24" s="40"/>
      <c r="M24" s="182" t="s">
        <v>55</v>
      </c>
      <c r="N24" s="182"/>
      <c r="O24" s="182"/>
      <c r="P24" s="201">
        <f>'95'!A81</f>
        <v>0</v>
      </c>
      <c r="Q24" s="206">
        <f>'95'!B81</f>
        <v>0</v>
      </c>
      <c r="R24" s="196"/>
      <c r="S24" s="182" t="s">
        <v>67</v>
      </c>
      <c r="T24" s="182"/>
      <c r="U24" s="182"/>
      <c r="V24" s="182"/>
      <c r="W24" s="219">
        <f>'95'!A82</f>
        <v>0</v>
      </c>
      <c r="X24" s="222">
        <f>'95'!B82</f>
        <v>0</v>
      </c>
      <c r="Y24" s="179"/>
    </row>
    <row r="25" spans="2:25" x14ac:dyDescent="0.25">
      <c r="B25" s="168"/>
      <c r="C25" s="40" t="s">
        <v>37</v>
      </c>
      <c r="D25" s="40" t="s">
        <v>38</v>
      </c>
      <c r="E25" s="40"/>
      <c r="F25" s="199">
        <f>'95'!A32</f>
        <v>0</v>
      </c>
      <c r="G25" s="206">
        <f>'95'!B32</f>
        <v>0</v>
      </c>
      <c r="H25" s="196">
        <f>'95'!A35</f>
        <v>0</v>
      </c>
      <c r="I25" s="206">
        <f>'95'!B35</f>
        <v>0</v>
      </c>
      <c r="J25" s="196">
        <f>'95'!A38</f>
        <v>0</v>
      </c>
      <c r="K25" s="206">
        <f>'95'!B38</f>
        <v>0</v>
      </c>
      <c r="L25" s="40"/>
      <c r="M25" s="182" t="s">
        <v>56</v>
      </c>
      <c r="N25" s="182"/>
      <c r="O25" s="182"/>
      <c r="P25" s="230">
        <f>'95'!A83/100</f>
        <v>0</v>
      </c>
      <c r="Q25" s="206">
        <f>'95'!B83</f>
        <v>0</v>
      </c>
      <c r="R25" s="196"/>
      <c r="S25" s="175"/>
      <c r="T25" s="182"/>
      <c r="U25" s="182"/>
      <c r="V25" s="182"/>
      <c r="W25" s="196"/>
      <c r="X25" s="184"/>
      <c r="Y25" s="179"/>
    </row>
    <row r="26" spans="2:25" x14ac:dyDescent="0.25">
      <c r="B26" s="168"/>
      <c r="C26" s="40" t="s">
        <v>39</v>
      </c>
      <c r="D26" s="40" t="s">
        <v>40</v>
      </c>
      <c r="E26" s="40"/>
      <c r="F26" s="193">
        <f>'95'!A33</f>
        <v>0</v>
      </c>
      <c r="G26" s="211">
        <f>'95'!B33</f>
        <v>0</v>
      </c>
      <c r="H26" s="209">
        <f>'95'!A36</f>
        <v>0</v>
      </c>
      <c r="I26" s="211">
        <f>'95'!B36</f>
        <v>0</v>
      </c>
      <c r="J26" s="193">
        <f>'95'!A39</f>
        <v>0</v>
      </c>
      <c r="K26" s="211">
        <f>'95'!B39</f>
        <v>0</v>
      </c>
      <c r="L26" s="40"/>
      <c r="M26" s="182" t="s">
        <v>57</v>
      </c>
      <c r="N26" s="182"/>
      <c r="O26" s="182"/>
      <c r="P26" s="193">
        <f>'95'!A85</f>
        <v>0</v>
      </c>
      <c r="Q26" s="211">
        <f>'95'!B85</f>
        <v>0</v>
      </c>
      <c r="R26" s="231"/>
      <c r="S26" s="182" t="s">
        <v>515</v>
      </c>
      <c r="T26" s="175"/>
      <c r="U26" s="182"/>
      <c r="V26" s="182"/>
      <c r="W26" s="219">
        <f>'95'!A86</f>
        <v>0</v>
      </c>
      <c r="X26" s="232">
        <f>'95'!B86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'95'!A41</f>
        <v>0</v>
      </c>
      <c r="G29" s="198"/>
      <c r="H29" s="218">
        <f>'95'!A42</f>
        <v>0</v>
      </c>
      <c r="I29" s="198"/>
      <c r="J29" s="218">
        <f>'95'!A43</f>
        <v>0</v>
      </c>
      <c r="K29" s="237"/>
      <c r="L29" s="40"/>
      <c r="M29" s="182" t="s">
        <v>59</v>
      </c>
      <c r="N29" s="182"/>
      <c r="O29" s="182"/>
      <c r="P29" s="201">
        <f>'95'!A91</f>
        <v>0</v>
      </c>
      <c r="Q29" s="206">
        <f>'95'!B91</f>
        <v>0</v>
      </c>
      <c r="R29" s="196"/>
      <c r="S29" s="182" t="s">
        <v>69</v>
      </c>
      <c r="T29" s="182"/>
      <c r="U29" s="182"/>
      <c r="V29" s="182"/>
      <c r="W29" s="201">
        <f>'95'!A92</f>
        <v>0</v>
      </c>
      <c r="X29" s="200">
        <f>'95'!B92</f>
        <v>0</v>
      </c>
      <c r="Y29" s="179"/>
    </row>
    <row r="30" spans="2:25" x14ac:dyDescent="0.25">
      <c r="B30" s="168"/>
      <c r="C30" s="40" t="s">
        <v>43</v>
      </c>
      <c r="D30" s="40"/>
      <c r="E30" s="196"/>
      <c r="F30" s="199">
        <f>'95'!A44</f>
        <v>0</v>
      </c>
      <c r="G30" s="205"/>
      <c r="H30" s="196">
        <f>'95'!A45</f>
        <v>0</v>
      </c>
      <c r="I30" s="205"/>
      <c r="J30" s="196">
        <f>'95'!A46</f>
        <v>0</v>
      </c>
      <c r="K30" s="179"/>
      <c r="L30" s="40"/>
      <c r="M30" s="182" t="s">
        <v>60</v>
      </c>
      <c r="N30" s="182"/>
      <c r="O30" s="182"/>
      <c r="P30" s="199">
        <f>'95'!A93</f>
        <v>0</v>
      </c>
      <c r="Q30" s="206">
        <f>'95'!B93</f>
        <v>0</v>
      </c>
      <c r="R30" s="196"/>
      <c r="S30" s="175" t="s">
        <v>70</v>
      </c>
      <c r="T30" s="182"/>
      <c r="U30" s="182"/>
      <c r="V30" s="182"/>
      <c r="W30" s="199">
        <f>'95'!A94</f>
        <v>0</v>
      </c>
      <c r="X30" s="206">
        <f>'95'!B94</f>
        <v>0</v>
      </c>
      <c r="Y30" s="179"/>
    </row>
    <row r="31" spans="2:25" x14ac:dyDescent="0.25">
      <c r="B31" s="168"/>
      <c r="C31" s="40" t="s">
        <v>44</v>
      </c>
      <c r="D31" s="175"/>
      <c r="E31" s="175"/>
      <c r="F31" s="199">
        <f>'95'!A47</f>
        <v>0</v>
      </c>
      <c r="G31" s="202"/>
      <c r="H31" s="199">
        <f>'95'!A48</f>
        <v>0</v>
      </c>
      <c r="I31" s="202"/>
      <c r="J31" s="199">
        <f>'95'!A49</f>
        <v>0</v>
      </c>
      <c r="K31" s="202"/>
      <c r="L31" s="40"/>
      <c r="M31" s="182" t="s">
        <v>61</v>
      </c>
      <c r="N31" s="182"/>
      <c r="O31" s="182"/>
      <c r="P31" s="199">
        <f>'95'!A73</f>
        <v>0</v>
      </c>
      <c r="Q31" s="206">
        <f>'95'!B73</f>
        <v>0</v>
      </c>
      <c r="R31" s="196"/>
      <c r="S31" s="182" t="s">
        <v>71</v>
      </c>
      <c r="T31" s="182"/>
      <c r="U31" s="182"/>
      <c r="V31" s="182"/>
      <c r="W31" s="199">
        <f>'95'!A74</f>
        <v>0</v>
      </c>
      <c r="X31" s="206">
        <f>'95'!B74</f>
        <v>0</v>
      </c>
      <c r="Y31" s="179"/>
    </row>
    <row r="32" spans="2:25" x14ac:dyDescent="0.25">
      <c r="B32" s="168"/>
      <c r="C32" s="269" t="s">
        <v>45</v>
      </c>
      <c r="D32" s="40"/>
      <c r="E32" s="196"/>
      <c r="F32" s="193">
        <f>'95'!A51</f>
        <v>0</v>
      </c>
      <c r="G32" s="211">
        <f>'95'!B51</f>
        <v>0</v>
      </c>
      <c r="H32" s="209">
        <f>'95'!A52</f>
        <v>0</v>
      </c>
      <c r="I32" s="211">
        <f>'95'!B52</f>
        <v>0</v>
      </c>
      <c r="J32" s="209">
        <f>'95'!A53</f>
        <v>0</v>
      </c>
      <c r="K32" s="211">
        <f>'95'!B53</f>
        <v>0</v>
      </c>
      <c r="L32" s="40"/>
      <c r="M32" s="44" t="s">
        <v>62</v>
      </c>
      <c r="N32" s="182"/>
      <c r="O32" s="182"/>
      <c r="P32" s="193">
        <f>'95'!A72</f>
        <v>0</v>
      </c>
      <c r="Q32" s="211">
        <f>'95'!B72</f>
        <v>0</v>
      </c>
      <c r="R32" s="196"/>
      <c r="S32" s="182" t="s">
        <v>72</v>
      </c>
      <c r="T32" s="182"/>
      <c r="U32" s="182"/>
      <c r="V32" s="182"/>
      <c r="W32" s="193">
        <f>'95'!A99</f>
        <v>0</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'95'!A54</f>
        <v>0</v>
      </c>
      <c r="G35" s="238">
        <f>'95'!B54</f>
        <v>0</v>
      </c>
      <c r="H35" s="188">
        <f>'95'!A55</f>
        <v>0</v>
      </c>
      <c r="I35" s="238">
        <f>'95'!B55</f>
        <v>0</v>
      </c>
      <c r="J35" s="188">
        <f>'95'!A56</f>
        <v>0</v>
      </c>
      <c r="K35" s="238">
        <f>'95'!B56</f>
        <v>0</v>
      </c>
      <c r="L35" s="40"/>
      <c r="M35" s="182" t="s">
        <v>64</v>
      </c>
      <c r="N35" s="182"/>
      <c r="O35" s="182"/>
      <c r="P35" s="219">
        <f>'95'!A97</f>
        <v>0</v>
      </c>
      <c r="Q35" s="239"/>
      <c r="R35" s="182"/>
      <c r="S35" s="182" t="s">
        <v>73</v>
      </c>
      <c r="T35" s="182"/>
      <c r="U35" s="182"/>
      <c r="V35" s="182"/>
      <c r="W35" s="219">
        <f>'95'!A98</f>
        <v>0</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0">
    <tabColor theme="5" tint="-0.249977111117893"/>
    <pageSetUpPr fitToPage="1"/>
  </sheetPr>
  <dimension ref="A1:AL65"/>
  <sheetViews>
    <sheetView workbookViewId="0">
      <selection activeCell="S27" sqref="S27"/>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'95'!A1</f>
        <v>0</v>
      </c>
      <c r="F1" s="512" t="s">
        <v>87</v>
      </c>
      <c r="H1" s="172">
        <f>'95'!A2</f>
        <v>0</v>
      </c>
      <c r="M1" s="513" t="s">
        <v>88</v>
      </c>
      <c r="T1" s="170" t="s">
        <v>81</v>
      </c>
      <c r="U1" s="172">
        <f>'95'!A4</f>
        <v>0</v>
      </c>
      <c r="V1" s="164"/>
      <c r="W1" s="171" t="s">
        <v>80</v>
      </c>
      <c r="X1" s="172">
        <f>'95'!A5</f>
        <v>0</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'95'!A108</f>
        <v>0</v>
      </c>
      <c r="V6" s="251"/>
      <c r="W6" s="196">
        <f>'95'!A109</f>
        <v>0</v>
      </c>
      <c r="X6" s="182"/>
      <c r="Y6" s="199">
        <f>'95'!A110</f>
        <v>0</v>
      </c>
      <c r="Z6" s="182"/>
      <c r="AA6" s="179"/>
      <c r="AC6" s="40"/>
      <c r="AD6" s="40"/>
      <c r="AE6" s="40"/>
      <c r="AF6" s="196"/>
      <c r="AG6" s="182"/>
      <c r="AH6" s="196"/>
      <c r="AI6" s="182"/>
      <c r="AJ6" s="196"/>
      <c r="AK6" s="182"/>
      <c r="AL6" s="40"/>
    </row>
    <row r="7" spans="2:38" x14ac:dyDescent="0.2">
      <c r="B7" s="244"/>
      <c r="C7" s="175" t="s">
        <v>91</v>
      </c>
      <c r="F7" s="40"/>
      <c r="G7" s="252">
        <f>'95'!A281</f>
        <v>0</v>
      </c>
      <c r="H7" s="179"/>
      <c r="I7" s="40"/>
      <c r="J7" s="244"/>
      <c r="K7" s="40" t="s">
        <v>129</v>
      </c>
      <c r="L7" s="40"/>
      <c r="M7" s="40"/>
      <c r="N7" s="253">
        <f>'95'!A191</f>
        <v>0</v>
      </c>
      <c r="O7" s="253">
        <f>'95'!A192</f>
        <v>0</v>
      </c>
      <c r="P7" s="179"/>
      <c r="R7" s="244"/>
      <c r="S7" s="40" t="s">
        <v>161</v>
      </c>
      <c r="T7" s="40"/>
      <c r="U7" s="199">
        <f>'95'!A111</f>
        <v>0</v>
      </c>
      <c r="V7" s="251"/>
      <c r="W7" s="196">
        <f>'95'!A112</f>
        <v>0</v>
      </c>
      <c r="X7" s="182"/>
      <c r="Y7" s="199">
        <f>'95'!A113</f>
        <v>0</v>
      </c>
      <c r="Z7" s="182"/>
      <c r="AA7" s="179"/>
      <c r="AC7" s="40"/>
      <c r="AD7" s="40"/>
      <c r="AE7" s="40"/>
      <c r="AF7" s="196"/>
      <c r="AG7" s="182"/>
      <c r="AH7" s="196"/>
      <c r="AI7" s="182"/>
      <c r="AJ7" s="196"/>
      <c r="AK7" s="182"/>
      <c r="AL7" s="40"/>
    </row>
    <row r="8" spans="2:38" x14ac:dyDescent="0.2">
      <c r="B8" s="244"/>
      <c r="C8" s="175" t="s">
        <v>92</v>
      </c>
      <c r="F8" s="40"/>
      <c r="G8" s="252">
        <f>0.2*G7</f>
        <v>0</v>
      </c>
      <c r="H8" s="179"/>
      <c r="I8" s="40"/>
      <c r="J8" s="244"/>
      <c r="K8" s="40" t="s">
        <v>130</v>
      </c>
      <c r="L8" s="40"/>
      <c r="M8" s="40"/>
      <c r="N8" s="253">
        <f>'95'!A193</f>
        <v>0</v>
      </c>
      <c r="O8" s="253">
        <f>'95'!A194</f>
        <v>0</v>
      </c>
      <c r="P8" s="179"/>
      <c r="R8" s="244"/>
      <c r="S8" s="40" t="s">
        <v>162</v>
      </c>
      <c r="T8" s="40"/>
      <c r="U8" s="199">
        <f>'95'!A114</f>
        <v>0</v>
      </c>
      <c r="V8" s="251"/>
      <c r="W8" s="196">
        <f>'95'!A115</f>
        <v>0</v>
      </c>
      <c r="X8" s="182"/>
      <c r="Y8" s="199">
        <f>'95'!A116</f>
        <v>0</v>
      </c>
      <c r="Z8" s="182"/>
      <c r="AA8" s="179"/>
      <c r="AC8" s="40"/>
      <c r="AD8" s="40"/>
      <c r="AE8" s="40"/>
      <c r="AF8" s="196"/>
      <c r="AG8" s="182"/>
      <c r="AH8" s="196"/>
      <c r="AI8" s="182"/>
      <c r="AJ8" s="196"/>
      <c r="AK8" s="182"/>
      <c r="AL8" s="40"/>
    </row>
    <row r="9" spans="2:38" x14ac:dyDescent="0.2">
      <c r="B9" s="244"/>
      <c r="C9" s="175" t="s">
        <v>93</v>
      </c>
      <c r="F9" s="40"/>
      <c r="G9" s="252">
        <f>G7-G8-G10</f>
        <v>0</v>
      </c>
      <c r="H9" s="179"/>
      <c r="I9" s="40"/>
      <c r="J9" s="244"/>
      <c r="K9" s="40" t="s">
        <v>131</v>
      </c>
      <c r="L9" s="40"/>
      <c r="M9" s="40"/>
      <c r="N9" s="253">
        <f>'95'!A82</f>
        <v>0</v>
      </c>
      <c r="O9" s="253"/>
      <c r="P9" s="179"/>
      <c r="R9" s="244"/>
      <c r="S9" s="40" t="s">
        <v>163</v>
      </c>
      <c r="T9" s="40"/>
      <c r="U9" s="199">
        <f>'95'!A117</f>
        <v>0</v>
      </c>
      <c r="V9" s="254">
        <f>'95'!B117</f>
        <v>0</v>
      </c>
      <c r="W9" s="196">
        <f>'95'!A118</f>
        <v>0</v>
      </c>
      <c r="X9" s="184">
        <f>'95'!B118</f>
        <v>0</v>
      </c>
      <c r="Y9" s="199">
        <f>'95'!A119</f>
        <v>0</v>
      </c>
      <c r="Z9" s="184">
        <f>'95'!B119</f>
        <v>0</v>
      </c>
      <c r="AA9" s="179"/>
      <c r="AC9" s="40"/>
      <c r="AD9" s="40"/>
      <c r="AE9" s="40"/>
      <c r="AF9" s="196"/>
      <c r="AG9" s="184"/>
      <c r="AH9" s="196"/>
      <c r="AI9" s="184"/>
      <c r="AJ9" s="196"/>
      <c r="AK9" s="184"/>
      <c r="AL9" s="40"/>
    </row>
    <row r="10" spans="2:38" x14ac:dyDescent="0.2">
      <c r="B10" s="244"/>
      <c r="C10" s="175" t="s">
        <v>94</v>
      </c>
      <c r="F10" s="40"/>
      <c r="G10" s="252">
        <f>'95'!A284</f>
        <v>0</v>
      </c>
      <c r="H10" s="179"/>
      <c r="I10" s="40"/>
      <c r="J10" s="244"/>
      <c r="K10" s="182" t="s">
        <v>132</v>
      </c>
      <c r="L10" s="40"/>
      <c r="M10" s="40"/>
      <c r="N10" s="253">
        <f>'95'!A195</f>
        <v>0</v>
      </c>
      <c r="O10" s="253">
        <f>'95'!A196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0</v>
      </c>
      <c r="H11" s="179"/>
      <c r="I11" s="40"/>
      <c r="J11" s="244"/>
      <c r="K11" s="182" t="s">
        <v>133</v>
      </c>
      <c r="L11" s="40"/>
      <c r="M11" s="40"/>
      <c r="N11" s="253">
        <f>N7+N8+N9-N10-N12</f>
        <v>0</v>
      </c>
      <c r="O11" s="253">
        <f>O7+O8+O9-O10-O12</f>
        <v>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'95'!A285</f>
        <v>0</v>
      </c>
      <c r="H12" s="179"/>
      <c r="I12" s="40"/>
      <c r="J12" s="244"/>
      <c r="K12" s="40" t="s">
        <v>134</v>
      </c>
      <c r="L12" s="40"/>
      <c r="M12" s="40"/>
      <c r="N12" s="255">
        <f>'95'!A197</f>
        <v>0</v>
      </c>
      <c r="O12" s="255">
        <f>'95'!A198</f>
        <v>0</v>
      </c>
      <c r="P12" s="179"/>
      <c r="R12" s="244"/>
      <c r="S12" s="182" t="s">
        <v>165</v>
      </c>
      <c r="T12" s="40"/>
      <c r="U12" s="199">
        <f>'95'!A121</f>
        <v>0</v>
      </c>
      <c r="V12" s="251"/>
      <c r="W12" s="199">
        <f>'95'!A124</f>
        <v>0</v>
      </c>
      <c r="X12" s="182"/>
      <c r="Y12" s="199">
        <f>'95'!A127</f>
        <v>0</v>
      </c>
      <c r="Z12" s="182"/>
      <c r="AA12" s="179"/>
      <c r="AC12" s="40"/>
      <c r="AD12" s="182"/>
      <c r="AE12" s="40"/>
      <c r="AF12" s="196"/>
      <c r="AG12" s="182"/>
      <c r="AH12" s="196"/>
      <c r="AI12" s="182"/>
      <c r="AJ12" s="196"/>
      <c r="AK12" s="182"/>
      <c r="AL12" s="40"/>
    </row>
    <row r="13" spans="2:38" ht="13.2" x14ac:dyDescent="0.3">
      <c r="B13" s="244"/>
      <c r="C13" s="175" t="s">
        <v>97</v>
      </c>
      <c r="F13" s="40"/>
      <c r="G13" s="252">
        <f>'95'!A286</f>
        <v>0</v>
      </c>
      <c r="H13" s="179"/>
      <c r="I13" s="40"/>
      <c r="J13" s="245"/>
      <c r="K13" s="214"/>
      <c r="L13" s="214"/>
      <c r="M13" s="214"/>
      <c r="N13" s="214"/>
      <c r="O13" s="214"/>
      <c r="P13" s="229"/>
      <c r="R13" s="244"/>
      <c r="S13" s="256" t="s">
        <v>166</v>
      </c>
      <c r="T13" s="40"/>
      <c r="U13" s="199">
        <f>'95'!A122</f>
        <v>0</v>
      </c>
      <c r="V13" s="251"/>
      <c r="W13" s="199">
        <f>'95'!A125</f>
        <v>0</v>
      </c>
      <c r="X13" s="182"/>
      <c r="Y13" s="199">
        <f>'95'!A128</f>
        <v>0</v>
      </c>
      <c r="Z13" s="182"/>
      <c r="AA13" s="179"/>
      <c r="AC13" s="40"/>
      <c r="AD13" s="256"/>
      <c r="AE13" s="40"/>
      <c r="AF13" s="196"/>
      <c r="AG13" s="182"/>
      <c r="AH13" s="196"/>
      <c r="AI13" s="182"/>
      <c r="AJ13" s="196"/>
      <c r="AK13" s="182"/>
      <c r="AL13" s="40"/>
    </row>
    <row r="14" spans="2:38" x14ac:dyDescent="0.2">
      <c r="B14" s="244"/>
      <c r="C14" s="175" t="s">
        <v>98</v>
      </c>
      <c r="F14" s="40"/>
      <c r="G14" s="257">
        <f>'95'!A287</f>
        <v>0</v>
      </c>
      <c r="H14" s="179"/>
      <c r="I14" s="40"/>
      <c r="J14" s="244"/>
      <c r="K14" s="40"/>
      <c r="L14" s="40"/>
      <c r="M14" s="40"/>
      <c r="N14" s="40"/>
      <c r="O14" s="213"/>
      <c r="P14" s="179"/>
      <c r="R14" s="244"/>
      <c r="S14" s="182" t="s">
        <v>167</v>
      </c>
      <c r="T14" s="40"/>
      <c r="U14" s="199">
        <f>'95'!A123</f>
        <v>0</v>
      </c>
      <c r="V14" s="251"/>
      <c r="W14" s="199">
        <f>'95'!A126</f>
        <v>0</v>
      </c>
      <c r="X14" s="182"/>
      <c r="Y14" s="199">
        <f>'95'!A129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0</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'95'!A305</f>
        <v>0</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'95'!A306</f>
        <v>0</v>
      </c>
      <c r="P17" s="254">
        <f>'95'!B307</f>
        <v>0</v>
      </c>
      <c r="R17" s="244"/>
      <c r="S17" s="40" t="s">
        <v>169</v>
      </c>
      <c r="T17" s="40"/>
      <c r="U17" s="199">
        <f>'95'!A131</f>
        <v>0</v>
      </c>
      <c r="V17" s="251"/>
      <c r="W17" s="199">
        <f>'95'!A134</f>
        <v>0</v>
      </c>
      <c r="X17" s="182"/>
      <c r="Y17" s="199">
        <f>'95'!A137</f>
        <v>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'95'!A291</f>
        <v>0</v>
      </c>
      <c r="H18" s="179"/>
      <c r="I18" s="40"/>
      <c r="J18" s="244"/>
      <c r="K18" s="182" t="s">
        <v>107</v>
      </c>
      <c r="L18" s="40"/>
      <c r="M18" s="40"/>
      <c r="N18" s="40"/>
      <c r="O18" s="252">
        <f>'95'!A307</f>
        <v>0</v>
      </c>
      <c r="P18" s="179"/>
      <c r="R18" s="244"/>
      <c r="S18" s="259" t="s">
        <v>170</v>
      </c>
      <c r="T18" s="40"/>
      <c r="U18" s="199">
        <f>'95'!A132</f>
        <v>0</v>
      </c>
      <c r="V18" s="251"/>
      <c r="W18" s="199">
        <f>'95'!A135</f>
        <v>0</v>
      </c>
      <c r="X18" s="182"/>
      <c r="Y18" s="199">
        <f>'95'!A138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'95'!A292</f>
        <v>0</v>
      </c>
      <c r="H19" s="179"/>
      <c r="I19" s="40"/>
      <c r="J19" s="244"/>
      <c r="P19" s="179"/>
      <c r="R19" s="244"/>
      <c r="S19" s="40" t="s">
        <v>18</v>
      </c>
      <c r="T19" s="40"/>
      <c r="U19" s="199">
        <f>'95'!A133</f>
        <v>0</v>
      </c>
      <c r="V19" s="251"/>
      <c r="W19" s="199">
        <f>'95'!A136</f>
        <v>0</v>
      </c>
      <c r="X19" s="182"/>
      <c r="Y19" s="199">
        <f>'95'!A139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'95'!A293</f>
        <v>0</v>
      </c>
      <c r="H20" s="179"/>
      <c r="I20" s="40"/>
      <c r="J20" s="244"/>
      <c r="K20" s="40" t="s">
        <v>138</v>
      </c>
      <c r="L20" s="40"/>
      <c r="M20" s="40"/>
      <c r="N20" s="40"/>
      <c r="O20" s="196">
        <f>'95'!A308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'95'!A294</f>
        <v>0</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'95'!A141</f>
        <v>0</v>
      </c>
      <c r="V22" s="251"/>
      <c r="W22" s="199">
        <f>'95'!A144</f>
        <v>0</v>
      </c>
      <c r="X22" s="182"/>
      <c r="Y22" s="199">
        <f>'95'!A147</f>
        <v>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'95'!A301</f>
        <v>0</v>
      </c>
      <c r="H23" s="205"/>
      <c r="I23" s="40"/>
      <c r="R23" s="244"/>
      <c r="S23" s="259" t="s">
        <v>170</v>
      </c>
      <c r="T23" s="40"/>
      <c r="U23" s="199">
        <f>'95'!A142</f>
        <v>0</v>
      </c>
      <c r="V23" s="251"/>
      <c r="W23" s="199">
        <f>'95'!A145</f>
        <v>0</v>
      </c>
      <c r="X23" s="182"/>
      <c r="Y23" s="199">
        <f>'95'!A148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'95'!A302</f>
        <v>0</v>
      </c>
      <c r="H24" s="260">
        <f>'95'!B302</f>
        <v>0</v>
      </c>
      <c r="I24" s="40"/>
      <c r="J24" s="243"/>
      <c r="K24" s="227"/>
      <c r="L24" s="227"/>
      <c r="M24" s="227"/>
      <c r="N24" s="188"/>
      <c r="O24" s="188"/>
      <c r="P24" s="237"/>
      <c r="R24" s="244"/>
      <c r="S24" s="40" t="s">
        <v>18</v>
      </c>
      <c r="T24" s="40"/>
      <c r="U24" s="199">
        <f>'95'!A143</f>
        <v>0</v>
      </c>
      <c r="V24" s="251"/>
      <c r="W24" s="199">
        <f>'95'!A146</f>
        <v>0</v>
      </c>
      <c r="X24" s="182"/>
      <c r="Y24" s="199">
        <f>'95'!A149</f>
        <v>0</v>
      </c>
      <c r="Z24" s="182"/>
      <c r="AA24" s="179"/>
      <c r="AC24" s="40"/>
      <c r="AD24" s="40"/>
      <c r="AE24" s="40"/>
      <c r="AF24" s="196"/>
      <c r="AG24" s="182"/>
      <c r="AH24" s="196"/>
      <c r="AI24" s="182"/>
      <c r="AJ24" s="196"/>
      <c r="AK24" s="182"/>
      <c r="AL24" s="40"/>
    </row>
    <row r="25" spans="2:38" ht="12" x14ac:dyDescent="0.25">
      <c r="B25" s="244"/>
      <c r="C25" s="182" t="s">
        <v>107</v>
      </c>
      <c r="G25" s="196">
        <f>'95'!A303</f>
        <v>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G19*'95'!A75-G24</f>
        <v>0</v>
      </c>
      <c r="H26" s="179"/>
      <c r="I26" s="40"/>
      <c r="J26" s="244"/>
      <c r="K26" s="182" t="s">
        <v>142</v>
      </c>
      <c r="L26" s="40"/>
      <c r="M26" s="253">
        <f>'95'!A321</f>
        <v>0</v>
      </c>
      <c r="N26" s="253">
        <f>'95'!A322</f>
        <v>0</v>
      </c>
      <c r="O26" s="196">
        <f>IF('95'!A327&gt;0,1,0)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'95'!A304</f>
        <v>0</v>
      </c>
      <c r="H27" s="179"/>
      <c r="I27" s="40"/>
      <c r="J27" s="244"/>
      <c r="K27" s="182" t="s">
        <v>143</v>
      </c>
      <c r="L27" s="40"/>
      <c r="M27" s="253">
        <f>'95'!A323</f>
        <v>0</v>
      </c>
      <c r="N27" s="253">
        <f>'95'!A324</f>
        <v>0</v>
      </c>
      <c r="O27" s="196"/>
      <c r="P27" s="261"/>
      <c r="R27" s="244"/>
      <c r="S27" s="40" t="s">
        <v>169</v>
      </c>
      <c r="T27" s="40"/>
      <c r="U27" s="199">
        <f>'95'!A151</f>
        <v>0</v>
      </c>
      <c r="V27" s="251"/>
      <c r="W27" s="199">
        <f>'95'!A154</f>
        <v>0</v>
      </c>
      <c r="X27" s="182"/>
      <c r="Y27" s="199">
        <f>'95'!A157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'95'!A152</f>
        <v>0</v>
      </c>
      <c r="V28" s="251"/>
      <c r="W28" s="199">
        <f>'95'!A155</f>
        <v>0</v>
      </c>
      <c r="X28" s="182"/>
      <c r="Y28" s="199">
        <f>'95'!A158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'95'!A311</f>
        <v>0</v>
      </c>
      <c r="H30" s="179"/>
      <c r="I30" s="40"/>
      <c r="J30" s="244"/>
      <c r="K30" s="182" t="s">
        <v>146</v>
      </c>
      <c r="L30" s="40"/>
      <c r="M30" s="255">
        <f>'95'!A325</f>
        <v>0</v>
      </c>
      <c r="N30" s="255">
        <f>'95'!A326</f>
        <v>0</v>
      </c>
      <c r="O30" s="193">
        <f>IF('95'!A328&gt;0,1,0)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1000*'95'!A57+'95'!A312</f>
        <v>0</v>
      </c>
      <c r="H31" s="179"/>
      <c r="I31" s="40"/>
      <c r="J31" s="245"/>
      <c r="K31" s="214"/>
      <c r="L31" s="214"/>
      <c r="M31" s="214"/>
      <c r="N31" s="214"/>
      <c r="O31" s="214"/>
      <c r="P31" s="229"/>
      <c r="R31" s="244"/>
      <c r="S31" s="40" t="s">
        <v>169</v>
      </c>
      <c r="T31" s="40"/>
      <c r="U31" s="199">
        <f>'95'!A161</f>
        <v>0</v>
      </c>
      <c r="V31" s="251"/>
      <c r="W31" s="199">
        <f>'95'!A164</f>
        <v>0</v>
      </c>
      <c r="X31" s="182"/>
      <c r="Y31" s="199">
        <f>'95'!A167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'95'!A313</f>
        <v>0</v>
      </c>
      <c r="H32" s="179"/>
      <c r="I32" s="40"/>
      <c r="M32" s="175" t="s">
        <v>0</v>
      </c>
      <c r="R32" s="244"/>
      <c r="S32" s="259" t="s">
        <v>170</v>
      </c>
      <c r="T32" s="40"/>
      <c r="U32" s="199">
        <f>'95'!A162</f>
        <v>0</v>
      </c>
      <c r="V32" s="251"/>
      <c r="W32" s="199">
        <f>'95'!A165</f>
        <v>0</v>
      </c>
      <c r="X32" s="182"/>
      <c r="Y32" s="199">
        <f>'95'!A168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'95'!A314</f>
        <v>0</v>
      </c>
      <c r="H33" s="263">
        <f>'95'!B313</f>
        <v>0</v>
      </c>
      <c r="I33" s="40"/>
      <c r="M33" s="40"/>
      <c r="R33" s="244"/>
      <c r="S33" s="40" t="s">
        <v>18</v>
      </c>
      <c r="T33" s="40"/>
      <c r="U33" s="199">
        <f>'95'!A163</f>
        <v>0</v>
      </c>
      <c r="V33" s="251"/>
      <c r="W33" s="199">
        <f>'95'!A166</f>
        <v>0</v>
      </c>
      <c r="X33" s="182"/>
      <c r="Y33" s="199">
        <f>'95'!A169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'95'!A315</f>
        <v>0</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'95'!A316</f>
        <v>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'95'!A295</f>
        <v>0</v>
      </c>
      <c r="N36" s="199">
        <f>'95'!A297</f>
        <v>0</v>
      </c>
      <c r="O36" s="253">
        <f>'95'!A299</f>
        <v>0</v>
      </c>
      <c r="P36" s="179"/>
      <c r="R36" s="244"/>
      <c r="S36" s="247" t="s">
        <v>174</v>
      </c>
      <c r="T36" s="264"/>
      <c r="U36" s="196">
        <f>'95'!A171</f>
        <v>0</v>
      </c>
      <c r="V36" s="254">
        <f>'95'!B171</f>
        <v>0</v>
      </c>
      <c r="W36" s="196">
        <f>'95'!A172</f>
        <v>0</v>
      </c>
      <c r="X36" s="254">
        <f>'95'!B172</f>
        <v>0</v>
      </c>
      <c r="Y36" s="196">
        <f>'95'!A173</f>
        <v>0</v>
      </c>
      <c r="Z36" s="184">
        <f>'95'!B173</f>
        <v>0</v>
      </c>
      <c r="AA36" s="179"/>
      <c r="AC36" s="40"/>
      <c r="AD36" s="247"/>
      <c r="AE36" s="247"/>
      <c r="AF36" s="196"/>
      <c r="AG36" s="184"/>
      <c r="AH36" s="196"/>
      <c r="AI36" s="184"/>
      <c r="AJ36" s="196"/>
      <c r="AK36" s="184"/>
      <c r="AL36" s="40"/>
    </row>
    <row r="37" spans="2:38" x14ac:dyDescent="0.2">
      <c r="B37" s="244"/>
      <c r="C37" s="40" t="s">
        <v>118</v>
      </c>
      <c r="D37" s="40"/>
      <c r="E37" s="40"/>
      <c r="F37" s="40"/>
      <c r="G37" s="196">
        <f>1000*'95'!A58</f>
        <v>0</v>
      </c>
      <c r="H37" s="179"/>
      <c r="I37" s="40"/>
      <c r="J37" s="244"/>
      <c r="K37" s="40" t="s">
        <v>149</v>
      </c>
      <c r="L37" s="40"/>
      <c r="M37" s="255">
        <f>'95'!A296</f>
        <v>0</v>
      </c>
      <c r="N37" s="255">
        <f>'95'!A298</f>
        <v>0</v>
      </c>
      <c r="O37" s="255">
        <f>'95'!A300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'95'!A317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1000*'95'!A59</f>
        <v>0</v>
      </c>
      <c r="H39" s="179"/>
      <c r="I39" s="40"/>
      <c r="R39" s="244"/>
      <c r="S39" s="247" t="s">
        <v>175</v>
      </c>
      <c r="T39" s="247"/>
      <c r="U39" s="266">
        <f>'95'!A177</f>
        <v>0</v>
      </c>
      <c r="V39" s="251"/>
      <c r="W39" s="266">
        <f>'95'!A178</f>
        <v>0</v>
      </c>
      <c r="X39" s="182"/>
      <c r="Y39" s="266">
        <f>'95'!A179</f>
        <v>0</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'95'!A318</f>
        <v>0</v>
      </c>
      <c r="H42" s="179"/>
      <c r="I42" s="40"/>
      <c r="J42" s="244"/>
      <c r="K42" s="215" t="s">
        <v>150</v>
      </c>
      <c r="N42" s="177" t="s">
        <v>154</v>
      </c>
      <c r="P42" s="179"/>
      <c r="R42" s="244"/>
      <c r="S42" s="269" t="s">
        <v>177</v>
      </c>
      <c r="T42" s="40"/>
      <c r="U42" s="199">
        <f>'95'!A181</f>
        <v>0</v>
      </c>
      <c r="V42" s="251"/>
      <c r="W42" s="196">
        <f>'95'!A182</f>
        <v>0</v>
      </c>
      <c r="X42" s="182"/>
      <c r="Y42" s="199">
        <f>'95'!A183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'95'!A319</f>
        <v>0</v>
      </c>
      <c r="H43" s="179"/>
      <c r="I43" s="40"/>
      <c r="J43" s="244"/>
      <c r="K43" s="175" t="s">
        <v>151</v>
      </c>
      <c r="N43" s="271">
        <f>0.00019*50*G10</f>
        <v>0</v>
      </c>
      <c r="P43" s="179"/>
      <c r="R43" s="244"/>
      <c r="S43" s="269" t="s">
        <v>178</v>
      </c>
      <c r="T43" s="40"/>
      <c r="U43" s="199">
        <f>'95'!A54</f>
        <v>0</v>
      </c>
      <c r="V43" s="251"/>
      <c r="W43" s="199">
        <f>'95'!A55</f>
        <v>0</v>
      </c>
      <c r="X43" s="182"/>
      <c r="Y43" s="199">
        <f>'95'!A56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100-'95'!A320/10</f>
        <v>100</v>
      </c>
      <c r="H44" s="179"/>
      <c r="I44" s="40"/>
      <c r="J44" s="244"/>
      <c r="K44" s="175" t="s">
        <v>152</v>
      </c>
      <c r="N44" s="272">
        <f>0.00052*(6*G25+O18)</f>
        <v>0</v>
      </c>
      <c r="P44" s="179"/>
      <c r="R44" s="244"/>
      <c r="S44" s="269" t="s">
        <v>179</v>
      </c>
      <c r="T44" s="40"/>
      <c r="U44" s="199">
        <f>'95'!A184</f>
        <v>0</v>
      </c>
      <c r="V44" s="251"/>
      <c r="W44" s="196">
        <f>'95'!A185</f>
        <v>0</v>
      </c>
      <c r="X44" s="182"/>
      <c r="Y44" s="199">
        <f>'95'!A186</f>
        <v>0</v>
      </c>
      <c r="Z44" s="182"/>
      <c r="AA44" s="179"/>
      <c r="AC44" s="40"/>
      <c r="AD44" s="269"/>
      <c r="AE44" s="40"/>
      <c r="AF44" s="196"/>
      <c r="AG44" s="182"/>
      <c r="AH44" s="196"/>
      <c r="AI44" s="182"/>
      <c r="AJ44" s="196"/>
      <c r="AK44" s="182"/>
      <c r="AL44" s="40"/>
    </row>
    <row r="45" spans="2:38" x14ac:dyDescent="0.2">
      <c r="B45" s="244"/>
      <c r="C45" s="44" t="s">
        <v>125</v>
      </c>
      <c r="G45" s="175">
        <f>'95'!A329</f>
        <v>0</v>
      </c>
      <c r="H45" s="179"/>
      <c r="I45" s="40"/>
      <c r="J45" s="244"/>
      <c r="K45" s="175" t="s">
        <v>153</v>
      </c>
      <c r="N45" s="271">
        <f>N43+N44</f>
        <v>0</v>
      </c>
      <c r="P45" s="179"/>
      <c r="R45" s="244"/>
      <c r="S45" s="269" t="s">
        <v>180</v>
      </c>
      <c r="T45" s="40"/>
      <c r="U45" s="199">
        <f>'95'!A187</f>
        <v>0</v>
      </c>
      <c r="V45" s="251"/>
      <c r="W45" s="196">
        <f>'95'!A188</f>
        <v>0</v>
      </c>
      <c r="X45" s="182"/>
      <c r="Y45" s="199">
        <f>'95'!A189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7">
    <tabColor theme="5" tint="-0.249977111117893"/>
    <pageSetUpPr fitToPage="1"/>
  </sheetPr>
  <dimension ref="A1:Z59"/>
  <sheetViews>
    <sheetView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'95'!A1</f>
        <v>0</v>
      </c>
      <c r="F1" s="512" t="s">
        <v>285</v>
      </c>
      <c r="G1" s="175"/>
      <c r="I1" s="172">
        <f>'95'!A2</f>
        <v>0</v>
      </c>
      <c r="J1" s="175"/>
      <c r="K1" s="175"/>
      <c r="L1" s="175"/>
      <c r="M1" s="513" t="s">
        <v>284</v>
      </c>
      <c r="N1" s="175"/>
      <c r="O1" s="175"/>
      <c r="P1" s="175"/>
      <c r="Q1" s="175"/>
      <c r="S1" s="175"/>
      <c r="U1" s="170" t="s">
        <v>81</v>
      </c>
      <c r="V1" s="172">
        <f>'95'!A4</f>
        <v>0</v>
      </c>
      <c r="W1" s="171" t="s">
        <v>80</v>
      </c>
      <c r="X1" s="172">
        <f>'95'!A5</f>
        <v>0</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'95'!A201</f>
        <v>0</v>
      </c>
      <c r="G8" s="283"/>
      <c r="H8" s="45"/>
      <c r="I8" s="45" t="s">
        <v>207</v>
      </c>
      <c r="J8" s="45"/>
      <c r="K8" s="45"/>
      <c r="L8" s="286">
        <f>'95'!A241</f>
        <v>0</v>
      </c>
      <c r="M8" s="283"/>
      <c r="N8" s="45"/>
      <c r="O8" s="268" t="s">
        <v>234</v>
      </c>
      <c r="P8" s="268"/>
      <c r="Q8" s="45"/>
      <c r="R8" s="45"/>
      <c r="S8" s="283"/>
      <c r="T8" s="45"/>
      <c r="U8" s="290" t="s">
        <v>260</v>
      </c>
      <c r="Y8" s="283"/>
    </row>
    <row r="9" spans="2:26" ht="12" x14ac:dyDescent="0.3">
      <c r="B9" s="281"/>
      <c r="C9" s="325" t="s">
        <v>184</v>
      </c>
      <c r="D9" s="45"/>
      <c r="E9" s="45"/>
      <c r="F9" s="286">
        <f>'95'!A202</f>
        <v>0</v>
      </c>
      <c r="G9" s="283"/>
      <c r="H9" s="45"/>
      <c r="I9" s="45"/>
      <c r="J9" s="45"/>
      <c r="K9" s="45"/>
      <c r="L9" s="286"/>
      <c r="M9" s="283"/>
      <c r="N9" s="45"/>
      <c r="O9" s="242" t="s">
        <v>235</v>
      </c>
      <c r="Q9" s="289"/>
      <c r="R9" s="289">
        <f>'95'!A261</f>
        <v>0</v>
      </c>
      <c r="S9" s="283"/>
      <c r="T9" s="45"/>
      <c r="U9" s="45" t="s">
        <v>261</v>
      </c>
      <c r="V9" s="45"/>
      <c r="W9" s="45"/>
      <c r="X9" s="286">
        <f>'95'!A221</f>
        <v>0</v>
      </c>
      <c r="Y9" s="283"/>
    </row>
    <row r="10" spans="2:26" x14ac:dyDescent="0.2">
      <c r="B10" s="281"/>
      <c r="C10" s="45" t="s">
        <v>185</v>
      </c>
      <c r="D10" s="45"/>
      <c r="E10" s="45"/>
      <c r="F10" s="286">
        <f>'95'!A203</f>
        <v>0</v>
      </c>
      <c r="G10" s="283"/>
      <c r="H10" s="45"/>
      <c r="I10" s="45" t="s">
        <v>208</v>
      </c>
      <c r="J10" s="45"/>
      <c r="K10" s="45"/>
      <c r="L10" s="286">
        <f>'95'!A242</f>
        <v>0</v>
      </c>
      <c r="M10" s="283"/>
      <c r="N10" s="45"/>
      <c r="O10" s="45" t="s">
        <v>236</v>
      </c>
      <c r="P10" s="45"/>
      <c r="Q10" s="289"/>
      <c r="R10" s="289">
        <f>'95'!A262</f>
        <v>0</v>
      </c>
      <c r="S10" s="283"/>
      <c r="T10" s="45"/>
      <c r="U10" s="45" t="s">
        <v>220</v>
      </c>
      <c r="V10" s="45"/>
      <c r="W10" s="45"/>
      <c r="X10" s="286">
        <f>'95'!A222</f>
        <v>0</v>
      </c>
      <c r="Y10" s="283"/>
    </row>
    <row r="11" spans="2:26" x14ac:dyDescent="0.2">
      <c r="B11" s="281"/>
      <c r="C11" s="45" t="s">
        <v>186</v>
      </c>
      <c r="D11" s="45"/>
      <c r="E11" s="45"/>
      <c r="F11" s="286">
        <f>'95'!A204</f>
        <v>0</v>
      </c>
      <c r="G11" s="283"/>
      <c r="H11" s="45"/>
      <c r="I11" s="287" t="s">
        <v>209</v>
      </c>
      <c r="L11" s="286">
        <f>'95'!A243</f>
        <v>0</v>
      </c>
      <c r="M11" s="283"/>
      <c r="N11" s="45"/>
      <c r="O11" s="45" t="s">
        <v>237</v>
      </c>
      <c r="P11" s="45"/>
      <c r="Q11" s="45"/>
      <c r="R11" s="292">
        <f>'95'!A263</f>
        <v>0</v>
      </c>
      <c r="S11" s="283"/>
      <c r="T11" s="45"/>
      <c r="U11" s="45" t="s">
        <v>262</v>
      </c>
      <c r="V11" s="45"/>
      <c r="W11" s="45"/>
      <c r="X11" s="286">
        <f>'95'!A223</f>
        <v>0</v>
      </c>
      <c r="Y11" s="283"/>
    </row>
    <row r="12" spans="2:26" x14ac:dyDescent="0.2">
      <c r="B12" s="281"/>
      <c r="C12" s="45" t="s">
        <v>187</v>
      </c>
      <c r="D12" s="45"/>
      <c r="E12" s="45"/>
      <c r="F12" s="286">
        <f>'95'!A205</f>
        <v>0</v>
      </c>
      <c r="G12" s="283"/>
      <c r="H12" s="45"/>
      <c r="I12" s="45" t="s">
        <v>210</v>
      </c>
      <c r="J12" s="45"/>
      <c r="K12" s="45"/>
      <c r="L12" s="286">
        <f>'95'!A244</f>
        <v>0</v>
      </c>
      <c r="M12" s="283"/>
      <c r="N12" s="45"/>
      <c r="O12" s="45" t="s">
        <v>238</v>
      </c>
      <c r="P12" s="45"/>
      <c r="Q12" s="45"/>
      <c r="R12" s="286">
        <f>SUM(R9:R11)</f>
        <v>0</v>
      </c>
      <c r="S12" s="283"/>
      <c r="T12" s="45"/>
      <c r="U12" s="45" t="s">
        <v>263</v>
      </c>
      <c r="V12" s="45"/>
      <c r="W12" s="45"/>
      <c r="X12" s="288">
        <f>'95'!A224</f>
        <v>0</v>
      </c>
      <c r="Y12" s="283"/>
    </row>
    <row r="13" spans="2:26" x14ac:dyDescent="0.2">
      <c r="B13" s="281"/>
      <c r="C13" s="45" t="s">
        <v>188</v>
      </c>
      <c r="D13" s="45"/>
      <c r="E13" s="45"/>
      <c r="F13" s="286">
        <f>'95'!A206</f>
        <v>0</v>
      </c>
      <c r="G13" s="283"/>
      <c r="H13" s="45"/>
      <c r="I13" s="45" t="s">
        <v>211</v>
      </c>
      <c r="J13" s="45"/>
      <c r="K13" s="45"/>
      <c r="L13" s="286">
        <f>'95'!A245</f>
        <v>0</v>
      </c>
      <c r="M13" s="283"/>
      <c r="N13" s="45"/>
      <c r="S13" s="283"/>
      <c r="T13" s="45"/>
      <c r="U13" s="287" t="s">
        <v>264</v>
      </c>
      <c r="X13" s="289">
        <f>X9+X10-X11-X12</f>
        <v>0</v>
      </c>
      <c r="Y13" s="283"/>
    </row>
    <row r="14" spans="2:26" x14ac:dyDescent="0.2">
      <c r="B14" s="281"/>
      <c r="C14" s="45" t="s">
        <v>189</v>
      </c>
      <c r="D14" s="45"/>
      <c r="E14" s="45"/>
      <c r="F14" s="286">
        <f>'95'!A207</f>
        <v>0</v>
      </c>
      <c r="G14" s="283"/>
      <c r="H14" s="45"/>
      <c r="I14" s="45" t="s">
        <v>212</v>
      </c>
      <c r="J14" s="45"/>
      <c r="K14" s="45"/>
      <c r="L14" s="286">
        <f>'95'!A246</f>
        <v>0</v>
      </c>
      <c r="M14" s="283"/>
      <c r="N14" s="45"/>
      <c r="O14" s="290" t="s">
        <v>239</v>
      </c>
      <c r="S14" s="283"/>
      <c r="T14" s="45"/>
      <c r="Y14" s="283"/>
    </row>
    <row r="15" spans="2:26" ht="12" x14ac:dyDescent="0.3">
      <c r="B15" s="281"/>
      <c r="C15" s="325" t="s">
        <v>190</v>
      </c>
      <c r="D15" s="45"/>
      <c r="E15" s="45"/>
      <c r="F15" s="286">
        <f>'95'!A208</f>
        <v>0</v>
      </c>
      <c r="G15" s="283"/>
      <c r="H15" s="45"/>
      <c r="I15" s="45" t="s">
        <v>213</v>
      </c>
      <c r="J15" s="45"/>
      <c r="K15" s="45"/>
      <c r="L15" s="286">
        <f>'95'!A247</f>
        <v>0</v>
      </c>
      <c r="M15" s="283"/>
      <c r="N15" s="45"/>
      <c r="O15" s="45" t="s">
        <v>240</v>
      </c>
      <c r="P15" s="45"/>
      <c r="Q15" s="45"/>
      <c r="R15" s="286">
        <f>'95'!A265</f>
        <v>0</v>
      </c>
      <c r="S15" s="283"/>
      <c r="T15" s="45"/>
      <c r="U15" s="290" t="s">
        <v>265</v>
      </c>
      <c r="Y15" s="283"/>
    </row>
    <row r="16" spans="2:26" x14ac:dyDescent="0.2">
      <c r="B16" s="281"/>
      <c r="C16" s="45" t="s">
        <v>191</v>
      </c>
      <c r="D16" s="45"/>
      <c r="E16" s="45"/>
      <c r="F16" s="286">
        <f>'95'!A209</f>
        <v>0</v>
      </c>
      <c r="G16" s="283"/>
      <c r="H16" s="45"/>
      <c r="I16" s="45" t="s">
        <v>214</v>
      </c>
      <c r="J16" s="45"/>
      <c r="K16" s="45"/>
      <c r="L16" s="286">
        <f>'95'!A248</f>
        <v>0</v>
      </c>
      <c r="M16" s="283"/>
      <c r="N16" s="45"/>
      <c r="O16" s="287" t="s">
        <v>241</v>
      </c>
      <c r="R16" s="286">
        <f>'95'!A266</f>
        <v>0</v>
      </c>
      <c r="S16" s="283"/>
      <c r="T16" s="45"/>
      <c r="U16" s="45" t="s">
        <v>266</v>
      </c>
      <c r="V16" s="45"/>
      <c r="W16" s="45"/>
      <c r="X16" s="286">
        <f>'95'!A225</f>
        <v>0</v>
      </c>
      <c r="Y16" s="283"/>
    </row>
    <row r="17" spans="2:25" x14ac:dyDescent="0.2">
      <c r="B17" s="281"/>
      <c r="C17" s="45" t="s">
        <v>192</v>
      </c>
      <c r="D17" s="45"/>
      <c r="E17" s="45"/>
      <c r="F17" s="286">
        <f>'95'!A210</f>
        <v>0</v>
      </c>
      <c r="G17" s="283"/>
      <c r="H17" s="45"/>
      <c r="I17" s="45" t="s">
        <v>215</v>
      </c>
      <c r="L17" s="286">
        <f>'95'!A249</f>
        <v>0</v>
      </c>
      <c r="M17" s="283"/>
      <c r="N17" s="45"/>
      <c r="O17" s="45" t="s">
        <v>242</v>
      </c>
      <c r="P17" s="45"/>
      <c r="Q17" s="45"/>
      <c r="R17" s="286">
        <f>'95'!A267</f>
        <v>0</v>
      </c>
      <c r="S17" s="283"/>
      <c r="T17" s="45"/>
      <c r="U17" s="45" t="s">
        <v>267</v>
      </c>
      <c r="X17" s="286">
        <f>'95'!A226</f>
        <v>0</v>
      </c>
      <c r="Y17" s="283"/>
    </row>
    <row r="18" spans="2:25" x14ac:dyDescent="0.2">
      <c r="B18" s="281"/>
      <c r="C18" s="45" t="s">
        <v>193</v>
      </c>
      <c r="D18" s="45"/>
      <c r="E18" s="45"/>
      <c r="F18" s="286">
        <f>'95'!A211</f>
        <v>0</v>
      </c>
      <c r="G18" s="283"/>
      <c r="H18" s="45"/>
      <c r="I18" s="43" t="s">
        <v>216</v>
      </c>
      <c r="J18" s="45"/>
      <c r="K18" s="45"/>
      <c r="L18" s="288">
        <f>'95'!A250</f>
        <v>0</v>
      </c>
      <c r="M18" s="283"/>
      <c r="N18" s="45"/>
      <c r="O18" s="45" t="s">
        <v>243</v>
      </c>
      <c r="P18" s="45"/>
      <c r="Q18" s="45"/>
      <c r="R18" s="286">
        <f>'95'!A268</f>
        <v>0</v>
      </c>
      <c r="S18" s="283"/>
      <c r="T18" s="45"/>
      <c r="U18" s="45" t="s">
        <v>268</v>
      </c>
      <c r="V18" s="45"/>
      <c r="W18" s="45"/>
      <c r="X18" s="288">
        <f>'95'!A227</f>
        <v>0</v>
      </c>
      <c r="Y18" s="283"/>
    </row>
    <row r="19" spans="2:25" x14ac:dyDescent="0.2">
      <c r="B19" s="281"/>
      <c r="C19" s="45" t="s">
        <v>194</v>
      </c>
      <c r="D19" s="45"/>
      <c r="E19" s="45"/>
      <c r="F19" s="286">
        <f>'95'!A212</f>
        <v>0</v>
      </c>
      <c r="G19" s="283"/>
      <c r="H19" s="45"/>
      <c r="I19" s="45" t="s">
        <v>217</v>
      </c>
      <c r="J19" s="45"/>
      <c r="K19" s="45"/>
      <c r="L19" s="291">
        <f>'95'!A251</f>
        <v>0</v>
      </c>
      <c r="M19" s="283"/>
      <c r="N19" s="45"/>
      <c r="O19" s="45" t="s">
        <v>244</v>
      </c>
      <c r="P19" s="45"/>
      <c r="Q19" s="45"/>
      <c r="R19" s="288">
        <f>'95'!A269</f>
        <v>0</v>
      </c>
      <c r="S19" s="283"/>
      <c r="T19" s="45"/>
      <c r="U19" s="287" t="s">
        <v>269</v>
      </c>
      <c r="X19" s="289">
        <f>X16+X17-X18</f>
        <v>0</v>
      </c>
      <c r="Y19" s="283"/>
    </row>
    <row r="20" spans="2:25" x14ac:dyDescent="0.2">
      <c r="B20" s="281"/>
      <c r="C20" s="45" t="s">
        <v>195</v>
      </c>
      <c r="D20" s="45"/>
      <c r="E20" s="45"/>
      <c r="F20" s="286">
        <f>'95'!A213</f>
        <v>0</v>
      </c>
      <c r="G20" s="283"/>
      <c r="H20" s="45"/>
      <c r="I20" s="45" t="s">
        <v>218</v>
      </c>
      <c r="J20" s="45"/>
      <c r="K20" s="45"/>
      <c r="L20" s="286">
        <f>'95'!A252</f>
        <v>0</v>
      </c>
      <c r="M20" s="283"/>
      <c r="N20" s="45"/>
      <c r="O20" s="287" t="s">
        <v>245</v>
      </c>
      <c r="R20" s="515">
        <f>SUM(R15:R19)</f>
        <v>0</v>
      </c>
      <c r="S20" s="283"/>
      <c r="T20" s="45"/>
      <c r="Y20" s="283"/>
    </row>
    <row r="21" spans="2:25" x14ac:dyDescent="0.2">
      <c r="B21" s="281"/>
      <c r="C21" s="45" t="s">
        <v>196</v>
      </c>
      <c r="D21" s="45"/>
      <c r="E21" s="45"/>
      <c r="F21" s="286">
        <f>'95'!A214</f>
        <v>0</v>
      </c>
      <c r="G21" s="283"/>
      <c r="H21" s="45"/>
      <c r="I21" s="45" t="s">
        <v>219</v>
      </c>
      <c r="J21" s="45"/>
      <c r="K21" s="45"/>
      <c r="L21" s="286">
        <f>'95'!A217</f>
        <v>0</v>
      </c>
      <c r="M21" s="283"/>
      <c r="N21" s="45"/>
      <c r="O21" s="45" t="s">
        <v>246</v>
      </c>
      <c r="P21" s="45"/>
      <c r="Q21" s="45"/>
      <c r="R21" s="286">
        <f>R12+R20</f>
        <v>0</v>
      </c>
      <c r="S21" s="283"/>
      <c r="T21" s="45"/>
      <c r="U21" s="290" t="s">
        <v>270</v>
      </c>
      <c r="Y21" s="283"/>
    </row>
    <row r="22" spans="2:25" x14ac:dyDescent="0.2">
      <c r="B22" s="281"/>
      <c r="C22" s="45" t="s">
        <v>197</v>
      </c>
      <c r="D22" s="45"/>
      <c r="E22" s="45"/>
      <c r="F22" s="286">
        <f>'95'!A215</f>
        <v>0</v>
      </c>
      <c r="G22" s="283"/>
      <c r="H22" s="45"/>
      <c r="I22" s="45" t="s">
        <v>220</v>
      </c>
      <c r="J22" s="45"/>
      <c r="K22" s="45"/>
      <c r="L22" s="286">
        <f>'95'!A222</f>
        <v>0</v>
      </c>
      <c r="M22" s="283"/>
      <c r="N22" s="45"/>
      <c r="S22" s="283"/>
      <c r="T22" s="45"/>
      <c r="U22" s="242" t="s">
        <v>271</v>
      </c>
      <c r="X22" s="286">
        <f>'95'!A228</f>
        <v>0</v>
      </c>
      <c r="Y22" s="283"/>
    </row>
    <row r="23" spans="2:25" x14ac:dyDescent="0.2">
      <c r="B23" s="281"/>
      <c r="C23" s="45" t="s">
        <v>198</v>
      </c>
      <c r="D23" s="45"/>
      <c r="E23" s="45"/>
      <c r="F23" s="288">
        <f>'95'!A216</f>
        <v>0</v>
      </c>
      <c r="G23" s="283"/>
      <c r="H23" s="45"/>
      <c r="I23" s="45" t="s">
        <v>221</v>
      </c>
      <c r="J23" s="45"/>
      <c r="K23" s="45"/>
      <c r="L23" s="292">
        <f>'95'!A254</f>
        <v>0</v>
      </c>
      <c r="M23" s="283"/>
      <c r="N23" s="45"/>
      <c r="O23" s="268" t="s">
        <v>247</v>
      </c>
      <c r="P23" s="45"/>
      <c r="Q23" s="45"/>
      <c r="R23" s="286"/>
      <c r="S23" s="283"/>
      <c r="T23" s="45"/>
      <c r="U23" s="242" t="s">
        <v>272</v>
      </c>
      <c r="V23" s="45"/>
      <c r="W23" s="45"/>
      <c r="X23" s="286">
        <f>'95'!A229</f>
        <v>0</v>
      </c>
      <c r="Y23" s="283"/>
    </row>
    <row r="24" spans="2:25" x14ac:dyDescent="0.2">
      <c r="B24" s="281"/>
      <c r="C24" s="45" t="s">
        <v>199</v>
      </c>
      <c r="D24" s="268"/>
      <c r="E24" s="45"/>
      <c r="F24" s="288">
        <f>'95'!A217</f>
        <v>0</v>
      </c>
      <c r="G24" s="283"/>
      <c r="H24" s="45"/>
      <c r="I24" s="287" t="s">
        <v>222</v>
      </c>
      <c r="L24" s="286">
        <f>L20-L21+L22-L23</f>
        <v>0</v>
      </c>
      <c r="M24" s="283"/>
      <c r="N24" s="45"/>
      <c r="O24" s="45" t="s">
        <v>248</v>
      </c>
      <c r="P24" s="45"/>
      <c r="Q24" s="45"/>
      <c r="R24" s="286">
        <f>'95'!A271</f>
        <v>0</v>
      </c>
      <c r="S24" s="283"/>
      <c r="T24" s="45"/>
      <c r="U24" s="45" t="s">
        <v>273</v>
      </c>
      <c r="V24" s="45"/>
      <c r="W24" s="45"/>
      <c r="X24" s="286">
        <f>'95'!A230</f>
        <v>0</v>
      </c>
      <c r="Y24" s="283"/>
    </row>
    <row r="25" spans="2:25" ht="12" x14ac:dyDescent="0.3">
      <c r="B25" s="281"/>
      <c r="C25" s="45"/>
      <c r="F25" s="293"/>
      <c r="G25" s="283"/>
      <c r="H25" s="45"/>
      <c r="I25" s="45" t="s">
        <v>223</v>
      </c>
      <c r="J25" s="45"/>
      <c r="K25" s="45"/>
      <c r="L25" s="286">
        <f>'95'!A225</f>
        <v>0</v>
      </c>
      <c r="M25" s="283"/>
      <c r="N25" s="45"/>
      <c r="O25" s="325" t="s">
        <v>249</v>
      </c>
      <c r="P25" s="45"/>
      <c r="Q25" s="45"/>
      <c r="R25" s="286">
        <f>'95'!A272</f>
        <v>0</v>
      </c>
      <c r="S25" s="283"/>
      <c r="T25" s="45"/>
      <c r="U25" s="45" t="s">
        <v>274</v>
      </c>
      <c r="V25" s="45"/>
      <c r="W25" s="45"/>
      <c r="X25" s="286">
        <f>'95'!A231</f>
        <v>0</v>
      </c>
      <c r="Y25" s="283"/>
    </row>
    <row r="26" spans="2:25" x14ac:dyDescent="0.2">
      <c r="B26" s="281"/>
      <c r="C26" s="326" t="s">
        <v>200</v>
      </c>
      <c r="D26" s="45"/>
      <c r="E26" s="45"/>
      <c r="F26" s="286"/>
      <c r="G26" s="283"/>
      <c r="H26" s="45"/>
      <c r="I26" s="45" t="s">
        <v>224</v>
      </c>
      <c r="J26" s="45"/>
      <c r="K26" s="45"/>
      <c r="L26" s="288">
        <f>'95'!A232</f>
        <v>0</v>
      </c>
      <c r="M26" s="283"/>
      <c r="N26" s="45"/>
      <c r="O26" s="45" t="s">
        <v>250</v>
      </c>
      <c r="P26" s="45"/>
      <c r="Q26" s="45"/>
      <c r="R26" s="288">
        <f>'95'!A273</f>
        <v>0</v>
      </c>
      <c r="S26" s="283"/>
      <c r="T26" s="45"/>
      <c r="U26" s="45" t="s">
        <v>275</v>
      </c>
      <c r="V26" s="45"/>
      <c r="W26" s="45"/>
      <c r="X26" s="288">
        <f>'95'!A232</f>
        <v>0</v>
      </c>
      <c r="Y26" s="283"/>
    </row>
    <row r="27" spans="2:25" x14ac:dyDescent="0.2">
      <c r="B27" s="281"/>
      <c r="C27" s="287" t="s">
        <v>201</v>
      </c>
      <c r="D27" s="45"/>
      <c r="E27" s="45"/>
      <c r="F27" s="289">
        <f>L27</f>
        <v>0</v>
      </c>
      <c r="G27" s="283"/>
      <c r="H27" s="45"/>
      <c r="I27" s="287" t="s">
        <v>225</v>
      </c>
      <c r="J27" s="45"/>
      <c r="K27" s="45"/>
      <c r="L27" s="289">
        <f>L24+L25-L26</f>
        <v>0</v>
      </c>
      <c r="M27" s="283"/>
      <c r="N27" s="45"/>
      <c r="O27" s="43" t="s">
        <v>251</v>
      </c>
      <c r="P27" s="45"/>
      <c r="Q27" s="45"/>
      <c r="R27" s="286">
        <f>SUM(R24:R26)</f>
        <v>0</v>
      </c>
      <c r="S27" s="283"/>
      <c r="T27" s="45"/>
      <c r="U27" s="287" t="s">
        <v>276</v>
      </c>
      <c r="X27" s="289">
        <f>X22-X23-X24+X25-X26</f>
        <v>0</v>
      </c>
      <c r="Y27" s="283"/>
    </row>
    <row r="28" spans="2:25" x14ac:dyDescent="0.2">
      <c r="B28" s="281"/>
      <c r="C28" s="287" t="s">
        <v>202</v>
      </c>
      <c r="D28" s="45"/>
      <c r="E28" s="45"/>
      <c r="F28" s="288">
        <f>'95'!A240</f>
        <v>0</v>
      </c>
      <c r="G28" s="283"/>
      <c r="H28" s="45"/>
      <c r="I28" s="45" t="s">
        <v>226</v>
      </c>
      <c r="J28" s="45"/>
      <c r="K28" s="45"/>
      <c r="L28" s="288">
        <f>'95'!A255</f>
        <v>0</v>
      </c>
      <c r="M28" s="283"/>
      <c r="N28" s="45"/>
      <c r="O28" s="45" t="s">
        <v>252</v>
      </c>
      <c r="P28" s="45"/>
      <c r="Q28" s="45"/>
      <c r="R28" s="286">
        <f>'95'!A274</f>
        <v>0</v>
      </c>
      <c r="S28" s="283"/>
      <c r="X28" s="294"/>
      <c r="Y28" s="283"/>
    </row>
    <row r="29" spans="2:25" x14ac:dyDescent="0.2">
      <c r="B29" s="281"/>
      <c r="C29" s="287" t="s">
        <v>203</v>
      </c>
      <c r="F29" s="289">
        <f>'95'!A257</f>
        <v>0</v>
      </c>
      <c r="G29" s="283"/>
      <c r="H29" s="45"/>
      <c r="I29" s="45" t="s">
        <v>227</v>
      </c>
      <c r="J29" s="45"/>
      <c r="K29" s="45"/>
      <c r="L29" s="286">
        <f>'95'!A256</f>
        <v>0</v>
      </c>
      <c r="M29" s="283"/>
      <c r="N29" s="45"/>
      <c r="S29" s="283"/>
      <c r="U29" s="45" t="s">
        <v>277</v>
      </c>
      <c r="V29" s="45"/>
      <c r="W29" s="45"/>
      <c r="X29" s="289">
        <f>'95'!A233</f>
        <v>0</v>
      </c>
      <c r="Y29" s="283"/>
    </row>
    <row r="30" spans="2:25" x14ac:dyDescent="0.2">
      <c r="B30" s="281"/>
      <c r="C30" s="45"/>
      <c r="G30" s="283"/>
      <c r="H30" s="45"/>
      <c r="I30" s="287" t="s">
        <v>228</v>
      </c>
      <c r="L30" s="295">
        <f>IF(R33&gt;0,100*L29/R33,0)</f>
        <v>0</v>
      </c>
      <c r="M30" s="283"/>
      <c r="N30" s="45"/>
      <c r="O30" s="45" t="s">
        <v>253</v>
      </c>
      <c r="P30" s="45"/>
      <c r="Q30" s="45"/>
      <c r="R30" s="286">
        <f>R21-R27-R28</f>
        <v>0</v>
      </c>
      <c r="S30" s="283"/>
      <c r="U30" s="287" t="s">
        <v>278</v>
      </c>
      <c r="V30" s="45"/>
      <c r="W30" s="45"/>
      <c r="X30" s="292">
        <f>'95'!A234</f>
        <v>0</v>
      </c>
      <c r="Y30" s="283"/>
    </row>
    <row r="31" spans="2:25" x14ac:dyDescent="0.2">
      <c r="B31" s="281"/>
      <c r="C31" s="45"/>
      <c r="G31" s="283"/>
      <c r="H31" s="45"/>
      <c r="M31" s="283"/>
      <c r="N31" s="45"/>
      <c r="S31" s="283"/>
      <c r="U31" s="287" t="s">
        <v>279</v>
      </c>
      <c r="X31" s="45">
        <f>R19-R26</f>
        <v>0</v>
      </c>
      <c r="Y31" s="283"/>
    </row>
    <row r="32" spans="2:25" x14ac:dyDescent="0.2">
      <c r="B32" s="281"/>
      <c r="G32" s="283"/>
      <c r="H32" s="45"/>
      <c r="I32" s="43" t="s">
        <v>229</v>
      </c>
      <c r="J32" s="45"/>
      <c r="K32" s="45"/>
      <c r="L32" s="288">
        <f>'95'!A230</f>
        <v>0</v>
      </c>
      <c r="M32" s="283"/>
      <c r="N32" s="45"/>
      <c r="O32" s="290" t="s">
        <v>254</v>
      </c>
      <c r="S32" s="283"/>
      <c r="U32" s="242" t="s">
        <v>280</v>
      </c>
      <c r="X32" s="289">
        <f>'95'!A270</f>
        <v>0</v>
      </c>
      <c r="Y32" s="296" t="s">
        <v>9</v>
      </c>
    </row>
    <row r="33" spans="1:25" x14ac:dyDescent="0.2">
      <c r="B33" s="281"/>
      <c r="C33" s="45" t="s">
        <v>204</v>
      </c>
      <c r="D33" s="45"/>
      <c r="E33" s="45"/>
      <c r="F33" s="286">
        <f>'95'!A219</f>
        <v>0</v>
      </c>
      <c r="G33" s="283"/>
      <c r="H33" s="45"/>
      <c r="I33" s="45" t="s">
        <v>230</v>
      </c>
      <c r="J33" s="45"/>
      <c r="K33" s="45"/>
      <c r="L33" s="286">
        <f>L29-L32</f>
        <v>0</v>
      </c>
      <c r="M33" s="283"/>
      <c r="O33" s="43" t="s">
        <v>255</v>
      </c>
      <c r="P33" s="45"/>
      <c r="Q33" s="45"/>
      <c r="R33" s="286">
        <f>'95'!A275</f>
        <v>0</v>
      </c>
      <c r="S33" s="283"/>
      <c r="Y33" s="283"/>
    </row>
    <row r="34" spans="1:25" x14ac:dyDescent="0.2">
      <c r="B34" s="281"/>
      <c r="C34" s="45" t="s">
        <v>205</v>
      </c>
      <c r="D34" s="45"/>
      <c r="E34" s="45"/>
      <c r="F34" s="286">
        <f>'95'!A220</f>
        <v>0</v>
      </c>
      <c r="G34" s="283"/>
      <c r="H34" s="45"/>
      <c r="I34" s="242" t="s">
        <v>231</v>
      </c>
      <c r="J34" s="45"/>
      <c r="K34" s="45"/>
      <c r="L34" s="288">
        <f>'95'!A260</f>
        <v>0</v>
      </c>
      <c r="M34" s="283"/>
      <c r="O34" s="242" t="s">
        <v>256</v>
      </c>
      <c r="R34" s="286">
        <f>'95'!A276</f>
        <v>0</v>
      </c>
      <c r="S34" s="283"/>
      <c r="U34" s="45" t="s">
        <v>281</v>
      </c>
      <c r="V34" s="45"/>
      <c r="W34" s="45"/>
      <c r="X34" s="289">
        <f>'95'!A238</f>
        <v>0</v>
      </c>
      <c r="Y34" s="283"/>
    </row>
    <row r="35" spans="1:25" x14ac:dyDescent="0.2">
      <c r="B35" s="281"/>
      <c r="C35" s="45"/>
      <c r="G35" s="283"/>
      <c r="I35" s="242" t="s">
        <v>232</v>
      </c>
      <c r="L35" s="289">
        <f>L33+L34</f>
        <v>0</v>
      </c>
      <c r="M35" s="283"/>
      <c r="O35" s="45" t="s">
        <v>257</v>
      </c>
      <c r="P35" s="45"/>
      <c r="Q35" s="45"/>
      <c r="R35" s="288">
        <f>R36-R33-R34</f>
        <v>0</v>
      </c>
      <c r="S35" s="283"/>
      <c r="U35" s="45" t="s">
        <v>282</v>
      </c>
      <c r="V35" s="45"/>
      <c r="W35" s="45"/>
      <c r="X35" s="289">
        <f>'95'!A239</f>
        <v>0</v>
      </c>
      <c r="Y35" s="283"/>
    </row>
    <row r="36" spans="1:25" x14ac:dyDescent="0.2">
      <c r="B36" s="281"/>
      <c r="G36" s="283"/>
      <c r="M36" s="283"/>
      <c r="O36" s="45" t="s">
        <v>258</v>
      </c>
      <c r="P36" s="45"/>
      <c r="Q36" s="45"/>
      <c r="R36" s="286">
        <f>'95'!A277</f>
        <v>0</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8">
    <tabColor theme="5" tint="-0.249977111117893"/>
    <pageSetUpPr fitToPage="1"/>
  </sheetPr>
  <dimension ref="B1:Q122"/>
  <sheetViews>
    <sheetView topLeftCell="A73" workbookViewId="0">
      <selection activeCell="L102" sqref="L102"/>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'95'!$A1</f>
        <v>0</v>
      </c>
      <c r="K1" s="170" t="s">
        <v>81</v>
      </c>
      <c r="L1" s="172">
        <f>'95'!$A4</f>
        <v>0</v>
      </c>
      <c r="M1" s="170" t="s">
        <v>289</v>
      </c>
      <c r="N1" s="517">
        <f>'95'!$A5</f>
        <v>0</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'95'!A505</f>
        <v>0</v>
      </c>
      <c r="H5" s="187">
        <f>'95'!A506</f>
        <v>0</v>
      </c>
      <c r="I5" s="187">
        <f>'95'!A504</f>
        <v>0</v>
      </c>
      <c r="K5" s="182"/>
      <c r="M5" s="40"/>
      <c r="N5" s="179"/>
    </row>
    <row r="6" spans="2:14" ht="13.2" x14ac:dyDescent="0.3">
      <c r="B6" s="244"/>
      <c r="C6" s="259" t="s">
        <v>292</v>
      </c>
      <c r="D6" s="40"/>
      <c r="E6" s="40"/>
      <c r="F6" s="40"/>
      <c r="G6" s="301">
        <f>'95'!A507/10</f>
        <v>0</v>
      </c>
      <c r="H6" s="301">
        <f>'95'!A508/10</f>
        <v>0</v>
      </c>
      <c r="I6" s="217"/>
      <c r="K6" s="182"/>
      <c r="L6" s="196"/>
      <c r="M6" s="40"/>
      <c r="N6" s="179"/>
    </row>
    <row r="7" spans="2:14" x14ac:dyDescent="0.2">
      <c r="B7" s="244"/>
      <c r="C7" s="182" t="s">
        <v>293</v>
      </c>
      <c r="D7" s="40"/>
      <c r="E7" s="40"/>
      <c r="F7" s="40"/>
      <c r="G7" s="187">
        <f>'95'!A509</f>
        <v>0</v>
      </c>
      <c r="H7" s="187">
        <f>'95'!A510</f>
        <v>0</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'95'!A501/10</f>
        <v>0</v>
      </c>
      <c r="H10" s="301">
        <f>'95'!A502/10</f>
        <v>0</v>
      </c>
      <c r="I10" s="182" t="s">
        <v>302</v>
      </c>
      <c r="J10" s="182"/>
      <c r="K10" s="196"/>
      <c r="L10" s="302">
        <f>'95'!A511/100</f>
        <v>0</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'95'!A518</f>
        <v>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60</v>
      </c>
      <c r="H16" s="667">
        <f>INT(L10*2*G20/1000) + 75</f>
        <v>75</v>
      </c>
      <c r="I16" s="667">
        <f>INT(L10*3*G20/1000) + 120</f>
        <v>120</v>
      </c>
      <c r="K16" s="196"/>
      <c r="L16" s="196"/>
      <c r="M16" s="196"/>
      <c r="N16" s="179"/>
    </row>
    <row r="17" spans="2:14" x14ac:dyDescent="0.2">
      <c r="B17" s="244"/>
      <c r="C17" s="269" t="s">
        <v>299</v>
      </c>
      <c r="E17" s="40"/>
      <c r="F17" s="40"/>
      <c r="G17" s="667">
        <f>INT(L10*1.5*G20/1000) + 60</f>
        <v>60</v>
      </c>
      <c r="H17" s="667">
        <f>INT(L10*1.5*2*G20/1000) + 75</f>
        <v>75</v>
      </c>
      <c r="I17" s="667">
        <f>INT(L10*1.5*3*G20/1000) + 120</f>
        <v>120</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'95'!A515</f>
        <v>0</v>
      </c>
      <c r="H20" s="304">
        <f>'95'!A516</f>
        <v>0</v>
      </c>
      <c r="I20" s="304">
        <f>'95'!A517</f>
        <v>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f>'95'!A681</f>
        <v>0</v>
      </c>
      <c r="G23" s="40"/>
      <c r="H23" s="40"/>
      <c r="I23" s="182"/>
      <c r="J23" s="40"/>
      <c r="K23" s="40"/>
      <c r="L23" s="40"/>
      <c r="M23" s="40"/>
      <c r="N23" s="179"/>
    </row>
    <row r="24" spans="2:14" ht="12" x14ac:dyDescent="0.25">
      <c r="B24" s="244"/>
      <c r="C24" s="247"/>
      <c r="F24" s="233">
        <f>'95'!A682</f>
        <v>0</v>
      </c>
      <c r="G24" s="40"/>
      <c r="H24" s="40"/>
      <c r="I24" s="182"/>
      <c r="J24" s="40"/>
      <c r="K24" s="40"/>
      <c r="L24" s="40"/>
      <c r="M24" s="40"/>
      <c r="N24" s="179"/>
    </row>
    <row r="25" spans="2:14" ht="12" x14ac:dyDescent="0.25">
      <c r="B25" s="244"/>
      <c r="C25" s="247"/>
      <c r="F25" s="233">
        <f>'95'!A683</f>
        <v>0</v>
      </c>
      <c r="G25" s="40"/>
      <c r="H25" s="40"/>
      <c r="I25" s="182"/>
      <c r="J25" s="40"/>
      <c r="K25" s="40"/>
      <c r="L25" s="40"/>
      <c r="M25" s="40"/>
      <c r="N25" s="179"/>
    </row>
    <row r="26" spans="2:14" x14ac:dyDescent="0.2">
      <c r="B26" s="244"/>
      <c r="C26" s="233"/>
      <c r="F26" s="233">
        <f>'95'!A684</f>
        <v>0</v>
      </c>
      <c r="G26" s="233"/>
      <c r="H26" s="233"/>
      <c r="I26" s="184"/>
      <c r="J26" s="233"/>
      <c r="K26" s="40"/>
      <c r="L26" s="40"/>
      <c r="M26" s="40"/>
      <c r="N26" s="179"/>
    </row>
    <row r="27" spans="2:14" x14ac:dyDescent="0.2">
      <c r="B27" s="244"/>
      <c r="C27" s="233"/>
      <c r="F27" s="233">
        <f>'95'!A685</f>
        <v>0</v>
      </c>
      <c r="G27" s="233"/>
      <c r="H27" s="233"/>
      <c r="I27" s="184"/>
      <c r="J27" s="233"/>
      <c r="K27" s="40"/>
      <c r="L27" s="40"/>
      <c r="M27" s="40"/>
      <c r="N27" s="179"/>
    </row>
    <row r="28" spans="2:14" x14ac:dyDescent="0.2">
      <c r="B28" s="244"/>
      <c r="C28" s="233"/>
      <c r="F28" s="233">
        <f>'95'!A686</f>
        <v>0</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'95'!A521</f>
        <v>0</v>
      </c>
      <c r="G33" s="309">
        <f>'95'!A541</f>
        <v>0</v>
      </c>
      <c r="H33" s="309">
        <f>'95'!A561</f>
        <v>0</v>
      </c>
      <c r="I33" s="309">
        <f>'95'!A581</f>
        <v>0</v>
      </c>
      <c r="J33" s="309">
        <f>'95'!A601</f>
        <v>0</v>
      </c>
      <c r="K33" s="309">
        <f>'95'!A621</f>
        <v>0</v>
      </c>
      <c r="L33" s="309">
        <f>'95'!A641</f>
        <v>0</v>
      </c>
      <c r="M33" s="309">
        <f>'95'!A661</f>
        <v>0</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'95'!A522/100</f>
        <v>0</v>
      </c>
      <c r="G35" s="310">
        <f>'95'!A542/100</f>
        <v>0</v>
      </c>
      <c r="H35" s="310">
        <f>'95'!A562/100</f>
        <v>0</v>
      </c>
      <c r="I35" s="310">
        <f>'95'!A582/100</f>
        <v>0</v>
      </c>
      <c r="J35" s="310">
        <f>'95'!A602/100</f>
        <v>0</v>
      </c>
      <c r="K35" s="310">
        <f>'95'!A622/100</f>
        <v>0</v>
      </c>
      <c r="L35" s="310">
        <f>'95'!A642/100</f>
        <v>0</v>
      </c>
      <c r="M35" s="310">
        <f>'95'!A662/100</f>
        <v>0</v>
      </c>
      <c r="N35" s="204"/>
    </row>
    <row r="36" spans="2:17" x14ac:dyDescent="0.2">
      <c r="B36" s="244"/>
      <c r="C36" s="40" t="s">
        <v>310</v>
      </c>
      <c r="D36" s="40"/>
      <c r="E36" s="40"/>
      <c r="F36" s="310">
        <f>'95'!A523</f>
        <v>0</v>
      </c>
      <c r="G36" s="310">
        <f>'95'!A543</f>
        <v>0</v>
      </c>
      <c r="H36" s="310">
        <f>'95'!A563</f>
        <v>0</v>
      </c>
      <c r="I36" s="310">
        <f>'95'!A583</f>
        <v>0</v>
      </c>
      <c r="J36" s="310">
        <f>'95'!A603</f>
        <v>0</v>
      </c>
      <c r="K36" s="310">
        <f>'95'!A623</f>
        <v>0</v>
      </c>
      <c r="L36" s="310">
        <f>'95'!A643</f>
        <v>0</v>
      </c>
      <c r="M36" s="310">
        <f>'95'!A663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'95'!A524</f>
        <v>0</v>
      </c>
      <c r="G38" s="310">
        <f>'95'!A544</f>
        <v>0</v>
      </c>
      <c r="H38" s="310">
        <f>'95'!A564</f>
        <v>0</v>
      </c>
      <c r="I38" s="310">
        <f>'95'!A584</f>
        <v>0</v>
      </c>
      <c r="J38" s="310">
        <f>'95'!A604</f>
        <v>0</v>
      </c>
      <c r="K38" s="310">
        <f>'95'!A624</f>
        <v>0</v>
      </c>
      <c r="L38" s="310">
        <f>'95'!A644</f>
        <v>0</v>
      </c>
      <c r="M38" s="310">
        <f>'95'!A664</f>
        <v>0</v>
      </c>
      <c r="N38" s="204"/>
    </row>
    <row r="39" spans="2:17" x14ac:dyDescent="0.2">
      <c r="B39" s="244"/>
      <c r="C39" s="40" t="s">
        <v>312</v>
      </c>
      <c r="D39" s="40"/>
      <c r="E39" s="40"/>
      <c r="F39" s="310">
        <f>'95'!A525</f>
        <v>0</v>
      </c>
      <c r="G39" s="310">
        <f>'95'!A545</f>
        <v>0</v>
      </c>
      <c r="H39" s="310">
        <f>'95'!A565</f>
        <v>0</v>
      </c>
      <c r="I39" s="310">
        <f>'95'!A585</f>
        <v>0</v>
      </c>
      <c r="J39" s="310">
        <f>'95'!A605</f>
        <v>0</v>
      </c>
      <c r="K39" s="310">
        <f>'95'!A625</f>
        <v>0</v>
      </c>
      <c r="L39" s="310">
        <f>'95'!A645</f>
        <v>0</v>
      </c>
      <c r="M39" s="310">
        <f>'95'!A665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'95'!A526</f>
        <v>0</v>
      </c>
      <c r="G43" s="310">
        <f>'95'!A546</f>
        <v>0</v>
      </c>
      <c r="H43" s="310">
        <f>'95'!A566</f>
        <v>0</v>
      </c>
      <c r="I43" s="310">
        <f>'95'!A586</f>
        <v>0</v>
      </c>
      <c r="J43" s="310">
        <f>'95'!A606</f>
        <v>0</v>
      </c>
      <c r="K43" s="310">
        <f>'95'!A626</f>
        <v>0</v>
      </c>
      <c r="L43" s="310">
        <f>'95'!A646</f>
        <v>0</v>
      </c>
      <c r="M43" s="310">
        <f>'95'!A666</f>
        <v>0</v>
      </c>
      <c r="N43" s="204"/>
    </row>
    <row r="44" spans="2:17" x14ac:dyDescent="0.2">
      <c r="B44" s="244"/>
      <c r="C44" s="40" t="s">
        <v>1</v>
      </c>
      <c r="D44" s="182" t="s">
        <v>19</v>
      </c>
      <c r="E44" s="40"/>
      <c r="F44" s="310">
        <f>'95'!A527</f>
        <v>0</v>
      </c>
      <c r="G44" s="310">
        <f>'95'!A547</f>
        <v>0</v>
      </c>
      <c r="H44" s="310">
        <f>'95'!A567</f>
        <v>0</v>
      </c>
      <c r="I44" s="310">
        <f>'95'!A587</f>
        <v>0</v>
      </c>
      <c r="J44" s="310">
        <f>'95'!A607</f>
        <v>0</v>
      </c>
      <c r="K44" s="310">
        <f>'95'!A627</f>
        <v>0</v>
      </c>
      <c r="L44" s="310">
        <f>'95'!A647</f>
        <v>0</v>
      </c>
      <c r="M44" s="310">
        <f>'95'!A667</f>
        <v>0</v>
      </c>
      <c r="N44" s="204"/>
    </row>
    <row r="45" spans="2:17" x14ac:dyDescent="0.2">
      <c r="B45" s="244"/>
      <c r="C45" s="40"/>
      <c r="D45" s="40" t="s">
        <v>18</v>
      </c>
      <c r="E45" s="40"/>
      <c r="F45" s="310">
        <f>'95'!A528</f>
        <v>0</v>
      </c>
      <c r="G45" s="310">
        <f>'95'!A548</f>
        <v>0</v>
      </c>
      <c r="H45" s="310">
        <f>'95'!A568</f>
        <v>0</v>
      </c>
      <c r="I45" s="310">
        <f>'95'!A588</f>
        <v>0</v>
      </c>
      <c r="J45" s="310">
        <f>'95'!A608</f>
        <v>0</v>
      </c>
      <c r="K45" s="310">
        <f>'95'!A628</f>
        <v>0</v>
      </c>
      <c r="L45" s="310">
        <f>'95'!A648</f>
        <v>0</v>
      </c>
      <c r="M45" s="310">
        <f>'95'!A668</f>
        <v>0</v>
      </c>
      <c r="N45" s="204"/>
    </row>
    <row r="46" spans="2:17" x14ac:dyDescent="0.2">
      <c r="B46" s="244"/>
      <c r="C46" s="40" t="s">
        <v>316</v>
      </c>
      <c r="D46" s="40"/>
      <c r="E46" s="40"/>
      <c r="F46" s="310">
        <f>'95'!A529</f>
        <v>0</v>
      </c>
      <c r="G46" s="310">
        <f>'95'!A549</f>
        <v>0</v>
      </c>
      <c r="H46" s="310">
        <f>'95'!A569</f>
        <v>0</v>
      </c>
      <c r="I46" s="310">
        <f>'95'!A589</f>
        <v>0</v>
      </c>
      <c r="J46" s="310">
        <f>'95'!A609</f>
        <v>0</v>
      </c>
      <c r="K46" s="310">
        <f>'95'!A629</f>
        <v>0</v>
      </c>
      <c r="L46" s="310">
        <f>'95'!A649</f>
        <v>0</v>
      </c>
      <c r="M46" s="310">
        <f>'95'!A669</f>
        <v>0</v>
      </c>
      <c r="N46" s="204"/>
    </row>
    <row r="47" spans="2:17" x14ac:dyDescent="0.2">
      <c r="B47" s="244"/>
      <c r="C47" s="40" t="s">
        <v>1</v>
      </c>
      <c r="D47" s="182" t="s">
        <v>19</v>
      </c>
      <c r="E47" s="40"/>
      <c r="F47" s="310">
        <f>'95'!A530</f>
        <v>0</v>
      </c>
      <c r="G47" s="310">
        <f>'95'!A550</f>
        <v>0</v>
      </c>
      <c r="H47" s="310">
        <f>'95'!A570</f>
        <v>0</v>
      </c>
      <c r="I47" s="310">
        <f>'95'!A590</f>
        <v>0</v>
      </c>
      <c r="J47" s="310">
        <f>'95'!A610</f>
        <v>0</v>
      </c>
      <c r="K47" s="310">
        <f>'95'!A630</f>
        <v>0</v>
      </c>
      <c r="L47" s="310">
        <f>'95'!A650</f>
        <v>0</v>
      </c>
      <c r="M47" s="310">
        <f>'95'!A670</f>
        <v>0</v>
      </c>
      <c r="N47" s="204"/>
    </row>
    <row r="48" spans="2:17" x14ac:dyDescent="0.2">
      <c r="B48" s="244"/>
      <c r="C48" s="40"/>
      <c r="D48" s="40" t="s">
        <v>20</v>
      </c>
      <c r="E48" s="40"/>
      <c r="F48" s="310">
        <f>'95'!A531</f>
        <v>0</v>
      </c>
      <c r="G48" s="310">
        <f>'95'!A551</f>
        <v>0</v>
      </c>
      <c r="H48" s="310">
        <f>'95'!A571</f>
        <v>0</v>
      </c>
      <c r="I48" s="310">
        <f>'95'!A591</f>
        <v>0</v>
      </c>
      <c r="J48" s="310">
        <f>'95'!A611</f>
        <v>0</v>
      </c>
      <c r="K48" s="310">
        <f>'95'!A631</f>
        <v>0</v>
      </c>
      <c r="L48" s="310">
        <f>'95'!A651</f>
        <v>0</v>
      </c>
      <c r="M48" s="310">
        <f>'95'!A671</f>
        <v>0</v>
      </c>
      <c r="N48" s="204"/>
    </row>
    <row r="49" spans="2:14" x14ac:dyDescent="0.2">
      <c r="B49" s="244"/>
      <c r="C49" s="40" t="s">
        <v>317</v>
      </c>
      <c r="D49" s="40"/>
      <c r="E49" s="40"/>
      <c r="F49" s="310">
        <f>'95'!A532</f>
        <v>0</v>
      </c>
      <c r="G49" s="310">
        <f>'95'!A552</f>
        <v>0</v>
      </c>
      <c r="H49" s="310">
        <f>'95'!A572</f>
        <v>0</v>
      </c>
      <c r="I49" s="310">
        <f>'95'!A592</f>
        <v>0</v>
      </c>
      <c r="J49" s="310">
        <f>'95'!A612</f>
        <v>0</v>
      </c>
      <c r="K49" s="310">
        <f>'95'!A632</f>
        <v>0</v>
      </c>
      <c r="L49" s="310">
        <f>'95'!A652</f>
        <v>0</v>
      </c>
      <c r="M49" s="310">
        <f>'95'!A672</f>
        <v>0</v>
      </c>
      <c r="N49" s="204"/>
    </row>
    <row r="50" spans="2:14" x14ac:dyDescent="0.2">
      <c r="B50" s="244"/>
      <c r="C50" s="40" t="s">
        <v>1</v>
      </c>
      <c r="D50" s="182" t="s">
        <v>19</v>
      </c>
      <c r="E50" s="40"/>
      <c r="F50" s="310">
        <f>'95'!A533</f>
        <v>0</v>
      </c>
      <c r="G50" s="310">
        <f>'95'!A553</f>
        <v>0</v>
      </c>
      <c r="H50" s="310">
        <f>'95'!A573</f>
        <v>0</v>
      </c>
      <c r="I50" s="310">
        <f>'95'!A593</f>
        <v>0</v>
      </c>
      <c r="J50" s="310">
        <f>'95'!A613</f>
        <v>0</v>
      </c>
      <c r="K50" s="310">
        <f>'95'!A633</f>
        <v>0</v>
      </c>
      <c r="L50" s="310">
        <f>'95'!A653</f>
        <v>0</v>
      </c>
      <c r="M50" s="310">
        <f>'95'!A673</f>
        <v>0</v>
      </c>
      <c r="N50" s="204"/>
    </row>
    <row r="51" spans="2:14" x14ac:dyDescent="0.2">
      <c r="B51" s="244"/>
      <c r="C51" s="40"/>
      <c r="D51" s="40" t="s">
        <v>18</v>
      </c>
      <c r="E51" s="40"/>
      <c r="F51" s="310">
        <f>'95'!A534</f>
        <v>0</v>
      </c>
      <c r="G51" s="310">
        <f>'95'!A554</f>
        <v>0</v>
      </c>
      <c r="H51" s="310">
        <f>'95'!A574</f>
        <v>0</v>
      </c>
      <c r="I51" s="310">
        <f>'95'!A594</f>
        <v>0</v>
      </c>
      <c r="J51" s="310">
        <f>'95'!A614</f>
        <v>0</v>
      </c>
      <c r="K51" s="310">
        <f>'95'!A634</f>
        <v>0</v>
      </c>
      <c r="L51" s="310">
        <f>'95'!A654</f>
        <v>0</v>
      </c>
      <c r="M51" s="310">
        <f>'95'!A674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'95'!A535</f>
        <v>0</v>
      </c>
      <c r="G53" s="310">
        <f>'95'!A555</f>
        <v>0</v>
      </c>
      <c r="H53" s="310">
        <f>'95'!A575</f>
        <v>0</v>
      </c>
      <c r="I53" s="310">
        <f>'95'!A595</f>
        <v>0</v>
      </c>
      <c r="J53" s="310">
        <f>'95'!A615</f>
        <v>0</v>
      </c>
      <c r="K53" s="310">
        <f>'95'!A635</f>
        <v>0</v>
      </c>
      <c r="L53" s="310">
        <f>'95'!A655</f>
        <v>0</v>
      </c>
      <c r="M53" s="310">
        <f>'95'!A675</f>
        <v>0</v>
      </c>
      <c r="N53" s="204"/>
    </row>
    <row r="54" spans="2:14" ht="13.2" x14ac:dyDescent="0.3">
      <c r="B54" s="244"/>
      <c r="C54" s="256" t="s">
        <v>319</v>
      </c>
      <c r="D54" s="40"/>
      <c r="E54" s="40"/>
      <c r="F54" s="310">
        <f>'95'!A536</f>
        <v>0</v>
      </c>
      <c r="G54" s="310">
        <f>'95'!A556</f>
        <v>0</v>
      </c>
      <c r="H54" s="310">
        <f>'95'!A576</f>
        <v>0</v>
      </c>
      <c r="I54" s="310">
        <f>'95'!A596</f>
        <v>0</v>
      </c>
      <c r="J54" s="310">
        <f>'95'!A616</f>
        <v>0</v>
      </c>
      <c r="K54" s="310">
        <f>'95'!A636</f>
        <v>0</v>
      </c>
      <c r="L54" s="310">
        <f>'95'!A656</f>
        <v>0</v>
      </c>
      <c r="M54" s="310">
        <f>'95'!A676</f>
        <v>0</v>
      </c>
      <c r="N54" s="204"/>
    </row>
    <row r="55" spans="2:14" x14ac:dyDescent="0.2">
      <c r="B55" s="244"/>
      <c r="C55" s="40" t="s">
        <v>320</v>
      </c>
      <c r="D55" s="40"/>
      <c r="E55" s="40"/>
      <c r="F55" s="310">
        <f>'95'!A537</f>
        <v>0</v>
      </c>
      <c r="G55" s="310">
        <f>'95'!A557</f>
        <v>0</v>
      </c>
      <c r="H55" s="310">
        <f>'95'!A577</f>
        <v>0</v>
      </c>
      <c r="I55" s="310">
        <f>'95'!A597</f>
        <v>0</v>
      </c>
      <c r="J55" s="310">
        <f>'95'!A617</f>
        <v>0</v>
      </c>
      <c r="K55" s="310">
        <f>'95'!A637</f>
        <v>0</v>
      </c>
      <c r="L55" s="310">
        <f>'95'!A657</f>
        <v>0</v>
      </c>
      <c r="M55" s="310">
        <f>'95'!A677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'95'!$A59</f>
        <v>0</v>
      </c>
      <c r="K61" s="170" t="s">
        <v>81</v>
      </c>
      <c r="L61" s="172">
        <f>'95'!$A62</f>
        <v>0</v>
      </c>
      <c r="M61" s="170" t="s">
        <v>289</v>
      </c>
      <c r="N61" s="517">
        <f>'95'!$A63</f>
        <v>0</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'95'!A701</f>
        <v>0</v>
      </c>
      <c r="G65" s="319">
        <f>'95'!A721</f>
        <v>0</v>
      </c>
      <c r="H65" s="319">
        <f>'95'!A741</f>
        <v>0</v>
      </c>
      <c r="I65" s="319">
        <f>'95'!A761</f>
        <v>0</v>
      </c>
      <c r="J65" s="319">
        <f>'95'!A781</f>
        <v>0</v>
      </c>
      <c r="K65" s="319">
        <f>'95'!A801</f>
        <v>0</v>
      </c>
      <c r="L65" s="319">
        <f>'95'!A821</f>
        <v>0</v>
      </c>
      <c r="M65" s="319">
        <f>'95'!A841</f>
        <v>0</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'95'!A702</f>
        <v>0</v>
      </c>
      <c r="G67" s="310">
        <f>'95'!A722</f>
        <v>0</v>
      </c>
      <c r="H67" s="310">
        <f>'95'!A742</f>
        <v>0</v>
      </c>
      <c r="I67" s="310">
        <f>'95'!A762</f>
        <v>0</v>
      </c>
      <c r="J67" s="310">
        <f>'95'!A782</f>
        <v>0</v>
      </c>
      <c r="K67" s="310">
        <f>'95'!A802</f>
        <v>0</v>
      </c>
      <c r="L67" s="310">
        <f>'95'!A822</f>
        <v>0</v>
      </c>
      <c r="M67" s="310">
        <f>'95'!A842</f>
        <v>0</v>
      </c>
      <c r="N67" s="179"/>
    </row>
    <row r="68" spans="2:14" x14ac:dyDescent="0.2">
      <c r="B68" s="244"/>
      <c r="C68" s="40" t="s">
        <v>326</v>
      </c>
      <c r="D68" s="40"/>
      <c r="E68" s="40"/>
      <c r="F68" s="310">
        <f>'95'!A703</f>
        <v>0</v>
      </c>
      <c r="G68" s="310">
        <f>'95'!A723</f>
        <v>0</v>
      </c>
      <c r="H68" s="310">
        <f>'95'!A743</f>
        <v>0</v>
      </c>
      <c r="I68" s="310">
        <f>'95'!A763</f>
        <v>0</v>
      </c>
      <c r="J68" s="310">
        <f>'95'!A783</f>
        <v>0</v>
      </c>
      <c r="K68" s="310">
        <f>'95'!A803</f>
        <v>0</v>
      </c>
      <c r="L68" s="310">
        <f>'95'!A823</f>
        <v>0</v>
      </c>
      <c r="M68" s="310">
        <f>'95'!A843</f>
        <v>0</v>
      </c>
      <c r="N68" s="179"/>
    </row>
    <row r="69" spans="2:14" x14ac:dyDescent="0.2">
      <c r="B69" s="244"/>
      <c r="C69" s="40" t="s">
        <v>327</v>
      </c>
      <c r="D69" s="40"/>
      <c r="E69" s="40"/>
      <c r="F69" s="310">
        <f>'95'!A704</f>
        <v>0</v>
      </c>
      <c r="G69" s="310">
        <f>'95'!A724</f>
        <v>0</v>
      </c>
      <c r="H69" s="310">
        <f>'95'!A744</f>
        <v>0</v>
      </c>
      <c r="I69" s="310">
        <f>'95'!A764</f>
        <v>0</v>
      </c>
      <c r="J69" s="310">
        <f>'95'!A784</f>
        <v>0</v>
      </c>
      <c r="K69" s="310">
        <f>'95'!A804</f>
        <v>0</v>
      </c>
      <c r="L69" s="310">
        <f>'95'!A824</f>
        <v>0</v>
      </c>
      <c r="M69" s="310">
        <f>'95'!A844</f>
        <v>0</v>
      </c>
      <c r="N69" s="179"/>
    </row>
    <row r="70" spans="2:14" x14ac:dyDescent="0.2">
      <c r="B70" s="244"/>
      <c r="C70" s="40" t="s">
        <v>328</v>
      </c>
      <c r="D70" s="40"/>
      <c r="E70" s="40"/>
      <c r="F70" s="310">
        <f>'95'!A705</f>
        <v>0</v>
      </c>
      <c r="G70" s="310">
        <f>'95'!A725</f>
        <v>0</v>
      </c>
      <c r="H70" s="310">
        <f>'95'!A745</f>
        <v>0</v>
      </c>
      <c r="I70" s="310">
        <f>'95'!A765</f>
        <v>0</v>
      </c>
      <c r="J70" s="310">
        <f>'95'!A785</f>
        <v>0</v>
      </c>
      <c r="K70" s="310">
        <f>'95'!A805</f>
        <v>0</v>
      </c>
      <c r="L70" s="310">
        <f>'95'!A825</f>
        <v>0</v>
      </c>
      <c r="M70" s="310">
        <f>'95'!A845</f>
        <v>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'95'!A708</f>
        <v>0</v>
      </c>
      <c r="G73" s="310">
        <f>'95'!A728</f>
        <v>0</v>
      </c>
      <c r="H73" s="310">
        <f>'95'!A748</f>
        <v>0</v>
      </c>
      <c r="I73" s="310">
        <f>'95'!A768</f>
        <v>0</v>
      </c>
      <c r="J73" s="310">
        <f>'95'!A788</f>
        <v>0</v>
      </c>
      <c r="K73" s="310">
        <f>'95'!A808</f>
        <v>0</v>
      </c>
      <c r="L73" s="310">
        <f>'95'!A828</f>
        <v>0</v>
      </c>
      <c r="M73" s="310">
        <f>'95'!A848</f>
        <v>0</v>
      </c>
      <c r="N73" s="179"/>
    </row>
    <row r="74" spans="2:14" x14ac:dyDescent="0.2">
      <c r="B74" s="244"/>
      <c r="C74" s="321" t="s">
        <v>331</v>
      </c>
      <c r="D74" s="40"/>
      <c r="E74" s="40"/>
      <c r="F74" s="310">
        <f>'95'!A709</f>
        <v>0</v>
      </c>
      <c r="G74" s="310">
        <f>'95'!A729</f>
        <v>0</v>
      </c>
      <c r="H74" s="310">
        <f>'95'!A749</f>
        <v>0</v>
      </c>
      <c r="I74" s="310">
        <f>'95'!A769</f>
        <v>0</v>
      </c>
      <c r="J74" s="310">
        <f>'95'!A789</f>
        <v>0</v>
      </c>
      <c r="K74" s="310">
        <f>'95'!A809</f>
        <v>0</v>
      </c>
      <c r="L74" s="310">
        <f>'95'!A829</f>
        <v>0</v>
      </c>
      <c r="M74" s="310">
        <f>'95'!A849</f>
        <v>0</v>
      </c>
      <c r="N74" s="179"/>
    </row>
    <row r="75" spans="2:14" x14ac:dyDescent="0.2">
      <c r="B75" s="244"/>
      <c r="C75" s="40" t="s">
        <v>332</v>
      </c>
      <c r="D75" s="40"/>
      <c r="E75" s="40"/>
      <c r="F75" s="310">
        <f>'95'!A710</f>
        <v>0</v>
      </c>
      <c r="G75" s="310">
        <f>'95'!A730</f>
        <v>0</v>
      </c>
      <c r="H75" s="310">
        <f>'95'!A750</f>
        <v>0</v>
      </c>
      <c r="I75" s="310">
        <f>'95'!A770</f>
        <v>0</v>
      </c>
      <c r="J75" s="310">
        <f>'95'!A790</f>
        <v>0</v>
      </c>
      <c r="K75" s="310">
        <f>'95'!A810</f>
        <v>0</v>
      </c>
      <c r="L75" s="310">
        <f>'95'!A830</f>
        <v>0</v>
      </c>
      <c r="M75" s="310">
        <f>'95'!A850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'95'!A712</f>
        <v>0</v>
      </c>
      <c r="G77" s="310">
        <f>'95'!A732</f>
        <v>0</v>
      </c>
      <c r="H77" s="310">
        <f>'95'!A752</f>
        <v>0</v>
      </c>
      <c r="I77" s="310">
        <f>'95'!A772</f>
        <v>0</v>
      </c>
      <c r="J77" s="310">
        <f>'95'!A792</f>
        <v>0</v>
      </c>
      <c r="K77" s="310">
        <f>'95'!A812</f>
        <v>0</v>
      </c>
      <c r="L77" s="310">
        <f>'95'!A832</f>
        <v>0</v>
      </c>
      <c r="M77" s="310">
        <f>'95'!A852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'95'!A714</f>
        <v>0</v>
      </c>
      <c r="G80" s="310">
        <f>'95'!A734</f>
        <v>0</v>
      </c>
      <c r="H80" s="310">
        <f>'95'!A754</f>
        <v>0</v>
      </c>
      <c r="I80" s="310">
        <f>'95'!A774</f>
        <v>0</v>
      </c>
      <c r="J80" s="310">
        <f>'95'!A794</f>
        <v>0</v>
      </c>
      <c r="K80" s="310">
        <f>'95'!A814</f>
        <v>0</v>
      </c>
      <c r="L80" s="310">
        <f>'95'!A834</f>
        <v>0</v>
      </c>
      <c r="M80" s="310">
        <f>'95'!A854</f>
        <v>0</v>
      </c>
      <c r="N80" s="179"/>
    </row>
    <row r="81" spans="2:14" x14ac:dyDescent="0.2">
      <c r="B81" s="244"/>
      <c r="C81" s="40" t="s">
        <v>336</v>
      </c>
      <c r="D81" s="40"/>
      <c r="E81" s="40"/>
      <c r="F81" s="310">
        <f>'95'!A715</f>
        <v>0</v>
      </c>
      <c r="G81" s="310">
        <f>'95'!A735</f>
        <v>0</v>
      </c>
      <c r="H81" s="310">
        <f>'95'!A755</f>
        <v>0</v>
      </c>
      <c r="I81" s="310">
        <f>'95'!A775</f>
        <v>0</v>
      </c>
      <c r="J81" s="310">
        <f>'95'!A795</f>
        <v>0</v>
      </c>
      <c r="K81" s="310">
        <f>'95'!A815</f>
        <v>0</v>
      </c>
      <c r="L81" s="310">
        <f>'95'!A835</f>
        <v>0</v>
      </c>
      <c r="M81" s="310">
        <f>'95'!A855</f>
        <v>0</v>
      </c>
      <c r="N81" s="179"/>
    </row>
    <row r="82" spans="2:14" x14ac:dyDescent="0.2">
      <c r="B82" s="244"/>
      <c r="C82" s="40" t="s">
        <v>337</v>
      </c>
      <c r="D82" s="40"/>
      <c r="E82" s="40"/>
      <c r="F82" s="310">
        <f>'95'!A716</f>
        <v>0</v>
      </c>
      <c r="G82" s="310">
        <f>'95'!A736</f>
        <v>0</v>
      </c>
      <c r="H82" s="310">
        <f>'95'!A756</f>
        <v>0</v>
      </c>
      <c r="I82" s="310">
        <f>'95'!A776</f>
        <v>0</v>
      </c>
      <c r="J82" s="310">
        <f>'95'!A796</f>
        <v>0</v>
      </c>
      <c r="K82" s="310">
        <f>'95'!A816</f>
        <v>0</v>
      </c>
      <c r="L82" s="310">
        <f>'95'!A836</f>
        <v>0</v>
      </c>
      <c r="M82" s="310">
        <f>'95'!A856</f>
        <v>0</v>
      </c>
      <c r="N82" s="179"/>
    </row>
    <row r="83" spans="2:14" ht="12" x14ac:dyDescent="0.25">
      <c r="B83" s="244"/>
      <c r="C83" s="247" t="s">
        <v>338</v>
      </c>
      <c r="D83" s="40"/>
      <c r="E83" s="40"/>
      <c r="F83" s="310">
        <f t="shared" ref="F83:M83" si="0">SUM(F80:F82)</f>
        <v>0</v>
      </c>
      <c r="G83" s="310">
        <f t="shared" si="0"/>
        <v>0</v>
      </c>
      <c r="H83" s="310">
        <f t="shared" si="0"/>
        <v>0</v>
      </c>
      <c r="I83" s="310">
        <f t="shared" si="0"/>
        <v>0</v>
      </c>
      <c r="J83" s="310">
        <f t="shared" si="0"/>
        <v>0</v>
      </c>
      <c r="K83" s="310">
        <f t="shared" si="0"/>
        <v>0</v>
      </c>
      <c r="L83" s="310">
        <f t="shared" si="0"/>
        <v>0</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878">
        <f>'95'!A330</f>
        <v>0</v>
      </c>
      <c r="N88" s="179"/>
    </row>
    <row r="89" spans="2:14" ht="12" x14ac:dyDescent="0.25">
      <c r="B89" s="244"/>
      <c r="C89" s="40"/>
      <c r="D89" s="175" t="s">
        <v>340</v>
      </c>
      <c r="F89" s="309">
        <f>'95'!A331</f>
        <v>0</v>
      </c>
      <c r="G89" s="309">
        <f>'95'!A341</f>
        <v>0</v>
      </c>
      <c r="H89" s="309">
        <f>'95'!A351</f>
        <v>0</v>
      </c>
      <c r="I89" s="309">
        <f>'95'!A361</f>
        <v>0</v>
      </c>
      <c r="J89" s="309">
        <f>'95'!A371</f>
        <v>0</v>
      </c>
      <c r="K89" s="309">
        <f>'95'!A381</f>
        <v>0</v>
      </c>
      <c r="L89" s="309">
        <f>'95'!A391</f>
        <v>0</v>
      </c>
      <c r="M89" s="309">
        <f>'95'!A401</f>
        <v>0</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f>'95'!A332</f>
        <v>0</v>
      </c>
      <c r="G91" s="213">
        <f>'95'!A342</f>
        <v>0</v>
      </c>
      <c r="H91" s="213">
        <f>'95'!A352</f>
        <v>0</v>
      </c>
      <c r="I91" s="213">
        <f>'95'!A362</f>
        <v>0</v>
      </c>
      <c r="J91" s="213">
        <f>'95'!A372</f>
        <v>0</v>
      </c>
      <c r="K91" s="213">
        <f>'95'!A382</f>
        <v>0</v>
      </c>
      <c r="L91" s="213">
        <f>'95'!A392</f>
        <v>0</v>
      </c>
      <c r="M91" s="213">
        <f>'95'!A402</f>
        <v>0</v>
      </c>
      <c r="N91" s="179"/>
    </row>
    <row r="92" spans="2:14" x14ac:dyDescent="0.2">
      <c r="B92" s="244"/>
      <c r="C92" s="40"/>
      <c r="D92" s="182" t="s">
        <v>23</v>
      </c>
      <c r="E92" s="40"/>
      <c r="F92" s="213">
        <f>'95'!A333</f>
        <v>0</v>
      </c>
      <c r="G92" s="213">
        <f>'95'!A343</f>
        <v>0</v>
      </c>
      <c r="H92" s="213">
        <f>'95'!A353</f>
        <v>0</v>
      </c>
      <c r="I92" s="213">
        <f>'95'!A363</f>
        <v>0</v>
      </c>
      <c r="J92" s="213">
        <f>'95'!A373</f>
        <v>0</v>
      </c>
      <c r="K92" s="213">
        <f>'95'!A383</f>
        <v>0</v>
      </c>
      <c r="L92" s="213">
        <f>'95'!A393</f>
        <v>0</v>
      </c>
      <c r="M92" s="213">
        <f>'95'!A403</f>
        <v>0</v>
      </c>
      <c r="N92" s="179"/>
    </row>
    <row r="93" spans="2:14" x14ac:dyDescent="0.2">
      <c r="B93" s="244"/>
      <c r="C93" s="40"/>
      <c r="D93" s="182" t="s">
        <v>24</v>
      </c>
      <c r="E93" s="40"/>
      <c r="F93" s="213">
        <f>'95'!A334</f>
        <v>0</v>
      </c>
      <c r="G93" s="213">
        <f>'95'!A344</f>
        <v>0</v>
      </c>
      <c r="H93" s="213">
        <f>'95'!A354</f>
        <v>0</v>
      </c>
      <c r="I93" s="213">
        <f>'95'!A364</f>
        <v>0</v>
      </c>
      <c r="J93" s="213">
        <f>'95'!A374</f>
        <v>0</v>
      </c>
      <c r="K93" s="213">
        <f>'95'!A384</f>
        <v>0</v>
      </c>
      <c r="L93" s="213">
        <f>'95'!A394</f>
        <v>0</v>
      </c>
      <c r="M93" s="213">
        <f>'95'!A404</f>
        <v>0</v>
      </c>
      <c r="N93" s="179"/>
    </row>
    <row r="94" spans="2:14" x14ac:dyDescent="0.2">
      <c r="B94" s="244"/>
      <c r="C94" s="40" t="s">
        <v>343</v>
      </c>
      <c r="D94" s="40"/>
      <c r="E94" s="40"/>
      <c r="F94" s="213">
        <f>'95'!A335</f>
        <v>0</v>
      </c>
      <c r="G94" s="213">
        <f>'95'!A345</f>
        <v>0</v>
      </c>
      <c r="H94" s="213">
        <f>'95'!A355</f>
        <v>0</v>
      </c>
      <c r="I94" s="213">
        <f>'95'!A365</f>
        <v>0</v>
      </c>
      <c r="J94" s="213">
        <f>'95'!A375</f>
        <v>0</v>
      </c>
      <c r="K94" s="213">
        <f>'95'!A385</f>
        <v>0</v>
      </c>
      <c r="L94" s="213">
        <f>'95'!A395</f>
        <v>0</v>
      </c>
      <c r="M94" s="213">
        <f>'95'!A405</f>
        <v>0</v>
      </c>
      <c r="N94" s="179"/>
    </row>
    <row r="95" spans="2:14" x14ac:dyDescent="0.2">
      <c r="B95" s="244"/>
      <c r="C95" s="40"/>
      <c r="D95" s="182" t="s">
        <v>23</v>
      </c>
      <c r="E95" s="40"/>
      <c r="F95" s="213">
        <f>'95'!A336</f>
        <v>0</v>
      </c>
      <c r="G95" s="213">
        <f>'95'!A346</f>
        <v>0</v>
      </c>
      <c r="H95" s="213">
        <f>'95'!A356</f>
        <v>0</v>
      </c>
      <c r="I95" s="213">
        <f>'95'!A366</f>
        <v>0</v>
      </c>
      <c r="J95" s="213">
        <f>'95'!A376</f>
        <v>0</v>
      </c>
      <c r="K95" s="213">
        <f>'95'!A386</f>
        <v>0</v>
      </c>
      <c r="L95" s="213">
        <f>'95'!A396</f>
        <v>0</v>
      </c>
      <c r="M95" s="213">
        <f>'95'!A406</f>
        <v>0</v>
      </c>
      <c r="N95" s="179"/>
    </row>
    <row r="96" spans="2:14" x14ac:dyDescent="0.2">
      <c r="B96" s="244"/>
      <c r="C96" s="40"/>
      <c r="D96" s="224" t="s">
        <v>25</v>
      </c>
      <c r="E96" s="40"/>
      <c r="F96" s="213">
        <f>'95'!A337</f>
        <v>0</v>
      </c>
      <c r="G96" s="213">
        <f>'95'!A347</f>
        <v>0</v>
      </c>
      <c r="H96" s="213">
        <f>'95'!A357</f>
        <v>0</v>
      </c>
      <c r="I96" s="213">
        <f>'95'!A367</f>
        <v>0</v>
      </c>
      <c r="J96" s="213">
        <f>'95'!A377</f>
        <v>0</v>
      </c>
      <c r="K96" s="213">
        <f>'95'!A387</f>
        <v>0</v>
      </c>
      <c r="L96" s="213">
        <f>'95'!A397</f>
        <v>0</v>
      </c>
      <c r="M96" s="213">
        <f>'95'!A407</f>
        <v>0</v>
      </c>
      <c r="N96" s="179"/>
    </row>
    <row r="97" spans="2:14" x14ac:dyDescent="0.2">
      <c r="B97" s="244"/>
      <c r="C97" s="40" t="s">
        <v>344</v>
      </c>
      <c r="D97" s="40"/>
      <c r="E97" s="40"/>
      <c r="F97" s="213">
        <f>'95'!A338</f>
        <v>0</v>
      </c>
      <c r="G97" s="213">
        <f>'95'!A348</f>
        <v>0</v>
      </c>
      <c r="H97" s="213">
        <f>'95'!A358</f>
        <v>0</v>
      </c>
      <c r="I97" s="213">
        <f>'95'!A368</f>
        <v>0</v>
      </c>
      <c r="J97" s="213">
        <f>'95'!A378</f>
        <v>0</v>
      </c>
      <c r="K97" s="213">
        <f>'95'!A388</f>
        <v>0</v>
      </c>
      <c r="L97" s="213">
        <f>'95'!A398</f>
        <v>0</v>
      </c>
      <c r="M97" s="213">
        <f>'95'!A408</f>
        <v>0</v>
      </c>
      <c r="N97" s="179"/>
    </row>
    <row r="98" spans="2:14" x14ac:dyDescent="0.2">
      <c r="B98" s="244"/>
      <c r="C98" s="40"/>
      <c r="D98" s="182" t="s">
        <v>23</v>
      </c>
      <c r="E98" s="40"/>
      <c r="F98" s="213">
        <f>'95'!A339</f>
        <v>0</v>
      </c>
      <c r="G98" s="213">
        <f>'95'!A349</f>
        <v>0</v>
      </c>
      <c r="H98" s="213">
        <f>'95'!A359</f>
        <v>0</v>
      </c>
      <c r="I98" s="213">
        <f>'95'!A369</f>
        <v>0</v>
      </c>
      <c r="J98" s="213">
        <f>'95'!A379</f>
        <v>0</v>
      </c>
      <c r="K98" s="213">
        <f>'95'!A389</f>
        <v>0</v>
      </c>
      <c r="L98" s="213">
        <f>'95'!A399</f>
        <v>0</v>
      </c>
      <c r="M98" s="213">
        <f>'95'!A409</f>
        <v>0</v>
      </c>
      <c r="N98" s="179"/>
    </row>
    <row r="99" spans="2:14" x14ac:dyDescent="0.2">
      <c r="B99" s="244"/>
      <c r="C99" s="40"/>
      <c r="D99" s="182" t="s">
        <v>24</v>
      </c>
      <c r="E99" s="40"/>
      <c r="F99" s="213">
        <f>'95'!A340</f>
        <v>0</v>
      </c>
      <c r="G99" s="213">
        <f>'95'!A350</f>
        <v>0</v>
      </c>
      <c r="H99" s="213">
        <f>'95'!A360</f>
        <v>0</v>
      </c>
      <c r="I99" s="213">
        <f>'95'!A370</f>
        <v>0</v>
      </c>
      <c r="J99" s="213">
        <f>'95'!A380</f>
        <v>0</v>
      </c>
      <c r="K99" s="213">
        <f>'95'!A390</f>
        <v>0</v>
      </c>
      <c r="L99" s="213">
        <f>'95'!A400</f>
        <v>0</v>
      </c>
      <c r="M99" s="213">
        <f>'95'!A410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f>'95'!A420</f>
        <v>0</v>
      </c>
      <c r="L102" s="40"/>
      <c r="M102" s="40"/>
      <c r="N102" s="179"/>
    </row>
    <row r="103" spans="2:14" ht="12" x14ac:dyDescent="0.25">
      <c r="B103" s="244"/>
      <c r="C103" s="40"/>
      <c r="D103" s="40" t="s">
        <v>346</v>
      </c>
      <c r="E103" s="40"/>
      <c r="F103" s="309">
        <f>'95'!A421</f>
        <v>0</v>
      </c>
      <c r="G103" s="309">
        <f>'95'!A428</f>
        <v>0</v>
      </c>
      <c r="H103" s="309">
        <f>'95'!A435</f>
        <v>0</v>
      </c>
      <c r="I103" s="309">
        <f>'95'!A442</f>
        <v>0</v>
      </c>
      <c r="J103" s="309">
        <f>'95'!A449</f>
        <v>0</v>
      </c>
      <c r="K103" s="309">
        <f>'95'!A456</f>
        <v>0</v>
      </c>
      <c r="L103" s="309">
        <f>'95'!A463</f>
        <v>0</v>
      </c>
      <c r="M103" s="309">
        <f>'95'!A470</f>
        <v>0</v>
      </c>
      <c r="N103" s="179"/>
    </row>
    <row r="104" spans="2:14" x14ac:dyDescent="0.2">
      <c r="B104" s="244"/>
      <c r="C104" s="40" t="s">
        <v>347</v>
      </c>
      <c r="D104" s="40"/>
      <c r="E104" s="40"/>
      <c r="F104" s="310">
        <f>'95'!A422</f>
        <v>0</v>
      </c>
      <c r="G104" s="310">
        <f>'95'!A429</f>
        <v>0</v>
      </c>
      <c r="H104" s="310">
        <f>'95'!A436</f>
        <v>0</v>
      </c>
      <c r="I104" s="310">
        <f>'95'!A443</f>
        <v>0</v>
      </c>
      <c r="J104" s="310">
        <f>'95'!A450</f>
        <v>0</v>
      </c>
      <c r="K104" s="310">
        <f>'95'!A457</f>
        <v>0</v>
      </c>
      <c r="L104" s="310">
        <f>'95'!A464</f>
        <v>0</v>
      </c>
      <c r="M104" s="310">
        <f>'95'!A471</f>
        <v>0</v>
      </c>
      <c r="N104" s="179"/>
    </row>
    <row r="105" spans="2:14" x14ac:dyDescent="0.2">
      <c r="B105" s="244"/>
      <c r="C105" s="40" t="s">
        <v>348</v>
      </c>
      <c r="D105" s="40"/>
      <c r="E105" s="40"/>
      <c r="F105" s="310">
        <f>'95'!A423</f>
        <v>0</v>
      </c>
      <c r="G105" s="310">
        <f>'95'!A430</f>
        <v>0</v>
      </c>
      <c r="H105" s="310">
        <f>'95'!A437</f>
        <v>0</v>
      </c>
      <c r="I105" s="310">
        <f>'95'!A444</f>
        <v>0</v>
      </c>
      <c r="J105" s="310">
        <f>'95'!A451</f>
        <v>0</v>
      </c>
      <c r="K105" s="310">
        <f>'95'!A458</f>
        <v>0</v>
      </c>
      <c r="L105" s="310">
        <f>'95'!A465</f>
        <v>0</v>
      </c>
      <c r="M105" s="310">
        <f>'95'!A472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f>'95'!A424</f>
        <v>0</v>
      </c>
      <c r="G107" s="323">
        <f>'95'!A431</f>
        <v>0</v>
      </c>
      <c r="H107" s="323">
        <f>'95'!A438</f>
        <v>0</v>
      </c>
      <c r="I107" s="323">
        <f>'95'!A445</f>
        <v>0</v>
      </c>
      <c r="J107" s="323">
        <f>'95'!A452</f>
        <v>0</v>
      </c>
      <c r="K107" s="323">
        <f>'95'!A459</f>
        <v>0</v>
      </c>
      <c r="L107" s="323">
        <f>'95'!A466</f>
        <v>0</v>
      </c>
      <c r="M107" s="323">
        <f>'95'!A473</f>
        <v>0</v>
      </c>
      <c r="N107" s="179"/>
    </row>
    <row r="108" spans="2:14" x14ac:dyDescent="0.2">
      <c r="B108" s="244"/>
      <c r="C108" s="40" t="s">
        <v>351</v>
      </c>
      <c r="D108" s="40"/>
      <c r="E108" s="40"/>
      <c r="F108" s="323">
        <f>'95'!A425</f>
        <v>0</v>
      </c>
      <c r="G108" s="323">
        <f>'95'!A432</f>
        <v>0</v>
      </c>
      <c r="H108" s="323">
        <f>'95'!A439</f>
        <v>0</v>
      </c>
      <c r="I108" s="323">
        <f>'95'!A446</f>
        <v>0</v>
      </c>
      <c r="J108" s="323">
        <f>'95'!A453</f>
        <v>0</v>
      </c>
      <c r="K108" s="323">
        <f>'95'!A460</f>
        <v>0</v>
      </c>
      <c r="L108" s="323">
        <f>'95'!A467</f>
        <v>0</v>
      </c>
      <c r="M108" s="323">
        <f>'95'!A474</f>
        <v>0</v>
      </c>
      <c r="N108" s="179"/>
    </row>
    <row r="109" spans="2:14" x14ac:dyDescent="0.2">
      <c r="B109" s="244"/>
      <c r="C109" s="40" t="s">
        <v>352</v>
      </c>
      <c r="D109" s="40"/>
      <c r="E109" s="40"/>
      <c r="F109" s="323">
        <f>'95'!A426</f>
        <v>0</v>
      </c>
      <c r="G109" s="323">
        <f>'95'!A433</f>
        <v>0</v>
      </c>
      <c r="H109" s="323">
        <f>'95'!A440</f>
        <v>0</v>
      </c>
      <c r="I109" s="323">
        <f>'95'!A447</f>
        <v>0</v>
      </c>
      <c r="J109" s="323">
        <f>'95'!A454</f>
        <v>0</v>
      </c>
      <c r="K109" s="323">
        <f>'95'!A461</f>
        <v>0</v>
      </c>
      <c r="L109" s="323">
        <f>'95'!A468</f>
        <v>0</v>
      </c>
      <c r="M109" s="323">
        <f>'95'!A475</f>
        <v>0</v>
      </c>
      <c r="N109" s="179"/>
    </row>
    <row r="110" spans="2:14" x14ac:dyDescent="0.2">
      <c r="B110" s="244"/>
      <c r="C110" s="40" t="s">
        <v>353</v>
      </c>
      <c r="D110" s="40"/>
      <c r="E110" s="40"/>
      <c r="F110" s="323">
        <f>'95'!A427</f>
        <v>0</v>
      </c>
      <c r="G110" s="323">
        <f>'95'!A434</f>
        <v>0</v>
      </c>
      <c r="H110" s="323">
        <f>'95'!A441</f>
        <v>0</v>
      </c>
      <c r="I110" s="323">
        <f>'95'!A448</f>
        <v>0</v>
      </c>
      <c r="J110" s="323">
        <f>'95'!A455</f>
        <v>0</v>
      </c>
      <c r="K110" s="323">
        <f>'95'!A462</f>
        <v>0</v>
      </c>
      <c r="L110" s="323">
        <f>'95'!A469</f>
        <v>0</v>
      </c>
      <c r="M110" s="323">
        <f>'95'!A476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2">
    <tabColor theme="5" tint="-0.249977111117893"/>
    <pageSetUpPr fitToPage="1"/>
  </sheetPr>
  <dimension ref="A330:B557"/>
  <sheetViews>
    <sheetView topLeftCell="A308" workbookViewId="0">
      <selection sqref="A1:AG1000"/>
    </sheetView>
  </sheetViews>
  <sheetFormatPr baseColWidth="10" defaultColWidth="9.109375" defaultRowHeight="13.2" x14ac:dyDescent="0.25"/>
  <cols>
    <col min="1" max="1" width="60.44140625" bestFit="1" customWidth="1"/>
    <col min="2" max="2" width="1.6640625" style="695" bestFit="1" customWidth="1"/>
    <col min="257" max="257" width="60.44140625" bestFit="1" customWidth="1"/>
    <col min="258" max="258" width="1.6640625" bestFit="1" customWidth="1"/>
    <col min="513" max="513" width="60.44140625" bestFit="1" customWidth="1"/>
    <col min="514" max="514" width="1.6640625" bestFit="1" customWidth="1"/>
    <col min="769" max="769" width="60.44140625" bestFit="1" customWidth="1"/>
    <col min="770" max="770" width="1.6640625" bestFit="1" customWidth="1"/>
    <col min="1025" max="1025" width="60.44140625" bestFit="1" customWidth="1"/>
    <col min="1026" max="1026" width="1.6640625" bestFit="1" customWidth="1"/>
    <col min="1281" max="1281" width="60.44140625" bestFit="1" customWidth="1"/>
    <col min="1282" max="1282" width="1.6640625" bestFit="1" customWidth="1"/>
    <col min="1537" max="1537" width="60.44140625" bestFit="1" customWidth="1"/>
    <col min="1538" max="1538" width="1.6640625" bestFit="1" customWidth="1"/>
    <col min="1793" max="1793" width="60.44140625" bestFit="1" customWidth="1"/>
    <col min="1794" max="1794" width="1.6640625" bestFit="1" customWidth="1"/>
    <col min="2049" max="2049" width="60.44140625" bestFit="1" customWidth="1"/>
    <col min="2050" max="2050" width="1.6640625" bestFit="1" customWidth="1"/>
    <col min="2305" max="2305" width="60.44140625" bestFit="1" customWidth="1"/>
    <col min="2306" max="2306" width="1.6640625" bestFit="1" customWidth="1"/>
    <col min="2561" max="2561" width="60.44140625" bestFit="1" customWidth="1"/>
    <col min="2562" max="2562" width="1.6640625" bestFit="1" customWidth="1"/>
    <col min="2817" max="2817" width="60.44140625" bestFit="1" customWidth="1"/>
    <col min="2818" max="2818" width="1.6640625" bestFit="1" customWidth="1"/>
    <col min="3073" max="3073" width="60.44140625" bestFit="1" customWidth="1"/>
    <col min="3074" max="3074" width="1.6640625" bestFit="1" customWidth="1"/>
    <col min="3329" max="3329" width="60.44140625" bestFit="1" customWidth="1"/>
    <col min="3330" max="3330" width="1.6640625" bestFit="1" customWidth="1"/>
    <col min="3585" max="3585" width="60.44140625" bestFit="1" customWidth="1"/>
    <col min="3586" max="3586" width="1.6640625" bestFit="1" customWidth="1"/>
    <col min="3841" max="3841" width="60.44140625" bestFit="1" customWidth="1"/>
    <col min="3842" max="3842" width="1.6640625" bestFit="1" customWidth="1"/>
    <col min="4097" max="4097" width="60.44140625" bestFit="1" customWidth="1"/>
    <col min="4098" max="4098" width="1.6640625" bestFit="1" customWidth="1"/>
    <col min="4353" max="4353" width="60.44140625" bestFit="1" customWidth="1"/>
    <col min="4354" max="4354" width="1.6640625" bestFit="1" customWidth="1"/>
    <col min="4609" max="4609" width="60.44140625" bestFit="1" customWidth="1"/>
    <col min="4610" max="4610" width="1.6640625" bestFit="1" customWidth="1"/>
    <col min="4865" max="4865" width="60.44140625" bestFit="1" customWidth="1"/>
    <col min="4866" max="4866" width="1.6640625" bestFit="1" customWidth="1"/>
    <col min="5121" max="5121" width="60.44140625" bestFit="1" customWidth="1"/>
    <col min="5122" max="5122" width="1.6640625" bestFit="1" customWidth="1"/>
    <col min="5377" max="5377" width="60.44140625" bestFit="1" customWidth="1"/>
    <col min="5378" max="5378" width="1.6640625" bestFit="1" customWidth="1"/>
    <col min="5633" max="5633" width="60.44140625" bestFit="1" customWidth="1"/>
    <col min="5634" max="5634" width="1.6640625" bestFit="1" customWidth="1"/>
    <col min="5889" max="5889" width="60.44140625" bestFit="1" customWidth="1"/>
    <col min="5890" max="5890" width="1.6640625" bestFit="1" customWidth="1"/>
    <col min="6145" max="6145" width="60.44140625" bestFit="1" customWidth="1"/>
    <col min="6146" max="6146" width="1.6640625" bestFit="1" customWidth="1"/>
    <col min="6401" max="6401" width="60.44140625" bestFit="1" customWidth="1"/>
    <col min="6402" max="6402" width="1.6640625" bestFit="1" customWidth="1"/>
    <col min="6657" max="6657" width="60.44140625" bestFit="1" customWidth="1"/>
    <col min="6658" max="6658" width="1.6640625" bestFit="1" customWidth="1"/>
    <col min="6913" max="6913" width="60.44140625" bestFit="1" customWidth="1"/>
    <col min="6914" max="6914" width="1.6640625" bestFit="1" customWidth="1"/>
    <col min="7169" max="7169" width="60.44140625" bestFit="1" customWidth="1"/>
    <col min="7170" max="7170" width="1.6640625" bestFit="1" customWidth="1"/>
    <col min="7425" max="7425" width="60.44140625" bestFit="1" customWidth="1"/>
    <col min="7426" max="7426" width="1.6640625" bestFit="1" customWidth="1"/>
    <col min="7681" max="7681" width="60.44140625" bestFit="1" customWidth="1"/>
    <col min="7682" max="7682" width="1.6640625" bestFit="1" customWidth="1"/>
    <col min="7937" max="7937" width="60.44140625" bestFit="1" customWidth="1"/>
    <col min="7938" max="7938" width="1.6640625" bestFit="1" customWidth="1"/>
    <col min="8193" max="8193" width="60.44140625" bestFit="1" customWidth="1"/>
    <col min="8194" max="8194" width="1.6640625" bestFit="1" customWidth="1"/>
    <col min="8449" max="8449" width="60.44140625" bestFit="1" customWidth="1"/>
    <col min="8450" max="8450" width="1.6640625" bestFit="1" customWidth="1"/>
    <col min="8705" max="8705" width="60.44140625" bestFit="1" customWidth="1"/>
    <col min="8706" max="8706" width="1.6640625" bestFit="1" customWidth="1"/>
    <col min="8961" max="8961" width="60.44140625" bestFit="1" customWidth="1"/>
    <col min="8962" max="8962" width="1.6640625" bestFit="1" customWidth="1"/>
    <col min="9217" max="9217" width="60.44140625" bestFit="1" customWidth="1"/>
    <col min="9218" max="9218" width="1.6640625" bestFit="1" customWidth="1"/>
    <col min="9473" max="9473" width="60.44140625" bestFit="1" customWidth="1"/>
    <col min="9474" max="9474" width="1.6640625" bestFit="1" customWidth="1"/>
    <col min="9729" max="9729" width="60.44140625" bestFit="1" customWidth="1"/>
    <col min="9730" max="9730" width="1.6640625" bestFit="1" customWidth="1"/>
    <col min="9985" max="9985" width="60.44140625" bestFit="1" customWidth="1"/>
    <col min="9986" max="9986" width="1.6640625" bestFit="1" customWidth="1"/>
    <col min="10241" max="10241" width="60.44140625" bestFit="1" customWidth="1"/>
    <col min="10242" max="10242" width="1.6640625" bestFit="1" customWidth="1"/>
    <col min="10497" max="10497" width="60.44140625" bestFit="1" customWidth="1"/>
    <col min="10498" max="10498" width="1.6640625" bestFit="1" customWidth="1"/>
    <col min="10753" max="10753" width="60.44140625" bestFit="1" customWidth="1"/>
    <col min="10754" max="10754" width="1.6640625" bestFit="1" customWidth="1"/>
    <col min="11009" max="11009" width="60.44140625" bestFit="1" customWidth="1"/>
    <col min="11010" max="11010" width="1.6640625" bestFit="1" customWidth="1"/>
    <col min="11265" max="11265" width="60.44140625" bestFit="1" customWidth="1"/>
    <col min="11266" max="11266" width="1.6640625" bestFit="1" customWidth="1"/>
    <col min="11521" max="11521" width="60.44140625" bestFit="1" customWidth="1"/>
    <col min="11522" max="11522" width="1.6640625" bestFit="1" customWidth="1"/>
    <col min="11777" max="11777" width="60.44140625" bestFit="1" customWidth="1"/>
    <col min="11778" max="11778" width="1.6640625" bestFit="1" customWidth="1"/>
    <col min="12033" max="12033" width="60.44140625" bestFit="1" customWidth="1"/>
    <col min="12034" max="12034" width="1.6640625" bestFit="1" customWidth="1"/>
    <col min="12289" max="12289" width="60.44140625" bestFit="1" customWidth="1"/>
    <col min="12290" max="12290" width="1.6640625" bestFit="1" customWidth="1"/>
    <col min="12545" max="12545" width="60.44140625" bestFit="1" customWidth="1"/>
    <col min="12546" max="12546" width="1.6640625" bestFit="1" customWidth="1"/>
    <col min="12801" max="12801" width="60.44140625" bestFit="1" customWidth="1"/>
    <col min="12802" max="12802" width="1.6640625" bestFit="1" customWidth="1"/>
    <col min="13057" max="13057" width="60.44140625" bestFit="1" customWidth="1"/>
    <col min="13058" max="13058" width="1.6640625" bestFit="1" customWidth="1"/>
    <col min="13313" max="13313" width="60.44140625" bestFit="1" customWidth="1"/>
    <col min="13314" max="13314" width="1.6640625" bestFit="1" customWidth="1"/>
    <col min="13569" max="13569" width="60.44140625" bestFit="1" customWidth="1"/>
    <col min="13570" max="13570" width="1.6640625" bestFit="1" customWidth="1"/>
    <col min="13825" max="13825" width="60.44140625" bestFit="1" customWidth="1"/>
    <col min="13826" max="13826" width="1.6640625" bestFit="1" customWidth="1"/>
    <col min="14081" max="14081" width="60.44140625" bestFit="1" customWidth="1"/>
    <col min="14082" max="14082" width="1.6640625" bestFit="1" customWidth="1"/>
    <col min="14337" max="14337" width="60.44140625" bestFit="1" customWidth="1"/>
    <col min="14338" max="14338" width="1.6640625" bestFit="1" customWidth="1"/>
    <col min="14593" max="14593" width="60.44140625" bestFit="1" customWidth="1"/>
    <col min="14594" max="14594" width="1.6640625" bestFit="1" customWidth="1"/>
    <col min="14849" max="14849" width="60.44140625" bestFit="1" customWidth="1"/>
    <col min="14850" max="14850" width="1.6640625" bestFit="1" customWidth="1"/>
    <col min="15105" max="15105" width="60.44140625" bestFit="1" customWidth="1"/>
    <col min="15106" max="15106" width="1.6640625" bestFit="1" customWidth="1"/>
    <col min="15361" max="15361" width="60.44140625" bestFit="1" customWidth="1"/>
    <col min="15362" max="15362" width="1.6640625" bestFit="1" customWidth="1"/>
    <col min="15617" max="15617" width="60.44140625" bestFit="1" customWidth="1"/>
    <col min="15618" max="15618" width="1.6640625" bestFit="1" customWidth="1"/>
    <col min="15873" max="15873" width="60.44140625" bestFit="1" customWidth="1"/>
    <col min="15874" max="15874" width="1.6640625" bestFit="1" customWidth="1"/>
    <col min="16129" max="16129" width="60.44140625" bestFit="1" customWidth="1"/>
    <col min="16130" max="16130" width="1.6640625" bestFit="1" customWidth="1"/>
  </cols>
  <sheetData>
    <row r="330" spans="1:1" x14ac:dyDescent="0.25">
      <c r="A330" s="695"/>
    </row>
    <row r="424" spans="1:1" x14ac:dyDescent="0.25">
      <c r="A424" s="696"/>
    </row>
    <row r="425" spans="1:1" x14ac:dyDescent="0.25">
      <c r="A425" s="696"/>
    </row>
    <row r="426" spans="1:1" x14ac:dyDescent="0.25">
      <c r="A426" s="696"/>
    </row>
    <row r="427" spans="1:1" x14ac:dyDescent="0.25">
      <c r="A427" s="696"/>
    </row>
    <row r="431" spans="1:1" x14ac:dyDescent="0.25">
      <c r="A431" s="696"/>
    </row>
    <row r="432" spans="1:1" x14ac:dyDescent="0.25">
      <c r="A432" s="696"/>
    </row>
    <row r="433" spans="1:1" x14ac:dyDescent="0.25">
      <c r="A433" s="696"/>
    </row>
    <row r="434" spans="1:1" x14ac:dyDescent="0.25">
      <c r="A434" s="696"/>
    </row>
    <row r="438" spans="1:1" x14ac:dyDescent="0.25">
      <c r="A438" s="696"/>
    </row>
    <row r="439" spans="1:1" x14ac:dyDescent="0.25">
      <c r="A439" s="696"/>
    </row>
    <row r="440" spans="1:1" x14ac:dyDescent="0.25">
      <c r="A440" s="696"/>
    </row>
    <row r="441" spans="1:1" x14ac:dyDescent="0.25">
      <c r="A441" s="696"/>
    </row>
    <row r="445" spans="1:1" x14ac:dyDescent="0.25">
      <c r="A445" s="696"/>
    </row>
    <row r="446" spans="1:1" x14ac:dyDescent="0.25">
      <c r="A446" s="696"/>
    </row>
    <row r="447" spans="1:1" x14ac:dyDescent="0.25">
      <c r="A447" s="696"/>
    </row>
    <row r="448" spans="1:1" x14ac:dyDescent="0.25">
      <c r="A448" s="696"/>
    </row>
    <row r="452" spans="1:1" x14ac:dyDescent="0.25">
      <c r="A452" s="696"/>
    </row>
    <row r="453" spans="1:1" x14ac:dyDescent="0.25">
      <c r="A453" s="696"/>
    </row>
    <row r="454" spans="1:1" x14ac:dyDescent="0.25">
      <c r="A454" s="696"/>
    </row>
    <row r="455" spans="1:1" x14ac:dyDescent="0.25">
      <c r="A455" s="696"/>
    </row>
    <row r="459" spans="1:1" x14ac:dyDescent="0.25">
      <c r="A459" s="696"/>
    </row>
    <row r="460" spans="1:1" x14ac:dyDescent="0.25">
      <c r="A460" s="696"/>
    </row>
    <row r="461" spans="1:1" x14ac:dyDescent="0.25">
      <c r="A461" s="696"/>
    </row>
    <row r="462" spans="1:1" x14ac:dyDescent="0.25">
      <c r="A462" s="696"/>
    </row>
    <row r="466" spans="1:1" x14ac:dyDescent="0.25">
      <c r="A466" s="696"/>
    </row>
    <row r="467" spans="1:1" x14ac:dyDescent="0.25">
      <c r="A467" s="696"/>
    </row>
    <row r="468" spans="1:1" x14ac:dyDescent="0.25">
      <c r="A468" s="696"/>
    </row>
    <row r="469" spans="1:1" x14ac:dyDescent="0.25">
      <c r="A469" s="696"/>
    </row>
    <row r="473" spans="1:1" x14ac:dyDescent="0.25">
      <c r="A473" s="696"/>
    </row>
    <row r="474" spans="1:1" x14ac:dyDescent="0.25">
      <c r="A474" s="696"/>
    </row>
    <row r="475" spans="1:1" x14ac:dyDescent="0.25">
      <c r="A475" s="696"/>
    </row>
    <row r="476" spans="1:1" x14ac:dyDescent="0.25">
      <c r="A476" s="696"/>
    </row>
    <row r="553" spans="2:2" x14ac:dyDescent="0.25">
      <c r="B553"/>
    </row>
    <row r="554" spans="2:2" x14ac:dyDescent="0.25">
      <c r="B554"/>
    </row>
    <row r="555" spans="2:2" x14ac:dyDescent="0.25">
      <c r="B555"/>
    </row>
    <row r="556" spans="2:2" x14ac:dyDescent="0.25">
      <c r="B556"/>
    </row>
    <row r="557" spans="2:2" x14ac:dyDescent="0.25">
      <c r="B557"/>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7">
    <tabColor theme="5" tint="-0.499984740745262"/>
    <pageSetUpPr fitToPage="1"/>
  </sheetPr>
  <dimension ref="B1:Y55"/>
  <sheetViews>
    <sheetView workbookViewId="0">
      <selection activeCell="AB26" sqref="AB26"/>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LEFT(TRIM('105'!A699),4)</f>
        <v/>
      </c>
      <c r="W1" t="str">
        <f>RIGHT(TRIM('105'!A699),10)</f>
        <v/>
      </c>
    </row>
    <row r="2" spans="2:25" ht="33" x14ac:dyDescent="0.6">
      <c r="G2" s="157" t="s">
        <v>82</v>
      </c>
      <c r="H2" s="156"/>
    </row>
    <row r="3" spans="2:25" x14ac:dyDescent="0.25">
      <c r="B3">
        <f>'105'!A861</f>
        <v>0</v>
      </c>
      <c r="C3" s="506"/>
      <c r="V3" s="158" t="s">
        <v>83</v>
      </c>
      <c r="W3" s="159">
        <f>'105'!A6</f>
        <v>0</v>
      </c>
    </row>
    <row r="4" spans="2:25" x14ac:dyDescent="0.25">
      <c r="B4">
        <f>'105'!A862</f>
        <v>0</v>
      </c>
      <c r="C4" s="506"/>
    </row>
    <row r="5" spans="2:25" ht="17.399999999999999" x14ac:dyDescent="0.3">
      <c r="B5">
        <f>'105'!A863</f>
        <v>0</v>
      </c>
      <c r="H5" s="160" t="s">
        <v>85</v>
      </c>
      <c r="J5" s="161"/>
      <c r="K5" s="161"/>
      <c r="L5" s="162">
        <f>'105'!$A1</f>
        <v>0</v>
      </c>
      <c r="M5" s="160" t="s">
        <v>84</v>
      </c>
      <c r="N5" s="160"/>
      <c r="O5" s="162">
        <f>'105'!$A2</f>
        <v>0</v>
      </c>
      <c r="P5" s="161"/>
      <c r="Q5" s="161"/>
      <c r="S5" s="163"/>
      <c r="T5" s="164"/>
      <c r="U5" s="163"/>
      <c r="V5" s="163"/>
    </row>
    <row r="6" spans="2:25" x14ac:dyDescent="0.25">
      <c r="B6">
        <f>'105'!A864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'105'!$A4</f>
        <v>0</v>
      </c>
      <c r="Q9" s="164"/>
      <c r="R9" s="171" t="s">
        <v>80</v>
      </c>
      <c r="S9" s="172">
        <f>'105'!$A5</f>
        <v>0</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'105'!A7</f>
        <v>0</v>
      </c>
      <c r="F14" s="196">
        <f>'105'!A11</f>
        <v>0</v>
      </c>
      <c r="G14" s="197"/>
      <c r="H14" s="196">
        <f>'105'!A14</f>
        <v>0</v>
      </c>
      <c r="I14" s="198"/>
      <c r="J14" s="196">
        <f>'105'!A17</f>
        <v>0</v>
      </c>
      <c r="K14" s="198"/>
      <c r="L14" s="40"/>
      <c r="M14" s="182"/>
      <c r="N14" s="182" t="s">
        <v>36</v>
      </c>
      <c r="O14" s="182"/>
      <c r="P14" s="201">
        <f>'105'!A61</f>
        <v>0</v>
      </c>
      <c r="Q14" s="200">
        <f>'105'!B61</f>
        <v>0</v>
      </c>
      <c r="R14" s="190"/>
      <c r="S14" s="175"/>
      <c r="T14" s="201">
        <f>'105'!A62</f>
        <v>0</v>
      </c>
      <c r="U14" s="200">
        <f>'105'!B62</f>
        <v>0</v>
      </c>
      <c r="V14" s="175"/>
      <c r="W14" s="201">
        <f>'105'!A63</f>
        <v>0</v>
      </c>
      <c r="X14" s="202"/>
      <c r="Y14" s="179"/>
    </row>
    <row r="15" spans="2:25" x14ac:dyDescent="0.25">
      <c r="B15" s="168"/>
      <c r="C15" s="40"/>
      <c r="D15" s="40" t="s">
        <v>5</v>
      </c>
      <c r="E15" s="203">
        <f>'105'!A8</f>
        <v>0</v>
      </c>
      <c r="F15" s="196">
        <f>'105'!A12</f>
        <v>0</v>
      </c>
      <c r="G15" s="204"/>
      <c r="H15" s="196">
        <f>'105'!A15</f>
        <v>0</v>
      </c>
      <c r="I15" s="205"/>
      <c r="J15" s="196">
        <f>'105'!A18</f>
        <v>0</v>
      </c>
      <c r="K15" s="205"/>
      <c r="L15" s="40"/>
      <c r="M15" s="182"/>
      <c r="N15" s="182" t="s">
        <v>38</v>
      </c>
      <c r="O15" s="182"/>
      <c r="P15" s="193">
        <f>'105'!A64</f>
        <v>0</v>
      </c>
      <c r="Q15" s="189">
        <f>'105'!B64</f>
        <v>0</v>
      </c>
      <c r="R15" s="190"/>
      <c r="S15" s="175"/>
      <c r="T15" s="199">
        <f>'105'!A65</f>
        <v>0</v>
      </c>
      <c r="U15" s="206">
        <f>'105'!B65</f>
        <v>0</v>
      </c>
      <c r="V15" s="175"/>
      <c r="W15" s="207">
        <f>'105'!A66</f>
        <v>0</v>
      </c>
      <c r="X15" s="206"/>
      <c r="Y15" s="179"/>
    </row>
    <row r="16" spans="2:25" x14ac:dyDescent="0.25">
      <c r="B16" s="168"/>
      <c r="C16" s="40"/>
      <c r="D16" s="40" t="s">
        <v>6</v>
      </c>
      <c r="E16" s="208">
        <f>'105'!A9</f>
        <v>0</v>
      </c>
      <c r="F16" s="209">
        <f>'105'!A13</f>
        <v>0</v>
      </c>
      <c r="G16" s="210"/>
      <c r="H16" s="209">
        <f>'105'!A16</f>
        <v>0</v>
      </c>
      <c r="I16" s="189"/>
      <c r="J16" s="209">
        <f>'105'!A19</f>
        <v>0</v>
      </c>
      <c r="K16" s="189"/>
      <c r="L16" s="40"/>
      <c r="M16" s="182"/>
      <c r="N16" s="182" t="s">
        <v>40</v>
      </c>
      <c r="O16" s="182"/>
      <c r="P16" s="187"/>
      <c r="Q16" s="182"/>
      <c r="R16" s="182"/>
      <c r="S16" s="175"/>
      <c r="T16" s="193">
        <f>'105'!A68</f>
        <v>0</v>
      </c>
      <c r="U16" s="211">
        <f>'105'!B68</f>
        <v>0</v>
      </c>
      <c r="V16" s="175"/>
      <c r="W16" s="212">
        <f>'105'!A69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'105'!A21</f>
        <v>0</v>
      </c>
      <c r="G19" s="206">
        <f>'105'!B21</f>
        <v>0</v>
      </c>
      <c r="H19" s="218">
        <f>'105'!A24</f>
        <v>0</v>
      </c>
      <c r="I19" s="200">
        <f>'105'!B24</f>
        <v>0</v>
      </c>
      <c r="J19" s="218">
        <f>'105'!A27</f>
        <v>0</v>
      </c>
      <c r="K19" s="200">
        <f>'105'!B27</f>
        <v>0</v>
      </c>
      <c r="L19" s="40"/>
      <c r="M19" s="182" t="s">
        <v>50</v>
      </c>
      <c r="N19" s="182"/>
      <c r="O19" s="187" t="s">
        <v>51</v>
      </c>
      <c r="P19" s="219">
        <f>'105'!A57</f>
        <v>0</v>
      </c>
      <c r="Q19" s="220"/>
      <c r="R19" s="182"/>
      <c r="S19" s="216" t="s">
        <v>74</v>
      </c>
      <c r="T19" s="221">
        <f>'105'!A58</f>
        <v>0</v>
      </c>
      <c r="U19" s="220"/>
      <c r="V19" s="217" t="s">
        <v>75</v>
      </c>
      <c r="W19" s="219">
        <f>'105'!A59</f>
        <v>0</v>
      </c>
      <c r="X19" s="222"/>
      <c r="Y19" s="179"/>
    </row>
    <row r="20" spans="2:25" x14ac:dyDescent="0.25">
      <c r="B20" s="168"/>
      <c r="C20" s="40"/>
      <c r="D20" s="40" t="s">
        <v>5</v>
      </c>
      <c r="E20" s="40"/>
      <c r="F20" s="199">
        <f>'105'!A22</f>
        <v>0</v>
      </c>
      <c r="G20" s="206">
        <f>'105'!B22</f>
        <v>0</v>
      </c>
      <c r="H20" s="196">
        <f>'105'!A25</f>
        <v>0</v>
      </c>
      <c r="I20" s="206">
        <f>'105'!B25</f>
        <v>0</v>
      </c>
      <c r="J20" s="196">
        <f>'105'!A28</f>
        <v>0</v>
      </c>
      <c r="K20" s="206">
        <f>'105'!B28</f>
        <v>0</v>
      </c>
      <c r="L20" s="40"/>
      <c r="M20" s="224" t="s">
        <v>52</v>
      </c>
      <c r="N20" s="223"/>
      <c r="O20" s="224"/>
      <c r="P20" s="199">
        <f>'105'!A75</f>
        <v>0</v>
      </c>
      <c r="Q20" s="225"/>
      <c r="R20" s="224"/>
      <c r="S20" s="182" t="s">
        <v>65</v>
      </c>
      <c r="T20" s="226"/>
      <c r="U20" s="227"/>
      <c r="V20" s="226"/>
      <c r="W20" s="199">
        <f>'105'!A76</f>
        <v>0</v>
      </c>
      <c r="X20" s="202"/>
      <c r="Y20" s="179"/>
    </row>
    <row r="21" spans="2:25" x14ac:dyDescent="0.25">
      <c r="B21" s="168"/>
      <c r="C21" s="40"/>
      <c r="D21" s="40" t="s">
        <v>6</v>
      </c>
      <c r="E21" s="40"/>
      <c r="F21" s="193">
        <f>'105'!A23</f>
        <v>0</v>
      </c>
      <c r="G21" s="211">
        <f>'105'!B23</f>
        <v>0</v>
      </c>
      <c r="H21" s="209">
        <f>'105'!A26</f>
        <v>0</v>
      </c>
      <c r="I21" s="211">
        <f>'105'!B26</f>
        <v>0</v>
      </c>
      <c r="J21" s="209">
        <f>'105'!A29</f>
        <v>0</v>
      </c>
      <c r="K21" s="211">
        <f>'105'!B29</f>
        <v>0</v>
      </c>
      <c r="L21" s="40"/>
      <c r="M21" s="182" t="s">
        <v>53</v>
      </c>
      <c r="N21" s="175"/>
      <c r="O21" s="182"/>
      <c r="P21" s="193">
        <f>'105'!A77</f>
        <v>0</v>
      </c>
      <c r="Q21" s="228"/>
      <c r="R21" s="196"/>
      <c r="S21" s="182" t="s">
        <v>66</v>
      </c>
      <c r="T21" s="182"/>
      <c r="U21" s="182"/>
      <c r="V21" s="182"/>
      <c r="W21" s="193">
        <f>'105'!A78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'105'!A31</f>
        <v>0</v>
      </c>
      <c r="G24" s="200">
        <f>'105'!B31</f>
        <v>0</v>
      </c>
      <c r="H24" s="218">
        <f>'105'!A34</f>
        <v>0</v>
      </c>
      <c r="I24" s="200">
        <f>'105'!B34</f>
        <v>0</v>
      </c>
      <c r="J24" s="218">
        <f>'105'!A37</f>
        <v>0</v>
      </c>
      <c r="K24" s="200">
        <f>'105'!B37</f>
        <v>0</v>
      </c>
      <c r="L24" s="40"/>
      <c r="M24" s="182" t="s">
        <v>55</v>
      </c>
      <c r="N24" s="182"/>
      <c r="O24" s="182"/>
      <c r="P24" s="201">
        <f>'105'!A81</f>
        <v>0</v>
      </c>
      <c r="Q24" s="206">
        <f>'105'!B81</f>
        <v>0</v>
      </c>
      <c r="R24" s="196"/>
      <c r="S24" s="182" t="s">
        <v>67</v>
      </c>
      <c r="T24" s="182"/>
      <c r="U24" s="182"/>
      <c r="V24" s="182"/>
      <c r="W24" s="219">
        <f>'105'!A82</f>
        <v>0</v>
      </c>
      <c r="X24" s="222">
        <f>'105'!B82</f>
        <v>0</v>
      </c>
      <c r="Y24" s="179"/>
    </row>
    <row r="25" spans="2:25" x14ac:dyDescent="0.25">
      <c r="B25" s="168"/>
      <c r="C25" s="40" t="s">
        <v>37</v>
      </c>
      <c r="D25" s="40" t="s">
        <v>38</v>
      </c>
      <c r="E25" s="40"/>
      <c r="F25" s="199">
        <f>'105'!A32</f>
        <v>0</v>
      </c>
      <c r="G25" s="206">
        <f>'105'!B32</f>
        <v>0</v>
      </c>
      <c r="H25" s="196">
        <f>'105'!A35</f>
        <v>0</v>
      </c>
      <c r="I25" s="206">
        <f>'105'!B35</f>
        <v>0</v>
      </c>
      <c r="J25" s="196">
        <f>'105'!A38</f>
        <v>0</v>
      </c>
      <c r="K25" s="206">
        <f>'105'!B38</f>
        <v>0</v>
      </c>
      <c r="L25" s="40"/>
      <c r="M25" s="182" t="s">
        <v>56</v>
      </c>
      <c r="N25" s="182"/>
      <c r="O25" s="182"/>
      <c r="P25" s="230">
        <f>'105'!A83/100</f>
        <v>0</v>
      </c>
      <c r="Q25" s="206">
        <f>'105'!B83</f>
        <v>0</v>
      </c>
      <c r="R25" s="196"/>
      <c r="S25" s="175"/>
      <c r="T25" s="182"/>
      <c r="U25" s="182"/>
      <c r="V25" s="182"/>
      <c r="W25" s="196"/>
      <c r="X25" s="184"/>
      <c r="Y25" s="179"/>
    </row>
    <row r="26" spans="2:25" x14ac:dyDescent="0.25">
      <c r="B26" s="168"/>
      <c r="C26" s="40" t="s">
        <v>39</v>
      </c>
      <c r="D26" s="40" t="s">
        <v>40</v>
      </c>
      <c r="E26" s="40"/>
      <c r="F26" s="193">
        <f>'105'!A33</f>
        <v>0</v>
      </c>
      <c r="G26" s="211">
        <f>'105'!B33</f>
        <v>0</v>
      </c>
      <c r="H26" s="209">
        <f>'105'!A36</f>
        <v>0</v>
      </c>
      <c r="I26" s="211">
        <f>'105'!B36</f>
        <v>0</v>
      </c>
      <c r="J26" s="193">
        <f>'105'!A39</f>
        <v>0</v>
      </c>
      <c r="K26" s="211">
        <f>'105'!B39</f>
        <v>0</v>
      </c>
      <c r="L26" s="40"/>
      <c r="M26" s="182" t="s">
        <v>57</v>
      </c>
      <c r="N26" s="182"/>
      <c r="O26" s="182"/>
      <c r="P26" s="193">
        <f>'105'!A85</f>
        <v>0</v>
      </c>
      <c r="Q26" s="211">
        <f>'105'!B85</f>
        <v>0</v>
      </c>
      <c r="R26" s="231"/>
      <c r="S26" s="182" t="s">
        <v>515</v>
      </c>
      <c r="T26" s="175"/>
      <c r="U26" s="182"/>
      <c r="V26" s="182"/>
      <c r="W26" s="219">
        <f>'105'!A86</f>
        <v>0</v>
      </c>
      <c r="X26" s="232">
        <f>'105'!B86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'105'!A41</f>
        <v>0</v>
      </c>
      <c r="G29" s="198"/>
      <c r="H29" s="218">
        <f>'105'!A42</f>
        <v>0</v>
      </c>
      <c r="I29" s="198"/>
      <c r="J29" s="218">
        <f>'105'!A43</f>
        <v>0</v>
      </c>
      <c r="K29" s="237"/>
      <c r="L29" s="40"/>
      <c r="M29" s="182" t="s">
        <v>59</v>
      </c>
      <c r="N29" s="182"/>
      <c r="O29" s="182"/>
      <c r="P29" s="201">
        <f>'105'!A91</f>
        <v>0</v>
      </c>
      <c r="Q29" s="206">
        <f>'105'!B91</f>
        <v>0</v>
      </c>
      <c r="R29" s="196"/>
      <c r="S29" s="182" t="s">
        <v>69</v>
      </c>
      <c r="T29" s="182"/>
      <c r="U29" s="182"/>
      <c r="V29" s="182"/>
      <c r="W29" s="201">
        <f>'105'!A92</f>
        <v>0</v>
      </c>
      <c r="X29" s="200">
        <f>'105'!B92</f>
        <v>0</v>
      </c>
      <c r="Y29" s="179"/>
    </row>
    <row r="30" spans="2:25" x14ac:dyDescent="0.25">
      <c r="B30" s="168"/>
      <c r="C30" s="40" t="s">
        <v>43</v>
      </c>
      <c r="D30" s="40"/>
      <c r="E30" s="196"/>
      <c r="F30" s="199">
        <f>'105'!A44</f>
        <v>0</v>
      </c>
      <c r="G30" s="205"/>
      <c r="H30" s="196">
        <f>'105'!A45</f>
        <v>0</v>
      </c>
      <c r="I30" s="205"/>
      <c r="J30" s="196">
        <f>'105'!A46</f>
        <v>0</v>
      </c>
      <c r="K30" s="179"/>
      <c r="L30" s="40"/>
      <c r="M30" s="182" t="s">
        <v>60</v>
      </c>
      <c r="N30" s="182"/>
      <c r="O30" s="182"/>
      <c r="P30" s="199">
        <f>'105'!A93</f>
        <v>0</v>
      </c>
      <c r="Q30" s="206">
        <f>'105'!B93</f>
        <v>0</v>
      </c>
      <c r="R30" s="196"/>
      <c r="S30" s="175" t="s">
        <v>70</v>
      </c>
      <c r="T30" s="182"/>
      <c r="U30" s="182"/>
      <c r="V30" s="182"/>
      <c r="W30" s="199">
        <f>'105'!A94</f>
        <v>0</v>
      </c>
      <c r="X30" s="206">
        <f>'105'!B94</f>
        <v>0</v>
      </c>
      <c r="Y30" s="179"/>
    </row>
    <row r="31" spans="2:25" x14ac:dyDescent="0.25">
      <c r="B31" s="168"/>
      <c r="C31" s="40" t="s">
        <v>44</v>
      </c>
      <c r="D31" s="175"/>
      <c r="E31" s="175"/>
      <c r="F31" s="199">
        <f>'105'!A47</f>
        <v>0</v>
      </c>
      <c r="G31" s="202"/>
      <c r="H31" s="199">
        <f>'105'!A48</f>
        <v>0</v>
      </c>
      <c r="I31" s="202"/>
      <c r="J31" s="199">
        <f>'105'!A49</f>
        <v>0</v>
      </c>
      <c r="K31" s="202"/>
      <c r="L31" s="40"/>
      <c r="M31" s="182" t="s">
        <v>61</v>
      </c>
      <c r="N31" s="182"/>
      <c r="O31" s="182"/>
      <c r="P31" s="199">
        <f>'105'!A73</f>
        <v>0</v>
      </c>
      <c r="Q31" s="206">
        <f>'105'!B73</f>
        <v>0</v>
      </c>
      <c r="R31" s="196"/>
      <c r="S31" s="182" t="s">
        <v>71</v>
      </c>
      <c r="T31" s="182"/>
      <c r="U31" s="182"/>
      <c r="V31" s="182"/>
      <c r="W31" s="199">
        <f>'105'!A74</f>
        <v>0</v>
      </c>
      <c r="X31" s="206">
        <f>'105'!B74</f>
        <v>0</v>
      </c>
      <c r="Y31" s="179"/>
    </row>
    <row r="32" spans="2:25" x14ac:dyDescent="0.25">
      <c r="B32" s="168"/>
      <c r="C32" s="269" t="s">
        <v>45</v>
      </c>
      <c r="D32" s="40"/>
      <c r="E32" s="196"/>
      <c r="F32" s="193">
        <f>'105'!A51</f>
        <v>0</v>
      </c>
      <c r="G32" s="211">
        <f>'105'!B51</f>
        <v>0</v>
      </c>
      <c r="H32" s="209">
        <f>'105'!A52</f>
        <v>0</v>
      </c>
      <c r="I32" s="211">
        <f>'105'!B52</f>
        <v>0</v>
      </c>
      <c r="J32" s="209">
        <f>'105'!A53</f>
        <v>0</v>
      </c>
      <c r="K32" s="211">
        <f>'105'!B53</f>
        <v>0</v>
      </c>
      <c r="L32" s="40"/>
      <c r="M32" s="44" t="s">
        <v>62</v>
      </c>
      <c r="N32" s="182"/>
      <c r="O32" s="182"/>
      <c r="P32" s="193">
        <f>'105'!A72</f>
        <v>0</v>
      </c>
      <c r="Q32" s="211">
        <f>'105'!B72</f>
        <v>0</v>
      </c>
      <c r="R32" s="196"/>
      <c r="S32" s="182" t="s">
        <v>72</v>
      </c>
      <c r="T32" s="182"/>
      <c r="U32" s="182"/>
      <c r="V32" s="182"/>
      <c r="W32" s="193">
        <f>'105'!A99</f>
        <v>0</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'105'!A54</f>
        <v>0</v>
      </c>
      <c r="G35" s="238">
        <f>'105'!B54</f>
        <v>0</v>
      </c>
      <c r="H35" s="188">
        <f>'105'!A55</f>
        <v>0</v>
      </c>
      <c r="I35" s="238">
        <f>'105'!B55</f>
        <v>0</v>
      </c>
      <c r="J35" s="188">
        <f>'105'!A56</f>
        <v>0</v>
      </c>
      <c r="K35" s="238">
        <f>'105'!B56</f>
        <v>0</v>
      </c>
      <c r="L35" s="40"/>
      <c r="M35" s="182" t="s">
        <v>64</v>
      </c>
      <c r="N35" s="182"/>
      <c r="O35" s="182"/>
      <c r="P35" s="219">
        <f>'105'!A97</f>
        <v>0</v>
      </c>
      <c r="Q35" s="239"/>
      <c r="R35" s="182"/>
      <c r="S35" s="182" t="s">
        <v>73</v>
      </c>
      <c r="T35" s="182"/>
      <c r="U35" s="182"/>
      <c r="V35" s="182"/>
      <c r="W35" s="219">
        <f>'105'!A98</f>
        <v>0</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8">
    <tabColor theme="5" tint="-0.499984740745262"/>
    <pageSetUpPr fitToPage="1"/>
  </sheetPr>
  <dimension ref="A1:AL65"/>
  <sheetViews>
    <sheetView workbookViewId="0">
      <selection activeCell="AE38" sqref="AE38"/>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'105'!A1</f>
        <v>0</v>
      </c>
      <c r="F1" s="512" t="s">
        <v>87</v>
      </c>
      <c r="H1" s="172">
        <f>'105'!A2</f>
        <v>0</v>
      </c>
      <c r="M1" s="513" t="s">
        <v>88</v>
      </c>
      <c r="T1" s="170" t="s">
        <v>81</v>
      </c>
      <c r="U1" s="172">
        <f>'105'!A4</f>
        <v>0</v>
      </c>
      <c r="V1" s="164"/>
      <c r="W1" s="171" t="s">
        <v>80</v>
      </c>
      <c r="X1" s="172">
        <f>'105'!A5</f>
        <v>0</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'105'!A108</f>
        <v>0</v>
      </c>
      <c r="V6" s="251"/>
      <c r="W6" s="196">
        <f>'105'!A109</f>
        <v>0</v>
      </c>
      <c r="X6" s="182"/>
      <c r="Y6" s="199">
        <f>'105'!A110</f>
        <v>0</v>
      </c>
      <c r="Z6" s="182"/>
      <c r="AA6" s="179"/>
      <c r="AC6" s="40"/>
      <c r="AD6" s="40"/>
      <c r="AE6" s="40"/>
      <c r="AF6" s="196"/>
      <c r="AG6" s="182"/>
      <c r="AH6" s="196"/>
      <c r="AI6" s="182"/>
      <c r="AJ6" s="196"/>
      <c r="AK6" s="182"/>
      <c r="AL6" s="40"/>
    </row>
    <row r="7" spans="2:38" x14ac:dyDescent="0.2">
      <c r="B7" s="244"/>
      <c r="C7" s="175" t="s">
        <v>91</v>
      </c>
      <c r="F7" s="40"/>
      <c r="G7" s="252">
        <f>'105'!A281</f>
        <v>0</v>
      </c>
      <c r="H7" s="179"/>
      <c r="I7" s="40"/>
      <c r="J7" s="244"/>
      <c r="K7" s="40" t="s">
        <v>129</v>
      </c>
      <c r="L7" s="40"/>
      <c r="M7" s="40"/>
      <c r="N7" s="253">
        <f>'105'!A191</f>
        <v>0</v>
      </c>
      <c r="O7" s="253">
        <f>'105'!A192</f>
        <v>0</v>
      </c>
      <c r="P7" s="179"/>
      <c r="R7" s="244"/>
      <c r="S7" s="40" t="s">
        <v>161</v>
      </c>
      <c r="T7" s="40"/>
      <c r="U7" s="199">
        <f>'105'!A111</f>
        <v>0</v>
      </c>
      <c r="V7" s="251"/>
      <c r="W7" s="196">
        <f>'105'!A112</f>
        <v>0</v>
      </c>
      <c r="X7" s="182"/>
      <c r="Y7" s="199">
        <f>'105'!A113</f>
        <v>0</v>
      </c>
      <c r="Z7" s="182"/>
      <c r="AA7" s="179"/>
      <c r="AC7" s="40"/>
      <c r="AD7" s="40"/>
      <c r="AE7" s="40"/>
      <c r="AF7" s="196"/>
      <c r="AG7" s="182"/>
      <c r="AH7" s="196"/>
      <c r="AI7" s="182"/>
      <c r="AJ7" s="196"/>
      <c r="AK7" s="182"/>
      <c r="AL7" s="40"/>
    </row>
    <row r="8" spans="2:38" x14ac:dyDescent="0.2">
      <c r="B8" s="244"/>
      <c r="C8" s="175" t="s">
        <v>92</v>
      </c>
      <c r="F8" s="40"/>
      <c r="G8" s="252">
        <f>0.2*G7</f>
        <v>0</v>
      </c>
      <c r="H8" s="179"/>
      <c r="I8" s="40"/>
      <c r="J8" s="244"/>
      <c r="K8" s="40" t="s">
        <v>130</v>
      </c>
      <c r="L8" s="40"/>
      <c r="M8" s="40"/>
      <c r="N8" s="253">
        <f>'105'!A193</f>
        <v>0</v>
      </c>
      <c r="O8" s="253">
        <f>'105'!A194</f>
        <v>0</v>
      </c>
      <c r="P8" s="179"/>
      <c r="R8" s="244"/>
      <c r="S8" s="40" t="s">
        <v>162</v>
      </c>
      <c r="T8" s="40"/>
      <c r="U8" s="199">
        <f>'105'!A114</f>
        <v>0</v>
      </c>
      <c r="V8" s="251"/>
      <c r="W8" s="196">
        <f>'105'!A115</f>
        <v>0</v>
      </c>
      <c r="X8" s="182"/>
      <c r="Y8" s="199">
        <f>'105'!A116</f>
        <v>0</v>
      </c>
      <c r="Z8" s="182"/>
      <c r="AA8" s="179"/>
      <c r="AC8" s="40"/>
      <c r="AD8" s="40"/>
      <c r="AE8" s="40"/>
      <c r="AF8" s="196"/>
      <c r="AG8" s="182"/>
      <c r="AH8" s="196"/>
      <c r="AI8" s="182"/>
      <c r="AJ8" s="196"/>
      <c r="AK8" s="182"/>
      <c r="AL8" s="40"/>
    </row>
    <row r="9" spans="2:38" x14ac:dyDescent="0.2">
      <c r="B9" s="244"/>
      <c r="C9" s="175" t="s">
        <v>93</v>
      </c>
      <c r="F9" s="40"/>
      <c r="G9" s="252">
        <f>G7-G8-G10</f>
        <v>0</v>
      </c>
      <c r="H9" s="179"/>
      <c r="I9" s="40"/>
      <c r="J9" s="244"/>
      <c r="K9" s="40" t="s">
        <v>131</v>
      </c>
      <c r="L9" s="40"/>
      <c r="M9" s="40"/>
      <c r="N9" s="253">
        <f>'105'!A82</f>
        <v>0</v>
      </c>
      <c r="O9" s="253"/>
      <c r="P9" s="179"/>
      <c r="R9" s="244"/>
      <c r="S9" s="40" t="s">
        <v>163</v>
      </c>
      <c r="T9" s="40"/>
      <c r="U9" s="199">
        <f>'105'!A117</f>
        <v>0</v>
      </c>
      <c r="V9" s="254">
        <f>'105'!B117</f>
        <v>0</v>
      </c>
      <c r="W9" s="196">
        <f>'105'!A118</f>
        <v>0</v>
      </c>
      <c r="X9" s="184">
        <f>'105'!B118</f>
        <v>0</v>
      </c>
      <c r="Y9" s="199">
        <f>'105'!A119</f>
        <v>0</v>
      </c>
      <c r="Z9" s="184">
        <f>'105'!B119</f>
        <v>0</v>
      </c>
      <c r="AA9" s="179"/>
      <c r="AC9" s="40"/>
      <c r="AD9" s="40"/>
      <c r="AE9" s="40"/>
      <c r="AF9" s="196"/>
      <c r="AG9" s="184"/>
      <c r="AH9" s="196"/>
      <c r="AI9" s="184"/>
      <c r="AJ9" s="196"/>
      <c r="AK9" s="184"/>
      <c r="AL9" s="40"/>
    </row>
    <row r="10" spans="2:38" x14ac:dyDescent="0.2">
      <c r="B10" s="244"/>
      <c r="C10" s="175" t="s">
        <v>94</v>
      </c>
      <c r="F10" s="40"/>
      <c r="G10" s="252">
        <f>'105'!A284</f>
        <v>0</v>
      </c>
      <c r="H10" s="179"/>
      <c r="I10" s="40"/>
      <c r="J10" s="244"/>
      <c r="K10" s="182" t="s">
        <v>132</v>
      </c>
      <c r="L10" s="40"/>
      <c r="M10" s="40"/>
      <c r="N10" s="253">
        <f>'105'!A195</f>
        <v>0</v>
      </c>
      <c r="O10" s="253">
        <f>'105'!A196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0</v>
      </c>
      <c r="H11" s="179"/>
      <c r="I11" s="40"/>
      <c r="J11" s="244"/>
      <c r="K11" s="182" t="s">
        <v>133</v>
      </c>
      <c r="L11" s="40"/>
      <c r="M11" s="40"/>
      <c r="N11" s="253">
        <f>N7+N8+N9-N10-N12</f>
        <v>0</v>
      </c>
      <c r="O11" s="253">
        <f>O7+O8+O9-O10-O12</f>
        <v>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'105'!A285</f>
        <v>0</v>
      </c>
      <c r="H12" s="179"/>
      <c r="I12" s="40"/>
      <c r="J12" s="244"/>
      <c r="K12" s="40" t="s">
        <v>134</v>
      </c>
      <c r="L12" s="40"/>
      <c r="M12" s="40"/>
      <c r="N12" s="255">
        <f>'105'!A197</f>
        <v>0</v>
      </c>
      <c r="O12" s="255">
        <f>'105'!A198</f>
        <v>0</v>
      </c>
      <c r="P12" s="179"/>
      <c r="R12" s="244"/>
      <c r="S12" s="182" t="s">
        <v>165</v>
      </c>
      <c r="T12" s="40"/>
      <c r="U12" s="199">
        <f>'105'!A121</f>
        <v>0</v>
      </c>
      <c r="V12" s="251"/>
      <c r="W12" s="199">
        <f>'105'!A124</f>
        <v>0</v>
      </c>
      <c r="X12" s="182"/>
      <c r="Y12" s="199">
        <f>'105'!A127</f>
        <v>0</v>
      </c>
      <c r="Z12" s="182"/>
      <c r="AA12" s="179"/>
      <c r="AC12" s="40"/>
      <c r="AD12" s="182"/>
      <c r="AE12" s="40"/>
      <c r="AF12" s="196"/>
      <c r="AG12" s="182"/>
      <c r="AH12" s="196"/>
      <c r="AI12" s="182"/>
      <c r="AJ12" s="196"/>
      <c r="AK12" s="182"/>
      <c r="AL12" s="40"/>
    </row>
    <row r="13" spans="2:38" ht="13.2" x14ac:dyDescent="0.3">
      <c r="B13" s="244"/>
      <c r="C13" s="175" t="s">
        <v>97</v>
      </c>
      <c r="F13" s="40"/>
      <c r="G13" s="252">
        <f>'105'!A286</f>
        <v>0</v>
      </c>
      <c r="H13" s="179"/>
      <c r="I13" s="40"/>
      <c r="J13" s="245"/>
      <c r="K13" s="214"/>
      <c r="L13" s="214"/>
      <c r="M13" s="214"/>
      <c r="N13" s="214"/>
      <c r="O13" s="214"/>
      <c r="P13" s="229"/>
      <c r="R13" s="244"/>
      <c r="S13" s="256" t="s">
        <v>166</v>
      </c>
      <c r="T13" s="40"/>
      <c r="U13" s="199">
        <f>'105'!A122</f>
        <v>0</v>
      </c>
      <c r="V13" s="251"/>
      <c r="W13" s="199">
        <f>'105'!A125</f>
        <v>0</v>
      </c>
      <c r="X13" s="182"/>
      <c r="Y13" s="199">
        <f>'105'!A128</f>
        <v>0</v>
      </c>
      <c r="Z13" s="182"/>
      <c r="AA13" s="179"/>
      <c r="AC13" s="40"/>
      <c r="AD13" s="256"/>
      <c r="AE13" s="40"/>
      <c r="AF13" s="196"/>
      <c r="AG13" s="182"/>
      <c r="AH13" s="196"/>
      <c r="AI13" s="182"/>
      <c r="AJ13" s="196"/>
      <c r="AK13" s="182"/>
      <c r="AL13" s="40"/>
    </row>
    <row r="14" spans="2:38" x14ac:dyDescent="0.2">
      <c r="B14" s="244"/>
      <c r="C14" s="175" t="s">
        <v>98</v>
      </c>
      <c r="F14" s="40"/>
      <c r="G14" s="257">
        <f>'105'!A287</f>
        <v>0</v>
      </c>
      <c r="H14" s="179"/>
      <c r="I14" s="40"/>
      <c r="J14" s="244"/>
      <c r="K14" s="40"/>
      <c r="L14" s="40"/>
      <c r="M14" s="40"/>
      <c r="N14" s="40"/>
      <c r="O14" s="213"/>
      <c r="P14" s="179"/>
      <c r="R14" s="244"/>
      <c r="S14" s="182" t="s">
        <v>167</v>
      </c>
      <c r="T14" s="40"/>
      <c r="U14" s="199">
        <f>'105'!A123</f>
        <v>0</v>
      </c>
      <c r="V14" s="251"/>
      <c r="W14" s="199">
        <f>'105'!A126</f>
        <v>0</v>
      </c>
      <c r="X14" s="182"/>
      <c r="Y14" s="199">
        <f>'105'!A129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0</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'105'!A305</f>
        <v>0</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'105'!A306</f>
        <v>0</v>
      </c>
      <c r="P17" s="254">
        <f>'105'!B307</f>
        <v>0</v>
      </c>
      <c r="R17" s="244"/>
      <c r="S17" s="40" t="s">
        <v>169</v>
      </c>
      <c r="T17" s="40"/>
      <c r="U17" s="199">
        <f>'105'!A131</f>
        <v>0</v>
      </c>
      <c r="V17" s="251"/>
      <c r="W17" s="199">
        <f>'105'!A134</f>
        <v>0</v>
      </c>
      <c r="X17" s="182"/>
      <c r="Y17" s="199">
        <f>'105'!A137</f>
        <v>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'105'!A291</f>
        <v>0</v>
      </c>
      <c r="H18" s="179"/>
      <c r="I18" s="40"/>
      <c r="J18" s="244"/>
      <c r="K18" s="182" t="s">
        <v>107</v>
      </c>
      <c r="L18" s="40"/>
      <c r="M18" s="40"/>
      <c r="N18" s="40"/>
      <c r="O18" s="252">
        <f>'105'!A307</f>
        <v>0</v>
      </c>
      <c r="P18" s="179"/>
      <c r="R18" s="244"/>
      <c r="S18" s="259" t="s">
        <v>170</v>
      </c>
      <c r="T18" s="40"/>
      <c r="U18" s="199">
        <f>'105'!A132</f>
        <v>0</v>
      </c>
      <c r="V18" s="251"/>
      <c r="W18" s="199">
        <f>'105'!A135</f>
        <v>0</v>
      </c>
      <c r="X18" s="182"/>
      <c r="Y18" s="199">
        <f>'105'!A138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'105'!A292</f>
        <v>0</v>
      </c>
      <c r="H19" s="179"/>
      <c r="I19" s="40"/>
      <c r="J19" s="244"/>
      <c r="P19" s="179"/>
      <c r="R19" s="244"/>
      <c r="S19" s="40" t="s">
        <v>18</v>
      </c>
      <c r="T19" s="40"/>
      <c r="U19" s="199">
        <f>'105'!A133</f>
        <v>0</v>
      </c>
      <c r="V19" s="251"/>
      <c r="W19" s="199">
        <f>'105'!A136</f>
        <v>0</v>
      </c>
      <c r="X19" s="182"/>
      <c r="Y19" s="199">
        <f>'105'!A139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'105'!A293</f>
        <v>0</v>
      </c>
      <c r="H20" s="179"/>
      <c r="I20" s="40"/>
      <c r="J20" s="244"/>
      <c r="K20" s="40" t="s">
        <v>138</v>
      </c>
      <c r="L20" s="40"/>
      <c r="M20" s="40"/>
      <c r="N20" s="40"/>
      <c r="O20" s="196">
        <f>'105'!A308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'105'!A294</f>
        <v>0</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'105'!A141</f>
        <v>0</v>
      </c>
      <c r="V22" s="251"/>
      <c r="W22" s="199">
        <f>'105'!A144</f>
        <v>0</v>
      </c>
      <c r="X22" s="182"/>
      <c r="Y22" s="199">
        <f>'105'!A147</f>
        <v>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'105'!A301</f>
        <v>0</v>
      </c>
      <c r="H23" s="205"/>
      <c r="I23" s="40"/>
      <c r="R23" s="244"/>
      <c r="S23" s="259" t="s">
        <v>170</v>
      </c>
      <c r="T23" s="40"/>
      <c r="U23" s="199">
        <f>'105'!A142</f>
        <v>0</v>
      </c>
      <c r="V23" s="251"/>
      <c r="W23" s="199">
        <f>'105'!A145</f>
        <v>0</v>
      </c>
      <c r="X23" s="182"/>
      <c r="Y23" s="199">
        <f>'105'!A148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'105'!A302</f>
        <v>0</v>
      </c>
      <c r="H24" s="260">
        <f>'105'!B302</f>
        <v>0</v>
      </c>
      <c r="I24" s="40"/>
      <c r="J24" s="243"/>
      <c r="K24" s="227"/>
      <c r="L24" s="227"/>
      <c r="M24" s="227"/>
      <c r="N24" s="188"/>
      <c r="O24" s="188"/>
      <c r="P24" s="237"/>
      <c r="R24" s="244"/>
      <c r="S24" s="40" t="s">
        <v>18</v>
      </c>
      <c r="T24" s="40"/>
      <c r="U24" s="199">
        <f>'105'!A143</f>
        <v>0</v>
      </c>
      <c r="V24" s="251"/>
      <c r="W24" s="199">
        <f>'105'!A146</f>
        <v>0</v>
      </c>
      <c r="X24" s="182"/>
      <c r="Y24" s="199">
        <f>'105'!A149</f>
        <v>0</v>
      </c>
      <c r="Z24" s="182"/>
      <c r="AA24" s="179"/>
      <c r="AC24" s="40"/>
      <c r="AD24" s="40"/>
      <c r="AE24" s="40"/>
      <c r="AF24" s="196"/>
      <c r="AG24" s="182"/>
      <c r="AH24" s="196"/>
      <c r="AI24" s="182"/>
      <c r="AJ24" s="196"/>
      <c r="AK24" s="182"/>
      <c r="AL24" s="40"/>
    </row>
    <row r="25" spans="2:38" ht="12" x14ac:dyDescent="0.25">
      <c r="B25" s="244"/>
      <c r="C25" s="182" t="s">
        <v>107</v>
      </c>
      <c r="G25" s="196">
        <f>'105'!A303</f>
        <v>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G19*'105'!A75-G24</f>
        <v>0</v>
      </c>
      <c r="H26" s="179"/>
      <c r="I26" s="40"/>
      <c r="J26" s="244"/>
      <c r="K26" s="182" t="s">
        <v>142</v>
      </c>
      <c r="L26" s="40"/>
      <c r="M26" s="253">
        <f>'105'!A321</f>
        <v>0</v>
      </c>
      <c r="N26" s="253">
        <f>'105'!A322</f>
        <v>0</v>
      </c>
      <c r="O26" s="196">
        <f>IF('105'!A327&gt;0,1,0)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'105'!A304</f>
        <v>0</v>
      </c>
      <c r="H27" s="179"/>
      <c r="I27" s="40"/>
      <c r="J27" s="244"/>
      <c r="K27" s="182" t="s">
        <v>143</v>
      </c>
      <c r="L27" s="40"/>
      <c r="M27" s="253">
        <f>'105'!A323</f>
        <v>0</v>
      </c>
      <c r="N27" s="253">
        <f>'105'!A324</f>
        <v>0</v>
      </c>
      <c r="O27" s="196"/>
      <c r="P27" s="261"/>
      <c r="R27" s="244"/>
      <c r="S27" s="40" t="s">
        <v>169</v>
      </c>
      <c r="T27" s="40"/>
      <c r="U27" s="199">
        <f>'105'!A151</f>
        <v>0</v>
      </c>
      <c r="V27" s="251"/>
      <c r="W27" s="199">
        <f>'105'!A154</f>
        <v>0</v>
      </c>
      <c r="X27" s="182"/>
      <c r="Y27" s="199">
        <f>'105'!A157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'105'!A152</f>
        <v>0</v>
      </c>
      <c r="V28" s="251"/>
      <c r="W28" s="199">
        <f>'105'!A155</f>
        <v>0</v>
      </c>
      <c r="X28" s="182"/>
      <c r="Y28" s="199">
        <f>'105'!A158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'105'!A311</f>
        <v>0</v>
      </c>
      <c r="H30" s="179"/>
      <c r="I30" s="40"/>
      <c r="J30" s="244"/>
      <c r="K30" s="182" t="s">
        <v>146</v>
      </c>
      <c r="L30" s="40"/>
      <c r="M30" s="255">
        <f>'105'!A325</f>
        <v>0</v>
      </c>
      <c r="N30" s="255">
        <f>'105'!A326</f>
        <v>0</v>
      </c>
      <c r="O30" s="193">
        <f>IF('105'!A328&gt;0,1,0)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1000*'105'!A57+'105'!A312</f>
        <v>0</v>
      </c>
      <c r="H31" s="179"/>
      <c r="I31" s="40"/>
      <c r="J31" s="245"/>
      <c r="K31" s="214"/>
      <c r="L31" s="214"/>
      <c r="M31" s="214"/>
      <c r="N31" s="214"/>
      <c r="O31" s="214"/>
      <c r="P31" s="229"/>
      <c r="R31" s="244"/>
      <c r="S31" s="40" t="s">
        <v>169</v>
      </c>
      <c r="T31" s="40"/>
      <c r="U31" s="199">
        <f>'105'!A161</f>
        <v>0</v>
      </c>
      <c r="V31" s="251"/>
      <c r="W31" s="199">
        <f>'105'!A164</f>
        <v>0</v>
      </c>
      <c r="X31" s="182"/>
      <c r="Y31" s="199">
        <f>'105'!A167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'105'!A313</f>
        <v>0</v>
      </c>
      <c r="H32" s="179"/>
      <c r="I32" s="40"/>
      <c r="M32" s="175" t="s">
        <v>0</v>
      </c>
      <c r="R32" s="244"/>
      <c r="S32" s="259" t="s">
        <v>170</v>
      </c>
      <c r="T32" s="40"/>
      <c r="U32" s="199">
        <f>'105'!A162</f>
        <v>0</v>
      </c>
      <c r="V32" s="251"/>
      <c r="W32" s="199">
        <f>'105'!A165</f>
        <v>0</v>
      </c>
      <c r="X32" s="182"/>
      <c r="Y32" s="199">
        <f>'105'!A168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'105'!A314</f>
        <v>0</v>
      </c>
      <c r="H33" s="263">
        <f>'105'!B313</f>
        <v>0</v>
      </c>
      <c r="I33" s="40"/>
      <c r="M33" s="40"/>
      <c r="R33" s="244"/>
      <c r="S33" s="40" t="s">
        <v>18</v>
      </c>
      <c r="T33" s="40"/>
      <c r="U33" s="199">
        <f>'105'!A163</f>
        <v>0</v>
      </c>
      <c r="V33" s="251"/>
      <c r="W33" s="199">
        <f>'105'!A166</f>
        <v>0</v>
      </c>
      <c r="X33" s="182"/>
      <c r="Y33" s="199">
        <f>'105'!A169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'105'!A315</f>
        <v>0</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'105'!A316</f>
        <v>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'105'!A295</f>
        <v>0</v>
      </c>
      <c r="N36" s="199">
        <f>'105'!A297</f>
        <v>0</v>
      </c>
      <c r="O36" s="253">
        <f>'105'!A299</f>
        <v>0</v>
      </c>
      <c r="P36" s="179"/>
      <c r="R36" s="244"/>
      <c r="S36" s="247" t="s">
        <v>174</v>
      </c>
      <c r="T36" s="264"/>
      <c r="U36" s="196">
        <f>'105'!A171</f>
        <v>0</v>
      </c>
      <c r="V36" s="254">
        <f>'105'!B171</f>
        <v>0</v>
      </c>
      <c r="W36" s="196">
        <f>'105'!A172</f>
        <v>0</v>
      </c>
      <c r="X36" s="254">
        <f>'105'!B172</f>
        <v>0</v>
      </c>
      <c r="Y36" s="196">
        <f>'105'!A173</f>
        <v>0</v>
      </c>
      <c r="Z36" s="184">
        <f>'105'!B173</f>
        <v>0</v>
      </c>
      <c r="AA36" s="179"/>
      <c r="AC36" s="40"/>
      <c r="AD36" s="247"/>
      <c r="AE36" s="247"/>
      <c r="AF36" s="196"/>
      <c r="AG36" s="184"/>
      <c r="AH36" s="196"/>
      <c r="AI36" s="184"/>
      <c r="AJ36" s="196"/>
      <c r="AK36" s="184"/>
      <c r="AL36" s="40"/>
    </row>
    <row r="37" spans="2:38" x14ac:dyDescent="0.2">
      <c r="B37" s="244"/>
      <c r="C37" s="40" t="s">
        <v>118</v>
      </c>
      <c r="D37" s="40"/>
      <c r="E37" s="40"/>
      <c r="F37" s="40"/>
      <c r="G37" s="196">
        <f>1000*'105'!A58</f>
        <v>0</v>
      </c>
      <c r="H37" s="179"/>
      <c r="I37" s="40"/>
      <c r="J37" s="244"/>
      <c r="K37" s="40" t="s">
        <v>149</v>
      </c>
      <c r="L37" s="40"/>
      <c r="M37" s="255">
        <f>'105'!A296</f>
        <v>0</v>
      </c>
      <c r="N37" s="255">
        <f>'105'!A298</f>
        <v>0</v>
      </c>
      <c r="O37" s="255">
        <f>'105'!A300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'105'!A317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1000*'105'!A59</f>
        <v>0</v>
      </c>
      <c r="H39" s="179"/>
      <c r="I39" s="40"/>
      <c r="R39" s="244"/>
      <c r="S39" s="247" t="s">
        <v>175</v>
      </c>
      <c r="T39" s="247"/>
      <c r="U39" s="266">
        <f>'105'!A177</f>
        <v>0</v>
      </c>
      <c r="V39" s="251"/>
      <c r="W39" s="266">
        <f>'105'!A178</f>
        <v>0</v>
      </c>
      <c r="X39" s="182"/>
      <c r="Y39" s="266">
        <f>'105'!A179</f>
        <v>0</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'105'!A318</f>
        <v>0</v>
      </c>
      <c r="H42" s="179"/>
      <c r="I42" s="40"/>
      <c r="J42" s="244"/>
      <c r="K42" s="215" t="s">
        <v>150</v>
      </c>
      <c r="N42" s="177" t="s">
        <v>154</v>
      </c>
      <c r="P42" s="179"/>
      <c r="R42" s="244"/>
      <c r="S42" s="269" t="s">
        <v>177</v>
      </c>
      <c r="T42" s="40"/>
      <c r="U42" s="199">
        <f>'105'!A181</f>
        <v>0</v>
      </c>
      <c r="V42" s="251"/>
      <c r="W42" s="196">
        <f>'105'!A182</f>
        <v>0</v>
      </c>
      <c r="X42" s="182"/>
      <c r="Y42" s="199">
        <f>'105'!A183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'105'!A319</f>
        <v>0</v>
      </c>
      <c r="H43" s="179"/>
      <c r="I43" s="40"/>
      <c r="J43" s="244"/>
      <c r="K43" s="175" t="s">
        <v>151</v>
      </c>
      <c r="N43" s="271">
        <f>0.00019*50*G10</f>
        <v>0</v>
      </c>
      <c r="P43" s="179"/>
      <c r="R43" s="244"/>
      <c r="S43" s="269" t="s">
        <v>178</v>
      </c>
      <c r="T43" s="40"/>
      <c r="U43" s="199">
        <f>'105'!A54</f>
        <v>0</v>
      </c>
      <c r="V43" s="251"/>
      <c r="W43" s="199">
        <f>'105'!A55</f>
        <v>0</v>
      </c>
      <c r="X43" s="182"/>
      <c r="Y43" s="199">
        <f>'105'!A56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100-'105'!A320/10</f>
        <v>100</v>
      </c>
      <c r="H44" s="179"/>
      <c r="I44" s="40"/>
      <c r="J44" s="244"/>
      <c r="K44" s="175" t="s">
        <v>152</v>
      </c>
      <c r="N44" s="272">
        <f>0.00052*(6*G25+O18)</f>
        <v>0</v>
      </c>
      <c r="P44" s="179"/>
      <c r="R44" s="244"/>
      <c r="S44" s="269" t="s">
        <v>179</v>
      </c>
      <c r="T44" s="40"/>
      <c r="U44" s="199">
        <f>'105'!A184</f>
        <v>0</v>
      </c>
      <c r="V44" s="251"/>
      <c r="W44" s="196">
        <f>'105'!A185</f>
        <v>0</v>
      </c>
      <c r="X44" s="182"/>
      <c r="Y44" s="199">
        <f>'105'!A186</f>
        <v>0</v>
      </c>
      <c r="Z44" s="182"/>
      <c r="AA44" s="179"/>
      <c r="AC44" s="40"/>
      <c r="AD44" s="269"/>
      <c r="AE44" s="40"/>
      <c r="AF44" s="196"/>
      <c r="AG44" s="182"/>
      <c r="AH44" s="196"/>
      <c r="AI44" s="182"/>
      <c r="AJ44" s="196"/>
      <c r="AK44" s="182"/>
      <c r="AL44" s="40"/>
    </row>
    <row r="45" spans="2:38" x14ac:dyDescent="0.2">
      <c r="B45" s="244"/>
      <c r="C45" s="44" t="s">
        <v>125</v>
      </c>
      <c r="G45" s="175">
        <f>'105'!A329</f>
        <v>0</v>
      </c>
      <c r="H45" s="179"/>
      <c r="I45" s="40"/>
      <c r="J45" s="244"/>
      <c r="K45" s="175" t="s">
        <v>153</v>
      </c>
      <c r="N45" s="271">
        <f>N43+N44</f>
        <v>0</v>
      </c>
      <c r="P45" s="179"/>
      <c r="R45" s="244"/>
      <c r="S45" s="269" t="s">
        <v>180</v>
      </c>
      <c r="T45" s="40"/>
      <c r="U45" s="199">
        <f>'105'!A187</f>
        <v>0</v>
      </c>
      <c r="V45" s="251"/>
      <c r="W45" s="196">
        <f>'105'!A188</f>
        <v>0</v>
      </c>
      <c r="X45" s="182"/>
      <c r="Y45" s="199">
        <f>'105'!A189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9">
    <tabColor theme="5" tint="-0.499984740745262"/>
    <pageSetUpPr fitToPage="1"/>
  </sheetPr>
  <dimension ref="A1:Z59"/>
  <sheetViews>
    <sheetView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'105'!A1</f>
        <v>0</v>
      </c>
      <c r="F1" s="512" t="s">
        <v>285</v>
      </c>
      <c r="G1" s="175"/>
      <c r="I1" s="172">
        <f>'105'!A2</f>
        <v>0</v>
      </c>
      <c r="J1" s="175"/>
      <c r="K1" s="175"/>
      <c r="L1" s="175"/>
      <c r="M1" s="513" t="s">
        <v>284</v>
      </c>
      <c r="N1" s="175"/>
      <c r="O1" s="175"/>
      <c r="P1" s="175"/>
      <c r="Q1" s="175"/>
      <c r="S1" s="175"/>
      <c r="U1" s="170" t="s">
        <v>81</v>
      </c>
      <c r="V1" s="172">
        <f>'105'!A4</f>
        <v>0</v>
      </c>
      <c r="W1" s="171" t="s">
        <v>80</v>
      </c>
      <c r="X1" s="172">
        <f>'105'!A5</f>
        <v>0</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'105'!A201</f>
        <v>0</v>
      </c>
      <c r="G8" s="283"/>
      <c r="H8" s="45"/>
      <c r="I8" s="45" t="s">
        <v>207</v>
      </c>
      <c r="J8" s="45"/>
      <c r="K8" s="45"/>
      <c r="L8" s="286">
        <f>'105'!A241</f>
        <v>0</v>
      </c>
      <c r="M8" s="283"/>
      <c r="N8" s="45"/>
      <c r="O8" s="268" t="s">
        <v>234</v>
      </c>
      <c r="P8" s="268"/>
      <c r="Q8" s="45"/>
      <c r="R8" s="45"/>
      <c r="S8" s="283"/>
      <c r="T8" s="45"/>
      <c r="U8" s="290" t="s">
        <v>260</v>
      </c>
      <c r="Y8" s="283"/>
    </row>
    <row r="9" spans="2:26" ht="12" x14ac:dyDescent="0.3">
      <c r="B9" s="281"/>
      <c r="C9" s="325" t="s">
        <v>184</v>
      </c>
      <c r="D9" s="45"/>
      <c r="E9" s="45"/>
      <c r="F9" s="286">
        <f>'105'!A202</f>
        <v>0</v>
      </c>
      <c r="G9" s="283"/>
      <c r="H9" s="45"/>
      <c r="I9" s="45"/>
      <c r="J9" s="45"/>
      <c r="K9" s="45"/>
      <c r="L9" s="286"/>
      <c r="M9" s="283"/>
      <c r="N9" s="45"/>
      <c r="O9" s="242" t="s">
        <v>235</v>
      </c>
      <c r="Q9" s="289"/>
      <c r="R9" s="289">
        <f>'105'!A261</f>
        <v>0</v>
      </c>
      <c r="S9" s="283"/>
      <c r="T9" s="45"/>
      <c r="U9" s="45" t="s">
        <v>261</v>
      </c>
      <c r="V9" s="45"/>
      <c r="W9" s="45"/>
      <c r="X9" s="286">
        <f>'105'!A221</f>
        <v>0</v>
      </c>
      <c r="Y9" s="283"/>
    </row>
    <row r="10" spans="2:26" x14ac:dyDescent="0.2">
      <c r="B10" s="281"/>
      <c r="C10" s="45" t="s">
        <v>185</v>
      </c>
      <c r="D10" s="45"/>
      <c r="E10" s="45"/>
      <c r="F10" s="286">
        <f>'105'!A203</f>
        <v>0</v>
      </c>
      <c r="G10" s="283"/>
      <c r="H10" s="45"/>
      <c r="I10" s="45" t="s">
        <v>208</v>
      </c>
      <c r="J10" s="45"/>
      <c r="K10" s="45"/>
      <c r="L10" s="286">
        <f>'105'!A242</f>
        <v>0</v>
      </c>
      <c r="M10" s="283"/>
      <c r="N10" s="45"/>
      <c r="O10" s="45" t="s">
        <v>236</v>
      </c>
      <c r="P10" s="45"/>
      <c r="Q10" s="289"/>
      <c r="R10" s="289">
        <f>'105'!A262</f>
        <v>0</v>
      </c>
      <c r="S10" s="283"/>
      <c r="T10" s="45"/>
      <c r="U10" s="45" t="s">
        <v>220</v>
      </c>
      <c r="V10" s="45"/>
      <c r="W10" s="45"/>
      <c r="X10" s="286">
        <f>'105'!A222</f>
        <v>0</v>
      </c>
      <c r="Y10" s="283"/>
    </row>
    <row r="11" spans="2:26" x14ac:dyDescent="0.2">
      <c r="B11" s="281"/>
      <c r="C11" s="45" t="s">
        <v>186</v>
      </c>
      <c r="D11" s="45"/>
      <c r="E11" s="45"/>
      <c r="F11" s="286">
        <f>'105'!A204</f>
        <v>0</v>
      </c>
      <c r="G11" s="283"/>
      <c r="H11" s="45"/>
      <c r="I11" s="287" t="s">
        <v>209</v>
      </c>
      <c r="L11" s="286">
        <f>'105'!A243</f>
        <v>0</v>
      </c>
      <c r="M11" s="283"/>
      <c r="N11" s="45"/>
      <c r="O11" s="45" t="s">
        <v>237</v>
      </c>
      <c r="P11" s="45"/>
      <c r="Q11" s="45"/>
      <c r="R11" s="292">
        <f>'105'!A263</f>
        <v>0</v>
      </c>
      <c r="S11" s="283"/>
      <c r="T11" s="45"/>
      <c r="U11" s="45" t="s">
        <v>262</v>
      </c>
      <c r="V11" s="45"/>
      <c r="W11" s="45"/>
      <c r="X11" s="286">
        <f>'105'!A223</f>
        <v>0</v>
      </c>
      <c r="Y11" s="283"/>
    </row>
    <row r="12" spans="2:26" x14ac:dyDescent="0.2">
      <c r="B12" s="281"/>
      <c r="C12" s="45" t="s">
        <v>187</v>
      </c>
      <c r="D12" s="45"/>
      <c r="E12" s="45"/>
      <c r="F12" s="286">
        <f>'105'!A205</f>
        <v>0</v>
      </c>
      <c r="G12" s="283"/>
      <c r="H12" s="45"/>
      <c r="I12" s="45" t="s">
        <v>210</v>
      </c>
      <c r="J12" s="45"/>
      <c r="K12" s="45"/>
      <c r="L12" s="286">
        <f>'105'!A244</f>
        <v>0</v>
      </c>
      <c r="M12" s="283"/>
      <c r="N12" s="45"/>
      <c r="O12" s="45" t="s">
        <v>238</v>
      </c>
      <c r="P12" s="45"/>
      <c r="Q12" s="45"/>
      <c r="R12" s="286">
        <f>SUM(R9:R11)</f>
        <v>0</v>
      </c>
      <c r="S12" s="283"/>
      <c r="T12" s="45"/>
      <c r="U12" s="45" t="s">
        <v>263</v>
      </c>
      <c r="V12" s="45"/>
      <c r="W12" s="45"/>
      <c r="X12" s="288">
        <f>'105'!A224</f>
        <v>0</v>
      </c>
      <c r="Y12" s="283"/>
    </row>
    <row r="13" spans="2:26" x14ac:dyDescent="0.2">
      <c r="B13" s="281"/>
      <c r="C13" s="45" t="s">
        <v>188</v>
      </c>
      <c r="D13" s="45"/>
      <c r="E13" s="45"/>
      <c r="F13" s="286">
        <f>'105'!A206</f>
        <v>0</v>
      </c>
      <c r="G13" s="283"/>
      <c r="H13" s="45"/>
      <c r="I13" s="45" t="s">
        <v>211</v>
      </c>
      <c r="J13" s="45"/>
      <c r="K13" s="45"/>
      <c r="L13" s="286">
        <f>'105'!A245</f>
        <v>0</v>
      </c>
      <c r="M13" s="283"/>
      <c r="N13" s="45"/>
      <c r="S13" s="283"/>
      <c r="T13" s="45"/>
      <c r="U13" s="287" t="s">
        <v>264</v>
      </c>
      <c r="X13" s="289">
        <f>X9+X10-X11-X12</f>
        <v>0</v>
      </c>
      <c r="Y13" s="283"/>
    </row>
    <row r="14" spans="2:26" x14ac:dyDescent="0.2">
      <c r="B14" s="281"/>
      <c r="C14" s="45" t="s">
        <v>189</v>
      </c>
      <c r="D14" s="45"/>
      <c r="E14" s="45"/>
      <c r="F14" s="286">
        <f>'105'!A207</f>
        <v>0</v>
      </c>
      <c r="G14" s="283"/>
      <c r="H14" s="45"/>
      <c r="I14" s="45" t="s">
        <v>212</v>
      </c>
      <c r="J14" s="45"/>
      <c r="K14" s="45"/>
      <c r="L14" s="286">
        <f>'105'!A246</f>
        <v>0</v>
      </c>
      <c r="M14" s="283"/>
      <c r="N14" s="45"/>
      <c r="O14" s="290" t="s">
        <v>239</v>
      </c>
      <c r="S14" s="283"/>
      <c r="T14" s="45"/>
      <c r="Y14" s="283"/>
    </row>
    <row r="15" spans="2:26" ht="12" x14ac:dyDescent="0.3">
      <c r="B15" s="281"/>
      <c r="C15" s="325" t="s">
        <v>190</v>
      </c>
      <c r="D15" s="45"/>
      <c r="E15" s="45"/>
      <c r="F15" s="286">
        <f>'105'!A208</f>
        <v>0</v>
      </c>
      <c r="G15" s="283"/>
      <c r="H15" s="45"/>
      <c r="I15" s="45" t="s">
        <v>213</v>
      </c>
      <c r="J15" s="45"/>
      <c r="K15" s="45"/>
      <c r="L15" s="286">
        <f>'105'!A247</f>
        <v>0</v>
      </c>
      <c r="M15" s="283"/>
      <c r="N15" s="45"/>
      <c r="O15" s="45" t="s">
        <v>240</v>
      </c>
      <c r="P15" s="45"/>
      <c r="Q15" s="45"/>
      <c r="R15" s="286">
        <f>'105'!A265</f>
        <v>0</v>
      </c>
      <c r="S15" s="283"/>
      <c r="T15" s="45"/>
      <c r="U15" s="290" t="s">
        <v>265</v>
      </c>
      <c r="Y15" s="283"/>
    </row>
    <row r="16" spans="2:26" x14ac:dyDescent="0.2">
      <c r="B16" s="281"/>
      <c r="C16" s="45" t="s">
        <v>191</v>
      </c>
      <c r="D16" s="45"/>
      <c r="E16" s="45"/>
      <c r="F16" s="286">
        <f>'105'!A209</f>
        <v>0</v>
      </c>
      <c r="G16" s="283"/>
      <c r="H16" s="45"/>
      <c r="I16" s="45" t="s">
        <v>214</v>
      </c>
      <c r="J16" s="45"/>
      <c r="K16" s="45"/>
      <c r="L16" s="286">
        <f>'105'!A248</f>
        <v>0</v>
      </c>
      <c r="M16" s="283"/>
      <c r="N16" s="45"/>
      <c r="O16" s="287" t="s">
        <v>241</v>
      </c>
      <c r="R16" s="286">
        <f>'105'!A266</f>
        <v>0</v>
      </c>
      <c r="S16" s="283"/>
      <c r="T16" s="45"/>
      <c r="U16" s="45" t="s">
        <v>266</v>
      </c>
      <c r="V16" s="45"/>
      <c r="W16" s="45"/>
      <c r="X16" s="286">
        <f>'105'!A225</f>
        <v>0</v>
      </c>
      <c r="Y16" s="283"/>
    </row>
    <row r="17" spans="2:25" x14ac:dyDescent="0.2">
      <c r="B17" s="281"/>
      <c r="C17" s="45" t="s">
        <v>192</v>
      </c>
      <c r="D17" s="45"/>
      <c r="E17" s="45"/>
      <c r="F17" s="286">
        <f>'105'!A210</f>
        <v>0</v>
      </c>
      <c r="G17" s="283"/>
      <c r="H17" s="45"/>
      <c r="I17" s="45" t="s">
        <v>215</v>
      </c>
      <c r="L17" s="286">
        <f>'105'!A249</f>
        <v>0</v>
      </c>
      <c r="M17" s="283"/>
      <c r="N17" s="45"/>
      <c r="O17" s="45" t="s">
        <v>242</v>
      </c>
      <c r="P17" s="45"/>
      <c r="Q17" s="45"/>
      <c r="R17" s="286">
        <f>'105'!A267</f>
        <v>0</v>
      </c>
      <c r="S17" s="283"/>
      <c r="T17" s="45"/>
      <c r="U17" s="45" t="s">
        <v>267</v>
      </c>
      <c r="X17" s="286">
        <f>'105'!A226</f>
        <v>0</v>
      </c>
      <c r="Y17" s="283"/>
    </row>
    <row r="18" spans="2:25" x14ac:dyDescent="0.2">
      <c r="B18" s="281"/>
      <c r="C18" s="45" t="s">
        <v>193</v>
      </c>
      <c r="D18" s="45"/>
      <c r="E18" s="45"/>
      <c r="F18" s="286">
        <f>'105'!A211</f>
        <v>0</v>
      </c>
      <c r="G18" s="283"/>
      <c r="H18" s="45"/>
      <c r="I18" s="43" t="s">
        <v>216</v>
      </c>
      <c r="J18" s="45"/>
      <c r="K18" s="45"/>
      <c r="L18" s="288">
        <f>'105'!A250</f>
        <v>0</v>
      </c>
      <c r="M18" s="283"/>
      <c r="N18" s="45"/>
      <c r="O18" s="45" t="s">
        <v>243</v>
      </c>
      <c r="P18" s="45"/>
      <c r="Q18" s="45"/>
      <c r="R18" s="286">
        <f>'105'!A268</f>
        <v>0</v>
      </c>
      <c r="S18" s="283"/>
      <c r="T18" s="45"/>
      <c r="U18" s="45" t="s">
        <v>268</v>
      </c>
      <c r="V18" s="45"/>
      <c r="W18" s="45"/>
      <c r="X18" s="288">
        <f>'105'!A227</f>
        <v>0</v>
      </c>
      <c r="Y18" s="283"/>
    </row>
    <row r="19" spans="2:25" x14ac:dyDescent="0.2">
      <c r="B19" s="281"/>
      <c r="C19" s="45" t="s">
        <v>194</v>
      </c>
      <c r="D19" s="45"/>
      <c r="E19" s="45"/>
      <c r="F19" s="286">
        <f>'105'!A212</f>
        <v>0</v>
      </c>
      <c r="G19" s="283"/>
      <c r="H19" s="45"/>
      <c r="I19" s="45" t="s">
        <v>217</v>
      </c>
      <c r="J19" s="45"/>
      <c r="K19" s="45"/>
      <c r="L19" s="291">
        <f>'105'!A251</f>
        <v>0</v>
      </c>
      <c r="M19" s="283"/>
      <c r="N19" s="45"/>
      <c r="O19" s="45" t="s">
        <v>244</v>
      </c>
      <c r="P19" s="45"/>
      <c r="Q19" s="45"/>
      <c r="R19" s="288">
        <f>'105'!A269</f>
        <v>0</v>
      </c>
      <c r="S19" s="283"/>
      <c r="T19" s="45"/>
      <c r="U19" s="287" t="s">
        <v>269</v>
      </c>
      <c r="X19" s="289">
        <f>X16+X17-X18</f>
        <v>0</v>
      </c>
      <c r="Y19" s="283"/>
    </row>
    <row r="20" spans="2:25" x14ac:dyDescent="0.2">
      <c r="B20" s="281"/>
      <c r="C20" s="45" t="s">
        <v>195</v>
      </c>
      <c r="D20" s="45"/>
      <c r="E20" s="45"/>
      <c r="F20" s="286">
        <f>'105'!A213</f>
        <v>0</v>
      </c>
      <c r="G20" s="283"/>
      <c r="H20" s="45"/>
      <c r="I20" s="45" t="s">
        <v>218</v>
      </c>
      <c r="J20" s="45"/>
      <c r="K20" s="45"/>
      <c r="L20" s="286">
        <f>'105'!A252</f>
        <v>0</v>
      </c>
      <c r="M20" s="283"/>
      <c r="N20" s="45"/>
      <c r="O20" s="287" t="s">
        <v>245</v>
      </c>
      <c r="R20" s="515">
        <f>SUM(R15:R19)</f>
        <v>0</v>
      </c>
      <c r="S20" s="283"/>
      <c r="T20" s="45"/>
      <c r="Y20" s="283"/>
    </row>
    <row r="21" spans="2:25" x14ac:dyDescent="0.2">
      <c r="B21" s="281"/>
      <c r="C21" s="45" t="s">
        <v>196</v>
      </c>
      <c r="D21" s="45"/>
      <c r="E21" s="45"/>
      <c r="F21" s="286">
        <f>'105'!A214</f>
        <v>0</v>
      </c>
      <c r="G21" s="283"/>
      <c r="H21" s="45"/>
      <c r="I21" s="45" t="s">
        <v>219</v>
      </c>
      <c r="J21" s="45"/>
      <c r="K21" s="45"/>
      <c r="L21" s="286">
        <f>'105'!A217</f>
        <v>0</v>
      </c>
      <c r="M21" s="283"/>
      <c r="N21" s="45"/>
      <c r="O21" s="45" t="s">
        <v>246</v>
      </c>
      <c r="P21" s="45"/>
      <c r="Q21" s="45"/>
      <c r="R21" s="286">
        <f>R12+R20</f>
        <v>0</v>
      </c>
      <c r="S21" s="283"/>
      <c r="T21" s="45"/>
      <c r="U21" s="290" t="s">
        <v>270</v>
      </c>
      <c r="Y21" s="283"/>
    </row>
    <row r="22" spans="2:25" x14ac:dyDescent="0.2">
      <c r="B22" s="281"/>
      <c r="C22" s="45" t="s">
        <v>197</v>
      </c>
      <c r="D22" s="45"/>
      <c r="E22" s="45"/>
      <c r="F22" s="286">
        <f>'105'!A215</f>
        <v>0</v>
      </c>
      <c r="G22" s="283"/>
      <c r="H22" s="45"/>
      <c r="I22" s="45" t="s">
        <v>220</v>
      </c>
      <c r="J22" s="45"/>
      <c r="K22" s="45"/>
      <c r="L22" s="286">
        <f>'105'!A222</f>
        <v>0</v>
      </c>
      <c r="M22" s="283"/>
      <c r="N22" s="45"/>
      <c r="S22" s="283"/>
      <c r="T22" s="45"/>
      <c r="U22" s="242" t="s">
        <v>271</v>
      </c>
      <c r="X22" s="286">
        <f>'105'!A228</f>
        <v>0</v>
      </c>
      <c r="Y22" s="283"/>
    </row>
    <row r="23" spans="2:25" x14ac:dyDescent="0.2">
      <c r="B23" s="281"/>
      <c r="C23" s="45" t="s">
        <v>198</v>
      </c>
      <c r="D23" s="45"/>
      <c r="E23" s="45"/>
      <c r="F23" s="288">
        <f>'105'!A216</f>
        <v>0</v>
      </c>
      <c r="G23" s="283"/>
      <c r="H23" s="45"/>
      <c r="I23" s="45" t="s">
        <v>221</v>
      </c>
      <c r="J23" s="45"/>
      <c r="K23" s="45"/>
      <c r="L23" s="292">
        <f>'105'!A254</f>
        <v>0</v>
      </c>
      <c r="M23" s="283"/>
      <c r="N23" s="45"/>
      <c r="O23" s="268" t="s">
        <v>247</v>
      </c>
      <c r="P23" s="45"/>
      <c r="Q23" s="45"/>
      <c r="R23" s="286"/>
      <c r="S23" s="283"/>
      <c r="T23" s="45"/>
      <c r="U23" s="242" t="s">
        <v>272</v>
      </c>
      <c r="V23" s="45"/>
      <c r="W23" s="45"/>
      <c r="X23" s="286">
        <f>'105'!A229</f>
        <v>0</v>
      </c>
      <c r="Y23" s="283"/>
    </row>
    <row r="24" spans="2:25" x14ac:dyDescent="0.2">
      <c r="B24" s="281"/>
      <c r="C24" s="45" t="s">
        <v>199</v>
      </c>
      <c r="D24" s="268"/>
      <c r="E24" s="45"/>
      <c r="F24" s="288">
        <f>'105'!A217</f>
        <v>0</v>
      </c>
      <c r="G24" s="283"/>
      <c r="H24" s="45"/>
      <c r="I24" s="287" t="s">
        <v>222</v>
      </c>
      <c r="L24" s="286">
        <f>L20-L21+L22-L23</f>
        <v>0</v>
      </c>
      <c r="M24" s="283"/>
      <c r="N24" s="45"/>
      <c r="O24" s="45" t="s">
        <v>248</v>
      </c>
      <c r="P24" s="45"/>
      <c r="Q24" s="45"/>
      <c r="R24" s="286">
        <f>'105'!A271</f>
        <v>0</v>
      </c>
      <c r="S24" s="283"/>
      <c r="T24" s="45"/>
      <c r="U24" s="45" t="s">
        <v>273</v>
      </c>
      <c r="V24" s="45"/>
      <c r="W24" s="45"/>
      <c r="X24" s="286">
        <f>'105'!A230</f>
        <v>0</v>
      </c>
      <c r="Y24" s="283"/>
    </row>
    <row r="25" spans="2:25" ht="12" x14ac:dyDescent="0.3">
      <c r="B25" s="281"/>
      <c r="C25" s="45"/>
      <c r="F25" s="293"/>
      <c r="G25" s="283"/>
      <c r="H25" s="45"/>
      <c r="I25" s="45" t="s">
        <v>223</v>
      </c>
      <c r="J25" s="45"/>
      <c r="K25" s="45"/>
      <c r="L25" s="286">
        <f>'105'!A225</f>
        <v>0</v>
      </c>
      <c r="M25" s="283"/>
      <c r="N25" s="45"/>
      <c r="O25" s="325" t="s">
        <v>249</v>
      </c>
      <c r="P25" s="45"/>
      <c r="Q25" s="45"/>
      <c r="R25" s="286">
        <f>'105'!A272</f>
        <v>0</v>
      </c>
      <c r="S25" s="283"/>
      <c r="T25" s="45"/>
      <c r="U25" s="45" t="s">
        <v>274</v>
      </c>
      <c r="V25" s="45"/>
      <c r="W25" s="45"/>
      <c r="X25" s="286">
        <f>'105'!A231</f>
        <v>0</v>
      </c>
      <c r="Y25" s="283"/>
    </row>
    <row r="26" spans="2:25" x14ac:dyDescent="0.2">
      <c r="B26" s="281"/>
      <c r="C26" s="326" t="s">
        <v>200</v>
      </c>
      <c r="D26" s="45"/>
      <c r="E26" s="45"/>
      <c r="F26" s="286"/>
      <c r="G26" s="283"/>
      <c r="H26" s="45"/>
      <c r="I26" s="45" t="s">
        <v>224</v>
      </c>
      <c r="J26" s="45"/>
      <c r="K26" s="45"/>
      <c r="L26" s="288">
        <f>'105'!A232</f>
        <v>0</v>
      </c>
      <c r="M26" s="283"/>
      <c r="N26" s="45"/>
      <c r="O26" s="45" t="s">
        <v>250</v>
      </c>
      <c r="P26" s="45"/>
      <c r="Q26" s="45"/>
      <c r="R26" s="288">
        <f>'105'!A273</f>
        <v>0</v>
      </c>
      <c r="S26" s="283"/>
      <c r="T26" s="45"/>
      <c r="U26" s="45" t="s">
        <v>275</v>
      </c>
      <c r="V26" s="45"/>
      <c r="W26" s="45"/>
      <c r="X26" s="288">
        <f>'105'!A232</f>
        <v>0</v>
      </c>
      <c r="Y26" s="283"/>
    </row>
    <row r="27" spans="2:25" x14ac:dyDescent="0.2">
      <c r="B27" s="281"/>
      <c r="C27" s="287" t="s">
        <v>201</v>
      </c>
      <c r="D27" s="45"/>
      <c r="E27" s="45"/>
      <c r="F27" s="289">
        <f>L27</f>
        <v>0</v>
      </c>
      <c r="G27" s="283"/>
      <c r="H27" s="45"/>
      <c r="I27" s="287" t="s">
        <v>225</v>
      </c>
      <c r="J27" s="45"/>
      <c r="K27" s="45"/>
      <c r="L27" s="289">
        <f>L24+L25-L26</f>
        <v>0</v>
      </c>
      <c r="M27" s="283"/>
      <c r="N27" s="45"/>
      <c r="O27" s="43" t="s">
        <v>251</v>
      </c>
      <c r="P27" s="45"/>
      <c r="Q27" s="45"/>
      <c r="R27" s="286">
        <f>SUM(R24:R26)</f>
        <v>0</v>
      </c>
      <c r="S27" s="283"/>
      <c r="T27" s="45"/>
      <c r="U27" s="287" t="s">
        <v>276</v>
      </c>
      <c r="X27" s="289">
        <f>X22-X23-X24+X25-X26</f>
        <v>0</v>
      </c>
      <c r="Y27" s="283"/>
    </row>
    <row r="28" spans="2:25" x14ac:dyDescent="0.2">
      <c r="B28" s="281"/>
      <c r="C28" s="287" t="s">
        <v>202</v>
      </c>
      <c r="D28" s="45"/>
      <c r="E28" s="45"/>
      <c r="F28" s="288">
        <f>'105'!A240</f>
        <v>0</v>
      </c>
      <c r="G28" s="283"/>
      <c r="H28" s="45"/>
      <c r="I28" s="45" t="s">
        <v>226</v>
      </c>
      <c r="J28" s="45"/>
      <c r="K28" s="45"/>
      <c r="L28" s="288">
        <f>'105'!A255</f>
        <v>0</v>
      </c>
      <c r="M28" s="283"/>
      <c r="N28" s="45"/>
      <c r="O28" s="45" t="s">
        <v>252</v>
      </c>
      <c r="P28" s="45"/>
      <c r="Q28" s="45"/>
      <c r="R28" s="286">
        <f>'105'!A274</f>
        <v>0</v>
      </c>
      <c r="S28" s="283"/>
      <c r="X28" s="294"/>
      <c r="Y28" s="283"/>
    </row>
    <row r="29" spans="2:25" x14ac:dyDescent="0.2">
      <c r="B29" s="281"/>
      <c r="C29" s="287" t="s">
        <v>203</v>
      </c>
      <c r="F29" s="289">
        <f>'105'!A257</f>
        <v>0</v>
      </c>
      <c r="G29" s="283"/>
      <c r="H29" s="45"/>
      <c r="I29" s="45" t="s">
        <v>227</v>
      </c>
      <c r="J29" s="45"/>
      <c r="K29" s="45"/>
      <c r="L29" s="286">
        <f>'105'!A256</f>
        <v>0</v>
      </c>
      <c r="M29" s="283"/>
      <c r="N29" s="45"/>
      <c r="S29" s="283"/>
      <c r="U29" s="45" t="s">
        <v>277</v>
      </c>
      <c r="V29" s="45"/>
      <c r="W29" s="45"/>
      <c r="X29" s="289">
        <f>'105'!A233</f>
        <v>0</v>
      </c>
      <c r="Y29" s="283"/>
    </row>
    <row r="30" spans="2:25" x14ac:dyDescent="0.2">
      <c r="B30" s="281"/>
      <c r="C30" s="45"/>
      <c r="G30" s="283"/>
      <c r="H30" s="45"/>
      <c r="I30" s="287" t="s">
        <v>228</v>
      </c>
      <c r="L30" s="295">
        <f>IF(R33&gt;0,100*L29/R33,0)</f>
        <v>0</v>
      </c>
      <c r="M30" s="283"/>
      <c r="N30" s="45"/>
      <c r="O30" s="45" t="s">
        <v>253</v>
      </c>
      <c r="P30" s="45"/>
      <c r="Q30" s="45"/>
      <c r="R30" s="286">
        <f>R21-R27-R28</f>
        <v>0</v>
      </c>
      <c r="S30" s="283"/>
      <c r="U30" s="287" t="s">
        <v>278</v>
      </c>
      <c r="V30" s="45"/>
      <c r="W30" s="45"/>
      <c r="X30" s="292">
        <f>'105'!A234</f>
        <v>0</v>
      </c>
      <c r="Y30" s="283"/>
    </row>
    <row r="31" spans="2:25" x14ac:dyDescent="0.2">
      <c r="B31" s="281"/>
      <c r="C31" s="45"/>
      <c r="G31" s="283"/>
      <c r="H31" s="45"/>
      <c r="M31" s="283"/>
      <c r="N31" s="45"/>
      <c r="S31" s="283"/>
      <c r="U31" s="287" t="s">
        <v>279</v>
      </c>
      <c r="X31" s="45">
        <f>R19-R26</f>
        <v>0</v>
      </c>
      <c r="Y31" s="283"/>
    </row>
    <row r="32" spans="2:25" x14ac:dyDescent="0.2">
      <c r="B32" s="281"/>
      <c r="G32" s="283"/>
      <c r="H32" s="45"/>
      <c r="I32" s="43" t="s">
        <v>229</v>
      </c>
      <c r="J32" s="45"/>
      <c r="K32" s="45"/>
      <c r="L32" s="288">
        <f>'105'!A230</f>
        <v>0</v>
      </c>
      <c r="M32" s="283"/>
      <c r="N32" s="45"/>
      <c r="O32" s="290" t="s">
        <v>254</v>
      </c>
      <c r="S32" s="283"/>
      <c r="U32" s="242" t="s">
        <v>280</v>
      </c>
      <c r="X32" s="289">
        <f>'105'!A270</f>
        <v>0</v>
      </c>
      <c r="Y32" s="296" t="s">
        <v>9</v>
      </c>
    </row>
    <row r="33" spans="1:25" x14ac:dyDescent="0.2">
      <c r="B33" s="281"/>
      <c r="C33" s="45" t="s">
        <v>204</v>
      </c>
      <c r="D33" s="45"/>
      <c r="E33" s="45"/>
      <c r="F33" s="286">
        <f>'105'!A219</f>
        <v>0</v>
      </c>
      <c r="G33" s="283"/>
      <c r="H33" s="45"/>
      <c r="I33" s="45" t="s">
        <v>230</v>
      </c>
      <c r="J33" s="45"/>
      <c r="K33" s="45"/>
      <c r="L33" s="286">
        <f>L29-L32</f>
        <v>0</v>
      </c>
      <c r="M33" s="283"/>
      <c r="O33" s="43" t="s">
        <v>255</v>
      </c>
      <c r="P33" s="45"/>
      <c r="Q33" s="45"/>
      <c r="R33" s="286">
        <f>'105'!A275</f>
        <v>0</v>
      </c>
      <c r="S33" s="283"/>
      <c r="Y33" s="283"/>
    </row>
    <row r="34" spans="1:25" x14ac:dyDescent="0.2">
      <c r="B34" s="281"/>
      <c r="C34" s="45" t="s">
        <v>205</v>
      </c>
      <c r="D34" s="45"/>
      <c r="E34" s="45"/>
      <c r="F34" s="286">
        <f>'105'!A220</f>
        <v>0</v>
      </c>
      <c r="G34" s="283"/>
      <c r="H34" s="45"/>
      <c r="I34" s="242" t="s">
        <v>231</v>
      </c>
      <c r="J34" s="45"/>
      <c r="K34" s="45"/>
      <c r="L34" s="288">
        <f>'105'!A260</f>
        <v>0</v>
      </c>
      <c r="M34" s="283"/>
      <c r="O34" s="242" t="s">
        <v>256</v>
      </c>
      <c r="R34" s="286">
        <f>'105'!A276</f>
        <v>0</v>
      </c>
      <c r="S34" s="283"/>
      <c r="U34" s="45" t="s">
        <v>281</v>
      </c>
      <c r="V34" s="45"/>
      <c r="W34" s="45"/>
      <c r="X34" s="289">
        <f>'105'!A238</f>
        <v>0</v>
      </c>
      <c r="Y34" s="283"/>
    </row>
    <row r="35" spans="1:25" x14ac:dyDescent="0.2">
      <c r="B35" s="281"/>
      <c r="C35" s="45"/>
      <c r="G35" s="283"/>
      <c r="I35" s="242" t="s">
        <v>232</v>
      </c>
      <c r="L35" s="289">
        <f>L33+L34</f>
        <v>0</v>
      </c>
      <c r="M35" s="283"/>
      <c r="O35" s="45" t="s">
        <v>257</v>
      </c>
      <c r="P35" s="45"/>
      <c r="Q35" s="45"/>
      <c r="R35" s="288">
        <f>R36-R33-R34</f>
        <v>0</v>
      </c>
      <c r="S35" s="283"/>
      <c r="U35" s="45" t="s">
        <v>282</v>
      </c>
      <c r="V35" s="45"/>
      <c r="W35" s="45"/>
      <c r="X35" s="289">
        <f>'105'!A239</f>
        <v>0</v>
      </c>
      <c r="Y35" s="283"/>
    </row>
    <row r="36" spans="1:25" x14ac:dyDescent="0.2">
      <c r="B36" s="281"/>
      <c r="G36" s="283"/>
      <c r="M36" s="283"/>
      <c r="O36" s="45" t="s">
        <v>258</v>
      </c>
      <c r="P36" s="45"/>
      <c r="Q36" s="45"/>
      <c r="R36" s="286">
        <f>'105'!A277</f>
        <v>0</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0">
    <tabColor theme="5" tint="-0.499984740745262"/>
    <pageSetUpPr fitToPage="1"/>
  </sheetPr>
  <dimension ref="B1:Q122"/>
  <sheetViews>
    <sheetView topLeftCell="A61" workbookViewId="0">
      <selection activeCell="O131" sqref="O131"/>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'105'!$A1</f>
        <v>0</v>
      </c>
      <c r="K1" s="170" t="s">
        <v>81</v>
      </c>
      <c r="L1" s="172">
        <f>'105'!$A4</f>
        <v>0</v>
      </c>
      <c r="M1" s="170" t="s">
        <v>289</v>
      </c>
      <c r="N1" s="517">
        <f>'105'!$A5</f>
        <v>0</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'105'!A505</f>
        <v>0</v>
      </c>
      <c r="H5" s="187">
        <f>'105'!A506</f>
        <v>0</v>
      </c>
      <c r="I5" s="187">
        <f>'105'!A504</f>
        <v>0</v>
      </c>
      <c r="K5" s="182"/>
      <c r="M5" s="40"/>
      <c r="N5" s="179"/>
    </row>
    <row r="6" spans="2:14" ht="13.2" x14ac:dyDescent="0.3">
      <c r="B6" s="244"/>
      <c r="C6" s="259" t="s">
        <v>292</v>
      </c>
      <c r="D6" s="40"/>
      <c r="E6" s="40"/>
      <c r="F6" s="40"/>
      <c r="G6" s="301">
        <f>'105'!A507/10</f>
        <v>0</v>
      </c>
      <c r="H6" s="301">
        <f>'105'!A508/10</f>
        <v>0</v>
      </c>
      <c r="I6" s="217"/>
      <c r="K6" s="182"/>
      <c r="L6" s="196"/>
      <c r="M6" s="40"/>
      <c r="N6" s="179"/>
    </row>
    <row r="7" spans="2:14" x14ac:dyDescent="0.2">
      <c r="B7" s="244"/>
      <c r="C7" s="182" t="s">
        <v>293</v>
      </c>
      <c r="D7" s="40"/>
      <c r="E7" s="40"/>
      <c r="F7" s="40"/>
      <c r="G7" s="187">
        <f>'105'!A509</f>
        <v>0</v>
      </c>
      <c r="H7" s="187">
        <f>'105'!A510</f>
        <v>0</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'105'!A501/10</f>
        <v>0</v>
      </c>
      <c r="H10" s="301">
        <f>'105'!A502/10</f>
        <v>0</v>
      </c>
      <c r="I10" s="182" t="s">
        <v>302</v>
      </c>
      <c r="J10" s="182"/>
      <c r="K10" s="196"/>
      <c r="L10" s="302">
        <f>'105'!A511/100</f>
        <v>0</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'105'!A518</f>
        <v>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60</v>
      </c>
      <c r="H16" s="667">
        <f>INT(L10*2*G20/1000) + 75</f>
        <v>75</v>
      </c>
      <c r="I16" s="667">
        <f>INT(L10*3*G20/1000) + 120</f>
        <v>120</v>
      </c>
      <c r="K16" s="196"/>
      <c r="L16" s="196"/>
      <c r="M16" s="196"/>
      <c r="N16" s="179"/>
    </row>
    <row r="17" spans="2:14" x14ac:dyDescent="0.2">
      <c r="B17" s="244"/>
      <c r="C17" s="269" t="s">
        <v>299</v>
      </c>
      <c r="E17" s="40"/>
      <c r="F17" s="40"/>
      <c r="G17" s="667">
        <f>INT(L10*1.5*G20/1000) + 60</f>
        <v>60</v>
      </c>
      <c r="H17" s="667">
        <f>INT(L10*1.5*2*G20/1000) + 75</f>
        <v>75</v>
      </c>
      <c r="I17" s="667">
        <f>INT(L10*1.5*3*G20/1000) + 120</f>
        <v>120</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'105'!A515</f>
        <v>0</v>
      </c>
      <c r="H20" s="304">
        <f>'105'!A516</f>
        <v>0</v>
      </c>
      <c r="I20" s="304">
        <f>'105'!A517</f>
        <v>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f>'105'!A681</f>
        <v>0</v>
      </c>
      <c r="G23" s="40"/>
      <c r="H23" s="40"/>
      <c r="I23" s="182"/>
      <c r="J23" s="40"/>
      <c r="K23" s="40"/>
      <c r="L23" s="40"/>
      <c r="M23" s="40"/>
      <c r="N23" s="179"/>
    </row>
    <row r="24" spans="2:14" ht="12" x14ac:dyDescent="0.25">
      <c r="B24" s="244"/>
      <c r="C24" s="247"/>
      <c r="F24" s="233">
        <f>'105'!A682</f>
        <v>0</v>
      </c>
      <c r="G24" s="40"/>
      <c r="H24" s="40"/>
      <c r="I24" s="182"/>
      <c r="J24" s="40"/>
      <c r="K24" s="40"/>
      <c r="L24" s="40"/>
      <c r="M24" s="40"/>
      <c r="N24" s="179"/>
    </row>
    <row r="25" spans="2:14" ht="12" x14ac:dyDescent="0.25">
      <c r="B25" s="244"/>
      <c r="C25" s="247"/>
      <c r="F25" s="233">
        <f>'105'!A683</f>
        <v>0</v>
      </c>
      <c r="G25" s="40"/>
      <c r="H25" s="40"/>
      <c r="I25" s="182"/>
      <c r="J25" s="40"/>
      <c r="K25" s="40"/>
      <c r="L25" s="40"/>
      <c r="M25" s="40"/>
      <c r="N25" s="179"/>
    </row>
    <row r="26" spans="2:14" x14ac:dyDescent="0.2">
      <c r="B26" s="244"/>
      <c r="C26" s="233"/>
      <c r="F26" s="233">
        <f>'105'!A684</f>
        <v>0</v>
      </c>
      <c r="G26" s="233"/>
      <c r="H26" s="233"/>
      <c r="I26" s="184"/>
      <c r="J26" s="233"/>
      <c r="K26" s="40"/>
      <c r="L26" s="40"/>
      <c r="M26" s="40"/>
      <c r="N26" s="179"/>
    </row>
    <row r="27" spans="2:14" x14ac:dyDescent="0.2">
      <c r="B27" s="244"/>
      <c r="C27" s="233"/>
      <c r="F27" s="233">
        <f>'105'!A685</f>
        <v>0</v>
      </c>
      <c r="G27" s="233"/>
      <c r="H27" s="233"/>
      <c r="I27" s="184"/>
      <c r="J27" s="233"/>
      <c r="K27" s="40"/>
      <c r="L27" s="40"/>
      <c r="M27" s="40"/>
      <c r="N27" s="179"/>
    </row>
    <row r="28" spans="2:14" x14ac:dyDescent="0.2">
      <c r="B28" s="244"/>
      <c r="C28" s="233"/>
      <c r="F28" s="233">
        <f>'105'!A686</f>
        <v>0</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'105'!A521</f>
        <v>0</v>
      </c>
      <c r="G33" s="309">
        <f>'105'!A541</f>
        <v>0</v>
      </c>
      <c r="H33" s="309">
        <f>'105'!A561</f>
        <v>0</v>
      </c>
      <c r="I33" s="309">
        <f>'105'!A581</f>
        <v>0</v>
      </c>
      <c r="J33" s="309">
        <f>'105'!A601</f>
        <v>0</v>
      </c>
      <c r="K33" s="309">
        <f>'105'!A621</f>
        <v>0</v>
      </c>
      <c r="L33" s="309">
        <f>'105'!A641</f>
        <v>0</v>
      </c>
      <c r="M33" s="309">
        <f>'105'!A661</f>
        <v>0</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'105'!A522/100</f>
        <v>0</v>
      </c>
      <c r="G35" s="310">
        <f>'105'!A542/100</f>
        <v>0</v>
      </c>
      <c r="H35" s="310">
        <f>'105'!A562/100</f>
        <v>0</v>
      </c>
      <c r="I35" s="310">
        <f>'105'!A582/100</f>
        <v>0</v>
      </c>
      <c r="J35" s="310">
        <f>'105'!A602/100</f>
        <v>0</v>
      </c>
      <c r="K35" s="310">
        <f>'105'!A622/100</f>
        <v>0</v>
      </c>
      <c r="L35" s="310">
        <f>'105'!A642/100</f>
        <v>0</v>
      </c>
      <c r="M35" s="310">
        <f>'105'!A662/100</f>
        <v>0</v>
      </c>
      <c r="N35" s="204"/>
    </row>
    <row r="36" spans="2:17" x14ac:dyDescent="0.2">
      <c r="B36" s="244"/>
      <c r="C36" s="40" t="s">
        <v>310</v>
      </c>
      <c r="D36" s="40"/>
      <c r="E36" s="40"/>
      <c r="F36" s="310">
        <f>'105'!A523</f>
        <v>0</v>
      </c>
      <c r="G36" s="310">
        <f>'105'!A543</f>
        <v>0</v>
      </c>
      <c r="H36" s="310">
        <f>'105'!A563</f>
        <v>0</v>
      </c>
      <c r="I36" s="310">
        <f>'105'!A583</f>
        <v>0</v>
      </c>
      <c r="J36" s="310">
        <f>'105'!A603</f>
        <v>0</v>
      </c>
      <c r="K36" s="310">
        <f>'105'!A623</f>
        <v>0</v>
      </c>
      <c r="L36" s="310">
        <f>'105'!A643</f>
        <v>0</v>
      </c>
      <c r="M36" s="310">
        <f>'105'!A663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'105'!A524</f>
        <v>0</v>
      </c>
      <c r="G38" s="310">
        <f>'105'!A544</f>
        <v>0</v>
      </c>
      <c r="H38" s="310">
        <f>'105'!A564</f>
        <v>0</v>
      </c>
      <c r="I38" s="310">
        <f>'105'!A584</f>
        <v>0</v>
      </c>
      <c r="J38" s="310">
        <f>'105'!A604</f>
        <v>0</v>
      </c>
      <c r="K38" s="310">
        <f>'105'!A624</f>
        <v>0</v>
      </c>
      <c r="L38" s="310">
        <f>'105'!A644</f>
        <v>0</v>
      </c>
      <c r="M38" s="310">
        <f>'105'!A664</f>
        <v>0</v>
      </c>
      <c r="N38" s="204"/>
    </row>
    <row r="39" spans="2:17" x14ac:dyDescent="0.2">
      <c r="B39" s="244"/>
      <c r="C39" s="40" t="s">
        <v>312</v>
      </c>
      <c r="D39" s="40"/>
      <c r="E39" s="40"/>
      <c r="F39" s="310">
        <f>'105'!A525</f>
        <v>0</v>
      </c>
      <c r="G39" s="310">
        <f>'105'!A545</f>
        <v>0</v>
      </c>
      <c r="H39" s="310">
        <f>'105'!A565</f>
        <v>0</v>
      </c>
      <c r="I39" s="310">
        <f>'105'!A585</f>
        <v>0</v>
      </c>
      <c r="J39" s="310">
        <f>'105'!A605</f>
        <v>0</v>
      </c>
      <c r="K39" s="310">
        <f>'105'!A625</f>
        <v>0</v>
      </c>
      <c r="L39" s="310">
        <f>'105'!A645</f>
        <v>0</v>
      </c>
      <c r="M39" s="310">
        <f>'105'!A665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'105'!A526</f>
        <v>0</v>
      </c>
      <c r="G43" s="310">
        <f>'105'!A546</f>
        <v>0</v>
      </c>
      <c r="H43" s="310">
        <f>'105'!A566</f>
        <v>0</v>
      </c>
      <c r="I43" s="310">
        <f>'105'!A586</f>
        <v>0</v>
      </c>
      <c r="J43" s="310">
        <f>'105'!A606</f>
        <v>0</v>
      </c>
      <c r="K43" s="310">
        <f>'105'!A626</f>
        <v>0</v>
      </c>
      <c r="L43" s="310">
        <f>'105'!A646</f>
        <v>0</v>
      </c>
      <c r="M43" s="310">
        <f>'105'!A666</f>
        <v>0</v>
      </c>
      <c r="N43" s="204"/>
    </row>
    <row r="44" spans="2:17" x14ac:dyDescent="0.2">
      <c r="B44" s="244"/>
      <c r="C44" s="40" t="s">
        <v>1</v>
      </c>
      <c r="D44" s="182" t="s">
        <v>19</v>
      </c>
      <c r="E44" s="40"/>
      <c r="F44" s="310">
        <f>'105'!A527</f>
        <v>0</v>
      </c>
      <c r="G44" s="310">
        <f>'105'!A547</f>
        <v>0</v>
      </c>
      <c r="H44" s="310">
        <f>'105'!A567</f>
        <v>0</v>
      </c>
      <c r="I44" s="310">
        <f>'105'!A587</f>
        <v>0</v>
      </c>
      <c r="J44" s="310">
        <f>'105'!A607</f>
        <v>0</v>
      </c>
      <c r="K44" s="310">
        <f>'105'!A627</f>
        <v>0</v>
      </c>
      <c r="L44" s="310">
        <f>'105'!A647</f>
        <v>0</v>
      </c>
      <c r="M44" s="310">
        <f>'105'!A667</f>
        <v>0</v>
      </c>
      <c r="N44" s="204"/>
    </row>
    <row r="45" spans="2:17" x14ac:dyDescent="0.2">
      <c r="B45" s="244"/>
      <c r="C45" s="40"/>
      <c r="D45" s="40" t="s">
        <v>18</v>
      </c>
      <c r="E45" s="40"/>
      <c r="F45" s="310">
        <f>'105'!A528</f>
        <v>0</v>
      </c>
      <c r="G45" s="310">
        <f>'105'!A548</f>
        <v>0</v>
      </c>
      <c r="H45" s="310">
        <f>'105'!A568</f>
        <v>0</v>
      </c>
      <c r="I45" s="310">
        <f>'105'!A588</f>
        <v>0</v>
      </c>
      <c r="J45" s="310">
        <f>'105'!A608</f>
        <v>0</v>
      </c>
      <c r="K45" s="310">
        <f>'105'!A628</f>
        <v>0</v>
      </c>
      <c r="L45" s="310">
        <f>'105'!A648</f>
        <v>0</v>
      </c>
      <c r="M45" s="310">
        <f>'105'!A668</f>
        <v>0</v>
      </c>
      <c r="N45" s="204"/>
    </row>
    <row r="46" spans="2:17" x14ac:dyDescent="0.2">
      <c r="B46" s="244"/>
      <c r="C46" s="40" t="s">
        <v>316</v>
      </c>
      <c r="D46" s="40"/>
      <c r="E46" s="40"/>
      <c r="F46" s="310">
        <f>'105'!A529</f>
        <v>0</v>
      </c>
      <c r="G46" s="310">
        <f>'105'!A549</f>
        <v>0</v>
      </c>
      <c r="H46" s="310">
        <f>'105'!A569</f>
        <v>0</v>
      </c>
      <c r="I46" s="310">
        <f>'105'!A589</f>
        <v>0</v>
      </c>
      <c r="J46" s="310">
        <f>'105'!A609</f>
        <v>0</v>
      </c>
      <c r="K46" s="310">
        <f>'105'!A629</f>
        <v>0</v>
      </c>
      <c r="L46" s="310">
        <f>'105'!A649</f>
        <v>0</v>
      </c>
      <c r="M46" s="310">
        <f>'105'!A669</f>
        <v>0</v>
      </c>
      <c r="N46" s="204"/>
    </row>
    <row r="47" spans="2:17" x14ac:dyDescent="0.2">
      <c r="B47" s="244"/>
      <c r="C47" s="40" t="s">
        <v>1</v>
      </c>
      <c r="D47" s="182" t="s">
        <v>19</v>
      </c>
      <c r="E47" s="40"/>
      <c r="F47" s="310">
        <f>'105'!A530</f>
        <v>0</v>
      </c>
      <c r="G47" s="310">
        <f>'105'!A550</f>
        <v>0</v>
      </c>
      <c r="H47" s="310">
        <f>'105'!A570</f>
        <v>0</v>
      </c>
      <c r="I47" s="310">
        <f>'105'!A590</f>
        <v>0</v>
      </c>
      <c r="J47" s="310">
        <f>'105'!A610</f>
        <v>0</v>
      </c>
      <c r="K47" s="310">
        <f>'105'!A630</f>
        <v>0</v>
      </c>
      <c r="L47" s="310">
        <f>'105'!A650</f>
        <v>0</v>
      </c>
      <c r="M47" s="310">
        <f>'105'!A670</f>
        <v>0</v>
      </c>
      <c r="N47" s="204"/>
    </row>
    <row r="48" spans="2:17" x14ac:dyDescent="0.2">
      <c r="B48" s="244"/>
      <c r="C48" s="40"/>
      <c r="D48" s="40" t="s">
        <v>20</v>
      </c>
      <c r="E48" s="40"/>
      <c r="F48" s="310">
        <f>'105'!A531</f>
        <v>0</v>
      </c>
      <c r="G48" s="310">
        <f>'105'!A551</f>
        <v>0</v>
      </c>
      <c r="H48" s="310">
        <f>'105'!A571</f>
        <v>0</v>
      </c>
      <c r="I48" s="310">
        <f>'105'!A591</f>
        <v>0</v>
      </c>
      <c r="J48" s="310">
        <f>'105'!A611</f>
        <v>0</v>
      </c>
      <c r="K48" s="310">
        <f>'105'!A631</f>
        <v>0</v>
      </c>
      <c r="L48" s="310">
        <f>'105'!A651</f>
        <v>0</v>
      </c>
      <c r="M48" s="310">
        <f>'105'!A671</f>
        <v>0</v>
      </c>
      <c r="N48" s="204"/>
    </row>
    <row r="49" spans="2:14" x14ac:dyDescent="0.2">
      <c r="B49" s="244"/>
      <c r="C49" s="40" t="s">
        <v>317</v>
      </c>
      <c r="D49" s="40"/>
      <c r="E49" s="40"/>
      <c r="F49" s="310">
        <f>'105'!A532</f>
        <v>0</v>
      </c>
      <c r="G49" s="310">
        <f>'105'!A552</f>
        <v>0</v>
      </c>
      <c r="H49" s="310">
        <f>'105'!A572</f>
        <v>0</v>
      </c>
      <c r="I49" s="310">
        <f>'105'!A592</f>
        <v>0</v>
      </c>
      <c r="J49" s="310">
        <f>'105'!A612</f>
        <v>0</v>
      </c>
      <c r="K49" s="310">
        <f>'105'!A632</f>
        <v>0</v>
      </c>
      <c r="L49" s="310">
        <f>'105'!A652</f>
        <v>0</v>
      </c>
      <c r="M49" s="310">
        <f>'105'!A672</f>
        <v>0</v>
      </c>
      <c r="N49" s="204"/>
    </row>
    <row r="50" spans="2:14" x14ac:dyDescent="0.2">
      <c r="B50" s="244"/>
      <c r="C50" s="40" t="s">
        <v>1</v>
      </c>
      <c r="D50" s="182" t="s">
        <v>19</v>
      </c>
      <c r="E50" s="40"/>
      <c r="F50" s="310">
        <f>'105'!A533</f>
        <v>0</v>
      </c>
      <c r="G50" s="310">
        <f>'105'!A553</f>
        <v>0</v>
      </c>
      <c r="H50" s="310">
        <f>'105'!A573</f>
        <v>0</v>
      </c>
      <c r="I50" s="310">
        <f>'105'!A593</f>
        <v>0</v>
      </c>
      <c r="J50" s="310">
        <f>'105'!A613</f>
        <v>0</v>
      </c>
      <c r="K50" s="310">
        <f>'105'!A633</f>
        <v>0</v>
      </c>
      <c r="L50" s="310">
        <f>'105'!A653</f>
        <v>0</v>
      </c>
      <c r="M50" s="310">
        <f>'105'!A673</f>
        <v>0</v>
      </c>
      <c r="N50" s="204"/>
    </row>
    <row r="51" spans="2:14" x14ac:dyDescent="0.2">
      <c r="B51" s="244"/>
      <c r="C51" s="40"/>
      <c r="D51" s="40" t="s">
        <v>18</v>
      </c>
      <c r="E51" s="40"/>
      <c r="F51" s="310">
        <f>'105'!A534</f>
        <v>0</v>
      </c>
      <c r="G51" s="310">
        <f>'105'!A554</f>
        <v>0</v>
      </c>
      <c r="H51" s="310">
        <f>'105'!A574</f>
        <v>0</v>
      </c>
      <c r="I51" s="310">
        <f>'105'!A594</f>
        <v>0</v>
      </c>
      <c r="J51" s="310">
        <f>'105'!A614</f>
        <v>0</v>
      </c>
      <c r="K51" s="310">
        <f>'105'!A634</f>
        <v>0</v>
      </c>
      <c r="L51" s="310">
        <f>'105'!A654</f>
        <v>0</v>
      </c>
      <c r="M51" s="310">
        <f>'105'!A674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'105'!A535</f>
        <v>0</v>
      </c>
      <c r="G53" s="310">
        <f>'105'!A555</f>
        <v>0</v>
      </c>
      <c r="H53" s="310">
        <f>'105'!A575</f>
        <v>0</v>
      </c>
      <c r="I53" s="310">
        <f>'105'!A595</f>
        <v>0</v>
      </c>
      <c r="J53" s="310">
        <f>'105'!A615</f>
        <v>0</v>
      </c>
      <c r="K53" s="310">
        <f>'105'!A635</f>
        <v>0</v>
      </c>
      <c r="L53" s="310">
        <f>'105'!A655</f>
        <v>0</v>
      </c>
      <c r="M53" s="310">
        <f>'105'!A675</f>
        <v>0</v>
      </c>
      <c r="N53" s="204"/>
    </row>
    <row r="54" spans="2:14" ht="13.2" x14ac:dyDescent="0.3">
      <c r="B54" s="244"/>
      <c r="C54" s="256" t="s">
        <v>319</v>
      </c>
      <c r="D54" s="40"/>
      <c r="E54" s="40"/>
      <c r="F54" s="310">
        <f>'105'!A536</f>
        <v>0</v>
      </c>
      <c r="G54" s="310">
        <f>'105'!A556</f>
        <v>0</v>
      </c>
      <c r="H54" s="310">
        <f>'105'!A576</f>
        <v>0</v>
      </c>
      <c r="I54" s="310">
        <f>'105'!A596</f>
        <v>0</v>
      </c>
      <c r="J54" s="310">
        <f>'105'!A616</f>
        <v>0</v>
      </c>
      <c r="K54" s="310">
        <f>'105'!A636</f>
        <v>0</v>
      </c>
      <c r="L54" s="310">
        <f>'105'!A656</f>
        <v>0</v>
      </c>
      <c r="M54" s="310">
        <f>'105'!A676</f>
        <v>0</v>
      </c>
      <c r="N54" s="204"/>
    </row>
    <row r="55" spans="2:14" x14ac:dyDescent="0.2">
      <c r="B55" s="244"/>
      <c r="C55" s="40" t="s">
        <v>320</v>
      </c>
      <c r="D55" s="40"/>
      <c r="E55" s="40"/>
      <c r="F55" s="310">
        <f>'105'!A537</f>
        <v>0</v>
      </c>
      <c r="G55" s="310">
        <f>'105'!A557</f>
        <v>0</v>
      </c>
      <c r="H55" s="310">
        <f>'105'!A577</f>
        <v>0</v>
      </c>
      <c r="I55" s="310">
        <f>'105'!A597</f>
        <v>0</v>
      </c>
      <c r="J55" s="310">
        <f>'105'!A617</f>
        <v>0</v>
      </c>
      <c r="K55" s="310">
        <f>'105'!A637</f>
        <v>0</v>
      </c>
      <c r="L55" s="310">
        <f>'105'!A657</f>
        <v>0</v>
      </c>
      <c r="M55" s="310">
        <f>'105'!A677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'105'!$A59</f>
        <v>0</v>
      </c>
      <c r="K61" s="170" t="s">
        <v>81</v>
      </c>
      <c r="L61" s="172">
        <f>'105'!$A62</f>
        <v>0</v>
      </c>
      <c r="M61" s="170" t="s">
        <v>289</v>
      </c>
      <c r="N61" s="517">
        <f>'105'!$A63</f>
        <v>0</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'105'!A701</f>
        <v>0</v>
      </c>
      <c r="G65" s="319">
        <f>'105'!A721</f>
        <v>0</v>
      </c>
      <c r="H65" s="319">
        <f>'105'!A741</f>
        <v>0</v>
      </c>
      <c r="I65" s="319">
        <f>'105'!A761</f>
        <v>0</v>
      </c>
      <c r="J65" s="319">
        <f>'105'!A781</f>
        <v>0</v>
      </c>
      <c r="K65" s="319">
        <f>'105'!A801</f>
        <v>0</v>
      </c>
      <c r="L65" s="319">
        <f>'105'!A821</f>
        <v>0</v>
      </c>
      <c r="M65" s="319">
        <f>'105'!A841</f>
        <v>0</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'105'!A702</f>
        <v>0</v>
      </c>
      <c r="G67" s="310">
        <f>'105'!A722</f>
        <v>0</v>
      </c>
      <c r="H67" s="310">
        <f>'105'!A742</f>
        <v>0</v>
      </c>
      <c r="I67" s="310">
        <f>'105'!A762</f>
        <v>0</v>
      </c>
      <c r="J67" s="310">
        <f>'105'!A782</f>
        <v>0</v>
      </c>
      <c r="K67" s="310">
        <f>'105'!A802</f>
        <v>0</v>
      </c>
      <c r="L67" s="310">
        <f>'105'!A822</f>
        <v>0</v>
      </c>
      <c r="M67" s="310">
        <f>'105'!A842</f>
        <v>0</v>
      </c>
      <c r="N67" s="179"/>
    </row>
    <row r="68" spans="2:14" x14ac:dyDescent="0.2">
      <c r="B68" s="244"/>
      <c r="C68" s="40" t="s">
        <v>326</v>
      </c>
      <c r="D68" s="40"/>
      <c r="E68" s="40"/>
      <c r="F68" s="310">
        <f>'105'!A703</f>
        <v>0</v>
      </c>
      <c r="G68" s="310">
        <f>'105'!A723</f>
        <v>0</v>
      </c>
      <c r="H68" s="310">
        <f>'105'!A743</f>
        <v>0</v>
      </c>
      <c r="I68" s="310">
        <f>'105'!A763</f>
        <v>0</v>
      </c>
      <c r="J68" s="310">
        <f>'105'!A783</f>
        <v>0</v>
      </c>
      <c r="K68" s="310">
        <f>'105'!A803</f>
        <v>0</v>
      </c>
      <c r="L68" s="310">
        <f>'105'!A823</f>
        <v>0</v>
      </c>
      <c r="M68" s="310">
        <f>'105'!A843</f>
        <v>0</v>
      </c>
      <c r="N68" s="179"/>
    </row>
    <row r="69" spans="2:14" x14ac:dyDescent="0.2">
      <c r="B69" s="244"/>
      <c r="C69" s="40" t="s">
        <v>327</v>
      </c>
      <c r="D69" s="40"/>
      <c r="E69" s="40"/>
      <c r="F69" s="310">
        <f>'105'!A704</f>
        <v>0</v>
      </c>
      <c r="G69" s="310">
        <f>'105'!A724</f>
        <v>0</v>
      </c>
      <c r="H69" s="310">
        <f>'105'!A744</f>
        <v>0</v>
      </c>
      <c r="I69" s="310">
        <f>'105'!A764</f>
        <v>0</v>
      </c>
      <c r="J69" s="310">
        <f>'105'!A784</f>
        <v>0</v>
      </c>
      <c r="K69" s="310">
        <f>'105'!A804</f>
        <v>0</v>
      </c>
      <c r="L69" s="310">
        <f>'105'!A824</f>
        <v>0</v>
      </c>
      <c r="M69" s="310">
        <f>'105'!A844</f>
        <v>0</v>
      </c>
      <c r="N69" s="179"/>
    </row>
    <row r="70" spans="2:14" x14ac:dyDescent="0.2">
      <c r="B70" s="244"/>
      <c r="C70" s="40" t="s">
        <v>328</v>
      </c>
      <c r="D70" s="40"/>
      <c r="E70" s="40"/>
      <c r="F70" s="310">
        <f>'105'!A705</f>
        <v>0</v>
      </c>
      <c r="G70" s="310">
        <f>'105'!A725</f>
        <v>0</v>
      </c>
      <c r="H70" s="310">
        <f>'105'!A745</f>
        <v>0</v>
      </c>
      <c r="I70" s="310">
        <f>'105'!A765</f>
        <v>0</v>
      </c>
      <c r="J70" s="310">
        <f>'105'!A785</f>
        <v>0</v>
      </c>
      <c r="K70" s="310">
        <f>'105'!A805</f>
        <v>0</v>
      </c>
      <c r="L70" s="310">
        <f>'105'!A825</f>
        <v>0</v>
      </c>
      <c r="M70" s="310">
        <f>'105'!A845</f>
        <v>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'105'!A708</f>
        <v>0</v>
      </c>
      <c r="G73" s="310">
        <f>'105'!A728</f>
        <v>0</v>
      </c>
      <c r="H73" s="310">
        <f>'105'!A748</f>
        <v>0</v>
      </c>
      <c r="I73" s="310">
        <f>'105'!A768</f>
        <v>0</v>
      </c>
      <c r="J73" s="310">
        <f>'105'!A788</f>
        <v>0</v>
      </c>
      <c r="K73" s="310">
        <f>'105'!A808</f>
        <v>0</v>
      </c>
      <c r="L73" s="310">
        <f>'105'!A828</f>
        <v>0</v>
      </c>
      <c r="M73" s="310">
        <f>'105'!A848</f>
        <v>0</v>
      </c>
      <c r="N73" s="179"/>
    </row>
    <row r="74" spans="2:14" x14ac:dyDescent="0.2">
      <c r="B74" s="244"/>
      <c r="C74" s="321" t="s">
        <v>331</v>
      </c>
      <c r="D74" s="40"/>
      <c r="E74" s="40"/>
      <c r="F74" s="310">
        <f>'105'!A709</f>
        <v>0</v>
      </c>
      <c r="G74" s="310">
        <f>'105'!A729</f>
        <v>0</v>
      </c>
      <c r="H74" s="310">
        <f>'105'!A749</f>
        <v>0</v>
      </c>
      <c r="I74" s="310">
        <f>'105'!A769</f>
        <v>0</v>
      </c>
      <c r="J74" s="310">
        <f>'105'!A789</f>
        <v>0</v>
      </c>
      <c r="K74" s="310">
        <f>'105'!A809</f>
        <v>0</v>
      </c>
      <c r="L74" s="310">
        <f>'105'!A829</f>
        <v>0</v>
      </c>
      <c r="M74" s="310">
        <f>'105'!A849</f>
        <v>0</v>
      </c>
      <c r="N74" s="179"/>
    </row>
    <row r="75" spans="2:14" x14ac:dyDescent="0.2">
      <c r="B75" s="244"/>
      <c r="C75" s="40" t="s">
        <v>332</v>
      </c>
      <c r="D75" s="40"/>
      <c r="E75" s="40"/>
      <c r="F75" s="310">
        <f>'105'!A710</f>
        <v>0</v>
      </c>
      <c r="G75" s="310">
        <f>'105'!A730</f>
        <v>0</v>
      </c>
      <c r="H75" s="310">
        <f>'105'!A750</f>
        <v>0</v>
      </c>
      <c r="I75" s="310">
        <f>'105'!A770</f>
        <v>0</v>
      </c>
      <c r="J75" s="310">
        <f>'105'!A790</f>
        <v>0</v>
      </c>
      <c r="K75" s="310">
        <f>'105'!A810</f>
        <v>0</v>
      </c>
      <c r="L75" s="310">
        <f>'105'!A830</f>
        <v>0</v>
      </c>
      <c r="M75" s="310">
        <f>'105'!A850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'105'!A712</f>
        <v>0</v>
      </c>
      <c r="G77" s="310">
        <f>'105'!A732</f>
        <v>0</v>
      </c>
      <c r="H77" s="310">
        <f>'105'!A752</f>
        <v>0</v>
      </c>
      <c r="I77" s="310">
        <f>'105'!A772</f>
        <v>0</v>
      </c>
      <c r="J77" s="310">
        <f>'105'!A792</f>
        <v>0</v>
      </c>
      <c r="K77" s="310">
        <f>'105'!A812</f>
        <v>0</v>
      </c>
      <c r="L77" s="310">
        <f>'105'!A832</f>
        <v>0</v>
      </c>
      <c r="M77" s="310">
        <f>'105'!A852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'105'!A714</f>
        <v>0</v>
      </c>
      <c r="G80" s="310">
        <f>'105'!A734</f>
        <v>0</v>
      </c>
      <c r="H80" s="310">
        <f>'105'!A754</f>
        <v>0</v>
      </c>
      <c r="I80" s="310">
        <f>'105'!A774</f>
        <v>0</v>
      </c>
      <c r="J80" s="310">
        <f>'105'!A794</f>
        <v>0</v>
      </c>
      <c r="K80" s="310">
        <f>'105'!A814</f>
        <v>0</v>
      </c>
      <c r="L80" s="310">
        <f>'105'!A834</f>
        <v>0</v>
      </c>
      <c r="M80" s="310">
        <f>'105'!A854</f>
        <v>0</v>
      </c>
      <c r="N80" s="179"/>
    </row>
    <row r="81" spans="2:14" x14ac:dyDescent="0.2">
      <c r="B81" s="244"/>
      <c r="C81" s="40" t="s">
        <v>336</v>
      </c>
      <c r="D81" s="40"/>
      <c r="E81" s="40"/>
      <c r="F81" s="310">
        <f>'105'!A715</f>
        <v>0</v>
      </c>
      <c r="G81" s="310">
        <f>'105'!A735</f>
        <v>0</v>
      </c>
      <c r="H81" s="310">
        <f>'105'!A755</f>
        <v>0</v>
      </c>
      <c r="I81" s="310">
        <f>'105'!A775</f>
        <v>0</v>
      </c>
      <c r="J81" s="310">
        <f>'105'!A795</f>
        <v>0</v>
      </c>
      <c r="K81" s="310">
        <f>'105'!A815</f>
        <v>0</v>
      </c>
      <c r="L81" s="310">
        <f>'105'!A835</f>
        <v>0</v>
      </c>
      <c r="M81" s="310">
        <f>'105'!A855</f>
        <v>0</v>
      </c>
      <c r="N81" s="179"/>
    </row>
    <row r="82" spans="2:14" x14ac:dyDescent="0.2">
      <c r="B82" s="244"/>
      <c r="C82" s="40" t="s">
        <v>337</v>
      </c>
      <c r="D82" s="40"/>
      <c r="E82" s="40"/>
      <c r="F82" s="310">
        <f>'105'!A716</f>
        <v>0</v>
      </c>
      <c r="G82" s="310">
        <f>'105'!A736</f>
        <v>0</v>
      </c>
      <c r="H82" s="310">
        <f>'105'!A756</f>
        <v>0</v>
      </c>
      <c r="I82" s="310">
        <f>'105'!A776</f>
        <v>0</v>
      </c>
      <c r="J82" s="310">
        <f>'105'!A796</f>
        <v>0</v>
      </c>
      <c r="K82" s="310">
        <f>'105'!A816</f>
        <v>0</v>
      </c>
      <c r="L82" s="310">
        <f>'105'!A836</f>
        <v>0</v>
      </c>
      <c r="M82" s="310">
        <f>'105'!A856</f>
        <v>0</v>
      </c>
      <c r="N82" s="179"/>
    </row>
    <row r="83" spans="2:14" ht="12" x14ac:dyDescent="0.25">
      <c r="B83" s="244"/>
      <c r="C83" s="247" t="s">
        <v>338</v>
      </c>
      <c r="D83" s="40"/>
      <c r="E83" s="40"/>
      <c r="F83" s="310">
        <f t="shared" ref="F83:M83" si="0">SUM(F80:F82)</f>
        <v>0</v>
      </c>
      <c r="G83" s="310">
        <f t="shared" si="0"/>
        <v>0</v>
      </c>
      <c r="H83" s="310">
        <f t="shared" si="0"/>
        <v>0</v>
      </c>
      <c r="I83" s="310">
        <f t="shared" si="0"/>
        <v>0</v>
      </c>
      <c r="J83" s="310">
        <f t="shared" si="0"/>
        <v>0</v>
      </c>
      <c r="K83" s="310">
        <f t="shared" si="0"/>
        <v>0</v>
      </c>
      <c r="L83" s="310">
        <f t="shared" si="0"/>
        <v>0</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f>'105'!A330</f>
        <v>0</v>
      </c>
      <c r="N88" s="179"/>
    </row>
    <row r="89" spans="2:14" ht="12" x14ac:dyDescent="0.25">
      <c r="B89" s="244"/>
      <c r="C89" s="40"/>
      <c r="D89" s="175" t="s">
        <v>340</v>
      </c>
      <c r="F89" s="309">
        <f>'105'!A331</f>
        <v>0</v>
      </c>
      <c r="G89" s="309">
        <f>'105'!A341</f>
        <v>0</v>
      </c>
      <c r="H89" s="309">
        <f>'105'!A351</f>
        <v>0</v>
      </c>
      <c r="I89" s="309">
        <f>'105'!A361</f>
        <v>0</v>
      </c>
      <c r="J89" s="309">
        <f>'105'!A371</f>
        <v>0</v>
      </c>
      <c r="K89" s="309">
        <f>'105'!A381</f>
        <v>0</v>
      </c>
      <c r="L89" s="309">
        <f>'105'!A391</f>
        <v>0</v>
      </c>
      <c r="M89" s="309">
        <f>'105'!A401</f>
        <v>0</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f>'105'!A332</f>
        <v>0</v>
      </c>
      <c r="G91" s="213">
        <f>'105'!A342</f>
        <v>0</v>
      </c>
      <c r="H91" s="213">
        <f>'105'!A352</f>
        <v>0</v>
      </c>
      <c r="I91" s="213">
        <f>'105'!A362</f>
        <v>0</v>
      </c>
      <c r="J91" s="213">
        <f>'105'!A372</f>
        <v>0</v>
      </c>
      <c r="K91" s="213">
        <f>'105'!A382</f>
        <v>0</v>
      </c>
      <c r="L91" s="213">
        <f>'105'!A392</f>
        <v>0</v>
      </c>
      <c r="M91" s="213">
        <f>'105'!A402</f>
        <v>0</v>
      </c>
      <c r="N91" s="179"/>
    </row>
    <row r="92" spans="2:14" x14ac:dyDescent="0.2">
      <c r="B92" s="244"/>
      <c r="C92" s="40"/>
      <c r="D92" s="182" t="s">
        <v>23</v>
      </c>
      <c r="E92" s="40"/>
      <c r="F92" s="213">
        <f>'105'!A333</f>
        <v>0</v>
      </c>
      <c r="G92" s="213">
        <f>'105'!A343</f>
        <v>0</v>
      </c>
      <c r="H92" s="213">
        <f>'105'!A353</f>
        <v>0</v>
      </c>
      <c r="I92" s="213">
        <f>'105'!A363</f>
        <v>0</v>
      </c>
      <c r="J92" s="213">
        <f>'105'!A373</f>
        <v>0</v>
      </c>
      <c r="K92" s="213">
        <f>'105'!A383</f>
        <v>0</v>
      </c>
      <c r="L92" s="213">
        <f>'105'!A393</f>
        <v>0</v>
      </c>
      <c r="M92" s="213">
        <f>'105'!A403</f>
        <v>0</v>
      </c>
      <c r="N92" s="179"/>
    </row>
    <row r="93" spans="2:14" x14ac:dyDescent="0.2">
      <c r="B93" s="244"/>
      <c r="C93" s="40"/>
      <c r="D93" s="182" t="s">
        <v>24</v>
      </c>
      <c r="E93" s="40"/>
      <c r="F93" s="213">
        <f>'105'!A334</f>
        <v>0</v>
      </c>
      <c r="G93" s="213">
        <f>'105'!A344</f>
        <v>0</v>
      </c>
      <c r="H93" s="213">
        <f>'105'!A354</f>
        <v>0</v>
      </c>
      <c r="I93" s="213">
        <f>'105'!A364</f>
        <v>0</v>
      </c>
      <c r="J93" s="213">
        <f>'105'!A374</f>
        <v>0</v>
      </c>
      <c r="K93" s="213">
        <f>'105'!A384</f>
        <v>0</v>
      </c>
      <c r="L93" s="213">
        <f>'105'!A394</f>
        <v>0</v>
      </c>
      <c r="M93" s="213">
        <f>'105'!A404</f>
        <v>0</v>
      </c>
      <c r="N93" s="179"/>
    </row>
    <row r="94" spans="2:14" x14ac:dyDescent="0.2">
      <c r="B94" s="244"/>
      <c r="C94" s="40" t="s">
        <v>343</v>
      </c>
      <c r="D94" s="40"/>
      <c r="E94" s="40"/>
      <c r="F94" s="213">
        <f>'105'!A335</f>
        <v>0</v>
      </c>
      <c r="G94" s="213">
        <f>'105'!A345</f>
        <v>0</v>
      </c>
      <c r="H94" s="213">
        <f>'105'!A355</f>
        <v>0</v>
      </c>
      <c r="I94" s="213">
        <f>'105'!A365</f>
        <v>0</v>
      </c>
      <c r="J94" s="213">
        <f>'105'!A375</f>
        <v>0</v>
      </c>
      <c r="K94" s="213">
        <f>'105'!A385</f>
        <v>0</v>
      </c>
      <c r="L94" s="213">
        <f>'105'!A395</f>
        <v>0</v>
      </c>
      <c r="M94" s="213">
        <f>'105'!A405</f>
        <v>0</v>
      </c>
      <c r="N94" s="179"/>
    </row>
    <row r="95" spans="2:14" x14ac:dyDescent="0.2">
      <c r="B95" s="244"/>
      <c r="C95" s="40"/>
      <c r="D95" s="182" t="s">
        <v>23</v>
      </c>
      <c r="E95" s="40"/>
      <c r="F95" s="213">
        <f>'105'!A336</f>
        <v>0</v>
      </c>
      <c r="G95" s="213">
        <f>'105'!A346</f>
        <v>0</v>
      </c>
      <c r="H95" s="213">
        <f>'105'!A356</f>
        <v>0</v>
      </c>
      <c r="I95" s="213">
        <f>'105'!A366</f>
        <v>0</v>
      </c>
      <c r="J95" s="213">
        <f>'105'!A376</f>
        <v>0</v>
      </c>
      <c r="K95" s="213">
        <f>'105'!A386</f>
        <v>0</v>
      </c>
      <c r="L95" s="213">
        <f>'105'!A396</f>
        <v>0</v>
      </c>
      <c r="M95" s="213">
        <f>'105'!A406</f>
        <v>0</v>
      </c>
      <c r="N95" s="179"/>
    </row>
    <row r="96" spans="2:14" x14ac:dyDescent="0.2">
      <c r="B96" s="244"/>
      <c r="C96" s="40"/>
      <c r="D96" s="224" t="s">
        <v>25</v>
      </c>
      <c r="E96" s="40"/>
      <c r="F96" s="213">
        <f>'105'!A337</f>
        <v>0</v>
      </c>
      <c r="G96" s="213">
        <f>'105'!A347</f>
        <v>0</v>
      </c>
      <c r="H96" s="213">
        <f>'105'!A357</f>
        <v>0</v>
      </c>
      <c r="I96" s="213">
        <f>'105'!A367</f>
        <v>0</v>
      </c>
      <c r="J96" s="213">
        <f>'105'!A377</f>
        <v>0</v>
      </c>
      <c r="K96" s="213">
        <f>'105'!A387</f>
        <v>0</v>
      </c>
      <c r="L96" s="213">
        <f>'105'!A397</f>
        <v>0</v>
      </c>
      <c r="M96" s="213">
        <f>'105'!A407</f>
        <v>0</v>
      </c>
      <c r="N96" s="179"/>
    </row>
    <row r="97" spans="2:14" x14ac:dyDescent="0.2">
      <c r="B97" s="244"/>
      <c r="C97" s="40" t="s">
        <v>344</v>
      </c>
      <c r="D97" s="40"/>
      <c r="E97" s="40"/>
      <c r="F97" s="213">
        <f>'105'!A338</f>
        <v>0</v>
      </c>
      <c r="G97" s="213">
        <f>'105'!A348</f>
        <v>0</v>
      </c>
      <c r="H97" s="213">
        <f>'105'!A358</f>
        <v>0</v>
      </c>
      <c r="I97" s="213">
        <f>'105'!A368</f>
        <v>0</v>
      </c>
      <c r="J97" s="213">
        <f>'105'!A378</f>
        <v>0</v>
      </c>
      <c r="K97" s="213">
        <f>'105'!A388</f>
        <v>0</v>
      </c>
      <c r="L97" s="213">
        <f>'105'!A398</f>
        <v>0</v>
      </c>
      <c r="M97" s="213">
        <f>'105'!A408</f>
        <v>0</v>
      </c>
      <c r="N97" s="179"/>
    </row>
    <row r="98" spans="2:14" x14ac:dyDescent="0.2">
      <c r="B98" s="244"/>
      <c r="C98" s="40"/>
      <c r="D98" s="182" t="s">
        <v>23</v>
      </c>
      <c r="E98" s="40"/>
      <c r="F98" s="213">
        <f>'105'!A339</f>
        <v>0</v>
      </c>
      <c r="G98" s="213">
        <f>'105'!A349</f>
        <v>0</v>
      </c>
      <c r="H98" s="213">
        <f>'105'!A359</f>
        <v>0</v>
      </c>
      <c r="I98" s="213">
        <f>'105'!A369</f>
        <v>0</v>
      </c>
      <c r="J98" s="213">
        <f>'105'!A379</f>
        <v>0</v>
      </c>
      <c r="K98" s="213">
        <f>'105'!A389</f>
        <v>0</v>
      </c>
      <c r="L98" s="213">
        <f>'105'!A399</f>
        <v>0</v>
      </c>
      <c r="M98" s="213">
        <f>'105'!A409</f>
        <v>0</v>
      </c>
      <c r="N98" s="179"/>
    </row>
    <row r="99" spans="2:14" x14ac:dyDescent="0.2">
      <c r="B99" s="244"/>
      <c r="C99" s="40"/>
      <c r="D99" s="182" t="s">
        <v>24</v>
      </c>
      <c r="E99" s="40"/>
      <c r="F99" s="213">
        <f>'105'!A340</f>
        <v>0</v>
      </c>
      <c r="G99" s="213">
        <f>'105'!A350</f>
        <v>0</v>
      </c>
      <c r="H99" s="213">
        <f>'105'!A360</f>
        <v>0</v>
      </c>
      <c r="I99" s="213">
        <f>'105'!A370</f>
        <v>0</v>
      </c>
      <c r="J99" s="213">
        <f>'105'!A380</f>
        <v>0</v>
      </c>
      <c r="K99" s="213">
        <f>'105'!A390</f>
        <v>0</v>
      </c>
      <c r="L99" s="213">
        <f>'105'!A400</f>
        <v>0</v>
      </c>
      <c r="M99" s="213">
        <f>'105'!A410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f>'105'!A420</f>
        <v>0</v>
      </c>
      <c r="L102" s="40"/>
      <c r="M102" s="40"/>
      <c r="N102" s="179"/>
    </row>
    <row r="103" spans="2:14" ht="12" x14ac:dyDescent="0.25">
      <c r="B103" s="244"/>
      <c r="C103" s="40"/>
      <c r="D103" s="40" t="s">
        <v>346</v>
      </c>
      <c r="E103" s="40"/>
      <c r="F103" s="309">
        <f>'105'!A421</f>
        <v>0</v>
      </c>
      <c r="G103" s="309">
        <f>'105'!A428</f>
        <v>0</v>
      </c>
      <c r="H103" s="309">
        <f>'105'!A435</f>
        <v>0</v>
      </c>
      <c r="I103" s="309">
        <f>'105'!A442</f>
        <v>0</v>
      </c>
      <c r="J103" s="309">
        <f>'105'!A449</f>
        <v>0</v>
      </c>
      <c r="K103" s="309">
        <f>'105'!A456</f>
        <v>0</v>
      </c>
      <c r="L103" s="309">
        <f>'105'!A463</f>
        <v>0</v>
      </c>
      <c r="M103" s="309">
        <f>'105'!A470</f>
        <v>0</v>
      </c>
      <c r="N103" s="179"/>
    </row>
    <row r="104" spans="2:14" x14ac:dyDescent="0.2">
      <c r="B104" s="244"/>
      <c r="C104" s="40" t="s">
        <v>347</v>
      </c>
      <c r="D104" s="40"/>
      <c r="E104" s="40"/>
      <c r="F104" s="310">
        <f>'105'!A422</f>
        <v>0</v>
      </c>
      <c r="G104" s="310">
        <f>'105'!A429</f>
        <v>0</v>
      </c>
      <c r="H104" s="310">
        <f>'105'!A436</f>
        <v>0</v>
      </c>
      <c r="I104" s="310">
        <f>'105'!A443</f>
        <v>0</v>
      </c>
      <c r="J104" s="310">
        <f>'105'!A450</f>
        <v>0</v>
      </c>
      <c r="K104" s="310">
        <f>'105'!A457</f>
        <v>0</v>
      </c>
      <c r="L104" s="310">
        <f>'105'!A464</f>
        <v>0</v>
      </c>
      <c r="M104" s="310">
        <f>'105'!A471</f>
        <v>0</v>
      </c>
      <c r="N104" s="179"/>
    </row>
    <row r="105" spans="2:14" x14ac:dyDescent="0.2">
      <c r="B105" s="244"/>
      <c r="C105" s="40" t="s">
        <v>348</v>
      </c>
      <c r="D105" s="40"/>
      <c r="E105" s="40"/>
      <c r="F105" s="310">
        <f>'105'!A423</f>
        <v>0</v>
      </c>
      <c r="G105" s="310">
        <f>'105'!A430</f>
        <v>0</v>
      </c>
      <c r="H105" s="310">
        <f>'105'!A437</f>
        <v>0</v>
      </c>
      <c r="I105" s="310">
        <f>'105'!A444</f>
        <v>0</v>
      </c>
      <c r="J105" s="310">
        <f>'105'!A451</f>
        <v>0</v>
      </c>
      <c r="K105" s="310">
        <f>'105'!A458</f>
        <v>0</v>
      </c>
      <c r="L105" s="310">
        <f>'105'!A465</f>
        <v>0</v>
      </c>
      <c r="M105" s="310">
        <f>'105'!A472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f>'105'!A424</f>
        <v>0</v>
      </c>
      <c r="G107" s="323">
        <f>'105'!A431</f>
        <v>0</v>
      </c>
      <c r="H107" s="323">
        <f>'105'!A438</f>
        <v>0</v>
      </c>
      <c r="I107" s="323">
        <f>'105'!A445</f>
        <v>0</v>
      </c>
      <c r="J107" s="323">
        <f>'105'!A452</f>
        <v>0</v>
      </c>
      <c r="K107" s="323">
        <f>'105'!A459</f>
        <v>0</v>
      </c>
      <c r="L107" s="323">
        <f>'105'!A466</f>
        <v>0</v>
      </c>
      <c r="M107" s="323">
        <f>'105'!A473</f>
        <v>0</v>
      </c>
      <c r="N107" s="179"/>
    </row>
    <row r="108" spans="2:14" x14ac:dyDescent="0.2">
      <c r="B108" s="244"/>
      <c r="C108" s="40" t="s">
        <v>351</v>
      </c>
      <c r="D108" s="40"/>
      <c r="E108" s="40"/>
      <c r="F108" s="323">
        <f>'105'!A425</f>
        <v>0</v>
      </c>
      <c r="G108" s="323">
        <f>'105'!A432</f>
        <v>0</v>
      </c>
      <c r="H108" s="323">
        <f>'105'!A439</f>
        <v>0</v>
      </c>
      <c r="I108" s="323">
        <f>'105'!A446</f>
        <v>0</v>
      </c>
      <c r="J108" s="323">
        <f>'105'!A453</f>
        <v>0</v>
      </c>
      <c r="K108" s="323">
        <f>'105'!A460</f>
        <v>0</v>
      </c>
      <c r="L108" s="323">
        <f>'105'!A467</f>
        <v>0</v>
      </c>
      <c r="M108" s="323">
        <f>'105'!A474</f>
        <v>0</v>
      </c>
      <c r="N108" s="179"/>
    </row>
    <row r="109" spans="2:14" x14ac:dyDescent="0.2">
      <c r="B109" s="244"/>
      <c r="C109" s="40" t="s">
        <v>352</v>
      </c>
      <c r="D109" s="40"/>
      <c r="E109" s="40"/>
      <c r="F109" s="323">
        <f>'105'!A426</f>
        <v>0</v>
      </c>
      <c r="G109" s="323">
        <f>'105'!A433</f>
        <v>0</v>
      </c>
      <c r="H109" s="323">
        <f>'105'!A440</f>
        <v>0</v>
      </c>
      <c r="I109" s="323">
        <f>'105'!A447</f>
        <v>0</v>
      </c>
      <c r="J109" s="323">
        <f>'105'!A454</f>
        <v>0</v>
      </c>
      <c r="K109" s="323">
        <f>'105'!A461</f>
        <v>0</v>
      </c>
      <c r="L109" s="323">
        <f>'105'!A468</f>
        <v>0</v>
      </c>
      <c r="M109" s="323">
        <f>'105'!A475</f>
        <v>0</v>
      </c>
      <c r="N109" s="179"/>
    </row>
    <row r="110" spans="2:14" x14ac:dyDescent="0.2">
      <c r="B110" s="244"/>
      <c r="C110" s="40" t="s">
        <v>353</v>
      </c>
      <c r="D110" s="40"/>
      <c r="E110" s="40"/>
      <c r="F110" s="323">
        <f>'105'!A427</f>
        <v>0</v>
      </c>
      <c r="G110" s="323">
        <f>'105'!A434</f>
        <v>0</v>
      </c>
      <c r="H110" s="323">
        <f>'105'!A441</f>
        <v>0</v>
      </c>
      <c r="I110" s="323">
        <f>'105'!A448</f>
        <v>0</v>
      </c>
      <c r="J110" s="323">
        <f>'105'!A455</f>
        <v>0</v>
      </c>
      <c r="K110" s="323">
        <f>'105'!A462</f>
        <v>0</v>
      </c>
      <c r="L110" s="323">
        <f>'105'!A469</f>
        <v>0</v>
      </c>
      <c r="M110" s="323">
        <f>'105'!A476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1">
    <tabColor theme="5" tint="-0.499984740745262"/>
    <pageSetUpPr fitToPage="1"/>
  </sheetPr>
  <dimension ref="I1:I862"/>
  <sheetViews>
    <sheetView topLeftCell="A737"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9:9" x14ac:dyDescent="0.2">
      <c r="I1" s="175"/>
    </row>
    <row r="2" spans="9:9" x14ac:dyDescent="0.2">
      <c r="I2" s="175"/>
    </row>
    <row r="3" spans="9:9" x14ac:dyDescent="0.2">
      <c r="I3" s="175"/>
    </row>
    <row r="4" spans="9:9" x14ac:dyDescent="0.2">
      <c r="I4" s="175"/>
    </row>
    <row r="5" spans="9:9" x14ac:dyDescent="0.2">
      <c r="I5" s="175"/>
    </row>
    <row r="6" spans="9:9" x14ac:dyDescent="0.2">
      <c r="I6" s="175"/>
    </row>
    <row r="7" spans="9:9" x14ac:dyDescent="0.2">
      <c r="I7" s="175"/>
    </row>
    <row r="8" spans="9:9" x14ac:dyDescent="0.2">
      <c r="I8" s="175"/>
    </row>
    <row r="9" spans="9:9" x14ac:dyDescent="0.2">
      <c r="I9" s="175"/>
    </row>
    <row r="10" spans="9:9" x14ac:dyDescent="0.2">
      <c r="I10" s="175"/>
    </row>
    <row r="11" spans="9:9" x14ac:dyDescent="0.2">
      <c r="I11" s="175"/>
    </row>
    <row r="12" spans="9:9" x14ac:dyDescent="0.2">
      <c r="I12" s="175"/>
    </row>
    <row r="13" spans="9:9" x14ac:dyDescent="0.2">
      <c r="I13" s="175"/>
    </row>
    <row r="14" spans="9:9" x14ac:dyDescent="0.2">
      <c r="I14" s="175"/>
    </row>
    <row r="15" spans="9:9" x14ac:dyDescent="0.2">
      <c r="I15" s="175"/>
    </row>
    <row r="16" spans="9:9" x14ac:dyDescent="0.2">
      <c r="I16" s="175"/>
    </row>
    <row r="17" spans="9:9" x14ac:dyDescent="0.2">
      <c r="I17" s="175"/>
    </row>
    <row r="18" spans="9:9" x14ac:dyDescent="0.2">
      <c r="I18" s="175"/>
    </row>
    <row r="19" spans="9:9" x14ac:dyDescent="0.2">
      <c r="I19" s="175"/>
    </row>
    <row r="20" spans="9:9" x14ac:dyDescent="0.2">
      <c r="I20" s="175"/>
    </row>
    <row r="21" spans="9:9" x14ac:dyDescent="0.2">
      <c r="I21" s="175"/>
    </row>
    <row r="22" spans="9:9" x14ac:dyDescent="0.2">
      <c r="I22" s="175"/>
    </row>
    <row r="23" spans="9:9" x14ac:dyDescent="0.2">
      <c r="I23" s="175"/>
    </row>
    <row r="24" spans="9:9" x14ac:dyDescent="0.2">
      <c r="I24" s="175"/>
    </row>
    <row r="25" spans="9:9" x14ac:dyDescent="0.2">
      <c r="I25" s="175"/>
    </row>
    <row r="26" spans="9:9" x14ac:dyDescent="0.2">
      <c r="I26" s="175"/>
    </row>
    <row r="27" spans="9:9" x14ac:dyDescent="0.2">
      <c r="I27" s="175"/>
    </row>
    <row r="28" spans="9:9" x14ac:dyDescent="0.2">
      <c r="I28" s="175"/>
    </row>
    <row r="29" spans="9:9" x14ac:dyDescent="0.2">
      <c r="I29" s="175"/>
    </row>
    <row r="30" spans="9:9" x14ac:dyDescent="0.2">
      <c r="I30" s="175"/>
    </row>
    <row r="31" spans="9:9" x14ac:dyDescent="0.2">
      <c r="I31" s="175"/>
    </row>
    <row r="32" spans="9:9" x14ac:dyDescent="0.2">
      <c r="I32" s="175"/>
    </row>
    <row r="33" spans="9:9" x14ac:dyDescent="0.2">
      <c r="I33" s="175"/>
    </row>
    <row r="34" spans="9:9" x14ac:dyDescent="0.2">
      <c r="I34" s="175"/>
    </row>
    <row r="35" spans="9:9" x14ac:dyDescent="0.2">
      <c r="I35" s="175"/>
    </row>
    <row r="36" spans="9:9" x14ac:dyDescent="0.2">
      <c r="I36" s="175"/>
    </row>
    <row r="37" spans="9:9" x14ac:dyDescent="0.2">
      <c r="I37" s="175"/>
    </row>
    <row r="38" spans="9:9" x14ac:dyDescent="0.2">
      <c r="I38" s="175"/>
    </row>
    <row r="39" spans="9:9" x14ac:dyDescent="0.2">
      <c r="I39" s="175"/>
    </row>
    <row r="40" spans="9:9" x14ac:dyDescent="0.2">
      <c r="I40" s="175"/>
    </row>
    <row r="41" spans="9:9" x14ac:dyDescent="0.2">
      <c r="I41" s="175"/>
    </row>
    <row r="42" spans="9:9" x14ac:dyDescent="0.2">
      <c r="I42" s="175"/>
    </row>
    <row r="43" spans="9:9" x14ac:dyDescent="0.2">
      <c r="I43" s="175"/>
    </row>
    <row r="44" spans="9:9" x14ac:dyDescent="0.2">
      <c r="I44" s="175"/>
    </row>
    <row r="45" spans="9:9" x14ac:dyDescent="0.2">
      <c r="I45" s="175"/>
    </row>
    <row r="46" spans="9:9" x14ac:dyDescent="0.2">
      <c r="I46" s="175"/>
    </row>
    <row r="47" spans="9:9" x14ac:dyDescent="0.2">
      <c r="I47" s="175"/>
    </row>
    <row r="48" spans="9:9" x14ac:dyDescent="0.2">
      <c r="I48" s="175"/>
    </row>
    <row r="49" spans="9:9" x14ac:dyDescent="0.2">
      <c r="I49" s="175"/>
    </row>
    <row r="50" spans="9:9" x14ac:dyDescent="0.2">
      <c r="I50" s="175"/>
    </row>
    <row r="51" spans="9:9" x14ac:dyDescent="0.2">
      <c r="I51" s="175"/>
    </row>
    <row r="52" spans="9:9" x14ac:dyDescent="0.2">
      <c r="I52" s="175"/>
    </row>
    <row r="53" spans="9:9" x14ac:dyDescent="0.2">
      <c r="I53" s="175"/>
    </row>
    <row r="54" spans="9:9" x14ac:dyDescent="0.2">
      <c r="I54" s="175"/>
    </row>
    <row r="55" spans="9:9" x14ac:dyDescent="0.2">
      <c r="I55" s="175"/>
    </row>
    <row r="56" spans="9:9" x14ac:dyDescent="0.2">
      <c r="I56" s="175"/>
    </row>
    <row r="57" spans="9:9" x14ac:dyDescent="0.2">
      <c r="I57" s="175"/>
    </row>
    <row r="58" spans="9:9" x14ac:dyDescent="0.2">
      <c r="I58" s="175"/>
    </row>
    <row r="59" spans="9:9" x14ac:dyDescent="0.2">
      <c r="I59" s="175"/>
    </row>
    <row r="60" spans="9:9" x14ac:dyDescent="0.2">
      <c r="I60" s="175"/>
    </row>
    <row r="61" spans="9:9" x14ac:dyDescent="0.2">
      <c r="I61" s="175"/>
    </row>
    <row r="62" spans="9:9" x14ac:dyDescent="0.2">
      <c r="I62" s="175"/>
    </row>
    <row r="63" spans="9:9" x14ac:dyDescent="0.2">
      <c r="I63" s="175"/>
    </row>
    <row r="64" spans="9:9" x14ac:dyDescent="0.2">
      <c r="I64" s="175"/>
    </row>
    <row r="65" spans="9:9" x14ac:dyDescent="0.2">
      <c r="I65" s="175"/>
    </row>
    <row r="66" spans="9:9" x14ac:dyDescent="0.2">
      <c r="I66" s="175"/>
    </row>
    <row r="67" spans="9:9" x14ac:dyDescent="0.2">
      <c r="I67" s="175"/>
    </row>
    <row r="68" spans="9:9" x14ac:dyDescent="0.2">
      <c r="I68" s="175"/>
    </row>
    <row r="69" spans="9:9" x14ac:dyDescent="0.2">
      <c r="I69" s="175"/>
    </row>
    <row r="70" spans="9:9" x14ac:dyDescent="0.2">
      <c r="I70" s="175"/>
    </row>
    <row r="71" spans="9:9" x14ac:dyDescent="0.2">
      <c r="I71" s="175"/>
    </row>
    <row r="72" spans="9:9" x14ac:dyDescent="0.2">
      <c r="I72" s="175"/>
    </row>
    <row r="73" spans="9:9" x14ac:dyDescent="0.2">
      <c r="I73" s="175"/>
    </row>
    <row r="74" spans="9:9" x14ac:dyDescent="0.2">
      <c r="I74" s="175"/>
    </row>
    <row r="75" spans="9:9" x14ac:dyDescent="0.2">
      <c r="I75" s="175"/>
    </row>
    <row r="76" spans="9:9" x14ac:dyDescent="0.2">
      <c r="I76" s="175"/>
    </row>
    <row r="77" spans="9:9" x14ac:dyDescent="0.2">
      <c r="I77" s="175"/>
    </row>
    <row r="78" spans="9:9" x14ac:dyDescent="0.2">
      <c r="I78" s="175"/>
    </row>
    <row r="79" spans="9:9" x14ac:dyDescent="0.2">
      <c r="I79" s="175"/>
    </row>
    <row r="80" spans="9:9" x14ac:dyDescent="0.2">
      <c r="I80" s="175"/>
    </row>
    <row r="81" spans="9:9" x14ac:dyDescent="0.2">
      <c r="I81" s="175"/>
    </row>
    <row r="82" spans="9:9" x14ac:dyDescent="0.2">
      <c r="I82" s="175"/>
    </row>
    <row r="83" spans="9:9" x14ac:dyDescent="0.2">
      <c r="I83" s="175"/>
    </row>
    <row r="84" spans="9:9" x14ac:dyDescent="0.2">
      <c r="I84" s="175"/>
    </row>
    <row r="85" spans="9:9" x14ac:dyDescent="0.2">
      <c r="I85" s="175"/>
    </row>
    <row r="86" spans="9:9" x14ac:dyDescent="0.2">
      <c r="I86" s="175"/>
    </row>
    <row r="87" spans="9:9" x14ac:dyDescent="0.2">
      <c r="I87" s="175"/>
    </row>
    <row r="88" spans="9:9" x14ac:dyDescent="0.2">
      <c r="I88" s="175"/>
    </row>
    <row r="89" spans="9:9" x14ac:dyDescent="0.2">
      <c r="I89" s="175"/>
    </row>
    <row r="90" spans="9:9" x14ac:dyDescent="0.2">
      <c r="I90" s="175"/>
    </row>
    <row r="91" spans="9:9" x14ac:dyDescent="0.2">
      <c r="I91" s="175"/>
    </row>
    <row r="92" spans="9:9" x14ac:dyDescent="0.2">
      <c r="I92" s="175"/>
    </row>
    <row r="93" spans="9:9" x14ac:dyDescent="0.2">
      <c r="I93" s="175"/>
    </row>
    <row r="94" spans="9:9" x14ac:dyDescent="0.2">
      <c r="I94" s="175"/>
    </row>
    <row r="95" spans="9:9" x14ac:dyDescent="0.2">
      <c r="I95" s="175"/>
    </row>
    <row r="96" spans="9:9" x14ac:dyDescent="0.2">
      <c r="I96" s="175"/>
    </row>
    <row r="97" spans="9:9" x14ac:dyDescent="0.2">
      <c r="I97" s="175"/>
    </row>
    <row r="98" spans="9:9" x14ac:dyDescent="0.2">
      <c r="I98" s="175"/>
    </row>
    <row r="99" spans="9:9" x14ac:dyDescent="0.2">
      <c r="I99" s="175"/>
    </row>
    <row r="100" spans="9:9" x14ac:dyDescent="0.2">
      <c r="I100" s="175"/>
    </row>
    <row r="101" spans="9:9" x14ac:dyDescent="0.2">
      <c r="I101" s="175"/>
    </row>
    <row r="102" spans="9:9" x14ac:dyDescent="0.2">
      <c r="I102" s="175"/>
    </row>
    <row r="103" spans="9:9" x14ac:dyDescent="0.2">
      <c r="I103" s="175"/>
    </row>
    <row r="104" spans="9:9" x14ac:dyDescent="0.2">
      <c r="I104" s="175"/>
    </row>
    <row r="105" spans="9:9" x14ac:dyDescent="0.2">
      <c r="I105" s="175"/>
    </row>
    <row r="106" spans="9:9" x14ac:dyDescent="0.2">
      <c r="I106" s="175"/>
    </row>
    <row r="107" spans="9:9" x14ac:dyDescent="0.2">
      <c r="I107" s="175"/>
    </row>
    <row r="108" spans="9:9" x14ac:dyDescent="0.2">
      <c r="I108" s="175"/>
    </row>
    <row r="109" spans="9:9" x14ac:dyDescent="0.2">
      <c r="I109" s="175"/>
    </row>
    <row r="110" spans="9:9" x14ac:dyDescent="0.2">
      <c r="I110" s="175"/>
    </row>
    <row r="111" spans="9:9" x14ac:dyDescent="0.2">
      <c r="I111" s="175"/>
    </row>
    <row r="112" spans="9:9" x14ac:dyDescent="0.2">
      <c r="I112" s="175"/>
    </row>
    <row r="113" spans="9:9" x14ac:dyDescent="0.2">
      <c r="I113" s="175"/>
    </row>
    <row r="114" spans="9:9" x14ac:dyDescent="0.2">
      <c r="I114" s="175"/>
    </row>
    <row r="115" spans="9:9" x14ac:dyDescent="0.2">
      <c r="I115" s="175"/>
    </row>
    <row r="116" spans="9:9" x14ac:dyDescent="0.2">
      <c r="I116" s="175"/>
    </row>
    <row r="117" spans="9:9" x14ac:dyDescent="0.2">
      <c r="I117" s="175"/>
    </row>
    <row r="118" spans="9:9" x14ac:dyDescent="0.2">
      <c r="I118" s="175"/>
    </row>
    <row r="119" spans="9:9" x14ac:dyDescent="0.2">
      <c r="I119" s="175"/>
    </row>
    <row r="120" spans="9:9" x14ac:dyDescent="0.2">
      <c r="I120" s="175"/>
    </row>
    <row r="121" spans="9:9" x14ac:dyDescent="0.2">
      <c r="I121" s="175"/>
    </row>
    <row r="122" spans="9:9" x14ac:dyDescent="0.2">
      <c r="I122" s="175"/>
    </row>
    <row r="123" spans="9:9" x14ac:dyDescent="0.2">
      <c r="I123" s="175"/>
    </row>
    <row r="124" spans="9:9" x14ac:dyDescent="0.2">
      <c r="I124" s="175"/>
    </row>
    <row r="125" spans="9:9" x14ac:dyDescent="0.2">
      <c r="I125" s="175"/>
    </row>
    <row r="126" spans="9:9" x14ac:dyDescent="0.2">
      <c r="I126" s="175"/>
    </row>
    <row r="127" spans="9:9" x14ac:dyDescent="0.2">
      <c r="I127" s="175"/>
    </row>
    <row r="128" spans="9:9" x14ac:dyDescent="0.2">
      <c r="I128" s="175"/>
    </row>
    <row r="129" spans="9:9" x14ac:dyDescent="0.2">
      <c r="I129" s="175"/>
    </row>
    <row r="130" spans="9:9" x14ac:dyDescent="0.2">
      <c r="I130" s="175"/>
    </row>
    <row r="131" spans="9:9" x14ac:dyDescent="0.2">
      <c r="I131" s="175"/>
    </row>
    <row r="132" spans="9:9" x14ac:dyDescent="0.2">
      <c r="I132" s="175"/>
    </row>
    <row r="133" spans="9:9" x14ac:dyDescent="0.2">
      <c r="I133" s="175"/>
    </row>
    <row r="134" spans="9:9" x14ac:dyDescent="0.2">
      <c r="I134" s="175"/>
    </row>
    <row r="135" spans="9:9" x14ac:dyDescent="0.2">
      <c r="I135" s="175"/>
    </row>
    <row r="136" spans="9:9" x14ac:dyDescent="0.2">
      <c r="I136" s="175"/>
    </row>
    <row r="137" spans="9:9" x14ac:dyDescent="0.2">
      <c r="I137" s="175"/>
    </row>
    <row r="138" spans="9:9" x14ac:dyDescent="0.2">
      <c r="I138" s="175"/>
    </row>
    <row r="139" spans="9:9" x14ac:dyDescent="0.2">
      <c r="I139" s="175"/>
    </row>
    <row r="140" spans="9:9" x14ac:dyDescent="0.2">
      <c r="I140" s="175"/>
    </row>
    <row r="141" spans="9:9" x14ac:dyDescent="0.2">
      <c r="I141" s="175"/>
    </row>
    <row r="142" spans="9:9" x14ac:dyDescent="0.2">
      <c r="I142" s="175"/>
    </row>
    <row r="143" spans="9:9" x14ac:dyDescent="0.2">
      <c r="I143" s="175"/>
    </row>
    <row r="144" spans="9:9" x14ac:dyDescent="0.2">
      <c r="I144" s="175"/>
    </row>
    <row r="145" spans="9:9" x14ac:dyDescent="0.2">
      <c r="I145" s="175"/>
    </row>
    <row r="146" spans="9:9" x14ac:dyDescent="0.2">
      <c r="I146" s="175"/>
    </row>
    <row r="147" spans="9:9" x14ac:dyDescent="0.2">
      <c r="I147" s="175"/>
    </row>
    <row r="148" spans="9:9" x14ac:dyDescent="0.2">
      <c r="I148" s="175"/>
    </row>
    <row r="149" spans="9:9" x14ac:dyDescent="0.2">
      <c r="I149" s="175"/>
    </row>
    <row r="150" spans="9:9" x14ac:dyDescent="0.2">
      <c r="I150" s="175"/>
    </row>
    <row r="151" spans="9:9" x14ac:dyDescent="0.2">
      <c r="I151" s="175"/>
    </row>
    <row r="152" spans="9:9" x14ac:dyDescent="0.2">
      <c r="I152" s="175"/>
    </row>
    <row r="153" spans="9:9" x14ac:dyDescent="0.2">
      <c r="I153" s="175"/>
    </row>
    <row r="154" spans="9:9" x14ac:dyDescent="0.2">
      <c r="I154" s="175"/>
    </row>
    <row r="155" spans="9:9" x14ac:dyDescent="0.2">
      <c r="I155" s="175"/>
    </row>
    <row r="156" spans="9:9" x14ac:dyDescent="0.2">
      <c r="I156" s="175"/>
    </row>
    <row r="157" spans="9:9" x14ac:dyDescent="0.2">
      <c r="I157" s="175"/>
    </row>
    <row r="158" spans="9:9" x14ac:dyDescent="0.2">
      <c r="I158" s="175"/>
    </row>
    <row r="159" spans="9:9" x14ac:dyDescent="0.2">
      <c r="I159" s="175"/>
    </row>
    <row r="160" spans="9:9" x14ac:dyDescent="0.2">
      <c r="I160" s="175"/>
    </row>
    <row r="161" spans="9:9" x14ac:dyDescent="0.2">
      <c r="I161" s="175"/>
    </row>
    <row r="162" spans="9:9" x14ac:dyDescent="0.2">
      <c r="I162" s="175"/>
    </row>
    <row r="163" spans="9:9" x14ac:dyDescent="0.2">
      <c r="I163" s="175"/>
    </row>
    <row r="164" spans="9:9" x14ac:dyDescent="0.2">
      <c r="I164" s="175"/>
    </row>
    <row r="165" spans="9:9" x14ac:dyDescent="0.2">
      <c r="I165" s="175"/>
    </row>
    <row r="166" spans="9:9" x14ac:dyDescent="0.2">
      <c r="I166" s="175"/>
    </row>
    <row r="167" spans="9:9" x14ac:dyDescent="0.2">
      <c r="I167" s="175"/>
    </row>
    <row r="168" spans="9:9" x14ac:dyDescent="0.2">
      <c r="I168" s="175"/>
    </row>
    <row r="169" spans="9:9" x14ac:dyDescent="0.2">
      <c r="I169" s="175"/>
    </row>
    <row r="170" spans="9:9" x14ac:dyDescent="0.2">
      <c r="I170" s="175"/>
    </row>
    <row r="171" spans="9:9" x14ac:dyDescent="0.2">
      <c r="I171" s="175"/>
    </row>
    <row r="172" spans="9:9" x14ac:dyDescent="0.2">
      <c r="I172" s="175"/>
    </row>
    <row r="173" spans="9:9" x14ac:dyDescent="0.2">
      <c r="I173" s="175"/>
    </row>
    <row r="174" spans="9:9" x14ac:dyDescent="0.2">
      <c r="I174" s="175"/>
    </row>
    <row r="175" spans="9:9" x14ac:dyDescent="0.2">
      <c r="I175" s="175"/>
    </row>
    <row r="176" spans="9:9" x14ac:dyDescent="0.2">
      <c r="I176" s="175"/>
    </row>
    <row r="177" spans="9:9" x14ac:dyDescent="0.2">
      <c r="I177" s="175"/>
    </row>
    <row r="178" spans="9:9" x14ac:dyDescent="0.2">
      <c r="I178" s="175"/>
    </row>
    <row r="179" spans="9:9" x14ac:dyDescent="0.2">
      <c r="I179" s="175"/>
    </row>
    <row r="180" spans="9:9" x14ac:dyDescent="0.2">
      <c r="I180" s="175"/>
    </row>
    <row r="181" spans="9:9" x14ac:dyDescent="0.2">
      <c r="I181" s="175"/>
    </row>
    <row r="182" spans="9:9" x14ac:dyDescent="0.2">
      <c r="I182" s="175"/>
    </row>
    <row r="183" spans="9:9" x14ac:dyDescent="0.2">
      <c r="I183" s="175"/>
    </row>
    <row r="184" spans="9:9" x14ac:dyDescent="0.2">
      <c r="I184" s="175"/>
    </row>
    <row r="185" spans="9:9" x14ac:dyDescent="0.2">
      <c r="I185" s="175"/>
    </row>
    <row r="186" spans="9:9" x14ac:dyDescent="0.2">
      <c r="I186" s="175"/>
    </row>
    <row r="187" spans="9:9" x14ac:dyDescent="0.2">
      <c r="I187" s="175"/>
    </row>
    <row r="188" spans="9:9" x14ac:dyDescent="0.2">
      <c r="I188" s="175"/>
    </row>
    <row r="189" spans="9:9" x14ac:dyDescent="0.2">
      <c r="I189" s="175"/>
    </row>
    <row r="190" spans="9:9" x14ac:dyDescent="0.2">
      <c r="I190" s="175"/>
    </row>
    <row r="191" spans="9:9" x14ac:dyDescent="0.2">
      <c r="I191" s="175"/>
    </row>
    <row r="192" spans="9:9" x14ac:dyDescent="0.2">
      <c r="I192" s="175"/>
    </row>
    <row r="193" spans="9:9" x14ac:dyDescent="0.2">
      <c r="I193" s="175"/>
    </row>
    <row r="194" spans="9:9" x14ac:dyDescent="0.2">
      <c r="I194" s="175"/>
    </row>
    <row r="195" spans="9:9" x14ac:dyDescent="0.2">
      <c r="I195" s="175"/>
    </row>
    <row r="196" spans="9:9" x14ac:dyDescent="0.2">
      <c r="I196" s="175"/>
    </row>
    <row r="197" spans="9:9" x14ac:dyDescent="0.2">
      <c r="I197" s="175"/>
    </row>
    <row r="198" spans="9:9" x14ac:dyDescent="0.2">
      <c r="I198" s="175"/>
    </row>
    <row r="199" spans="9:9" x14ac:dyDescent="0.2">
      <c r="I199" s="175"/>
    </row>
    <row r="200" spans="9:9" x14ac:dyDescent="0.2">
      <c r="I200" s="175"/>
    </row>
    <row r="201" spans="9:9" x14ac:dyDescent="0.2">
      <c r="I201" s="175"/>
    </row>
    <row r="202" spans="9:9" x14ac:dyDescent="0.2">
      <c r="I202" s="175"/>
    </row>
    <row r="203" spans="9:9" x14ac:dyDescent="0.2">
      <c r="I203" s="175"/>
    </row>
    <row r="204" spans="9:9" x14ac:dyDescent="0.2">
      <c r="I204" s="175"/>
    </row>
    <row r="205" spans="9:9" x14ac:dyDescent="0.2">
      <c r="I205" s="175"/>
    </row>
    <row r="206" spans="9:9" x14ac:dyDescent="0.2">
      <c r="I206" s="175"/>
    </row>
    <row r="207" spans="9:9" x14ac:dyDescent="0.2">
      <c r="I207" s="175"/>
    </row>
    <row r="208" spans="9:9" x14ac:dyDescent="0.2">
      <c r="I208" s="175"/>
    </row>
    <row r="209" spans="9:9" x14ac:dyDescent="0.2">
      <c r="I209" s="175"/>
    </row>
    <row r="210" spans="9:9" x14ac:dyDescent="0.2">
      <c r="I210" s="175"/>
    </row>
    <row r="211" spans="9:9" x14ac:dyDescent="0.2">
      <c r="I211" s="175"/>
    </row>
    <row r="212" spans="9:9" x14ac:dyDescent="0.2">
      <c r="I212" s="175"/>
    </row>
    <row r="213" spans="9:9" x14ac:dyDescent="0.2">
      <c r="I213" s="175"/>
    </row>
    <row r="214" spans="9:9" x14ac:dyDescent="0.2">
      <c r="I214" s="175"/>
    </row>
    <row r="215" spans="9:9" x14ac:dyDescent="0.2">
      <c r="I215" s="175"/>
    </row>
    <row r="216" spans="9:9" x14ac:dyDescent="0.2">
      <c r="I216" s="175"/>
    </row>
    <row r="217" spans="9:9" x14ac:dyDescent="0.2">
      <c r="I217" s="175"/>
    </row>
    <row r="218" spans="9:9" x14ac:dyDescent="0.2">
      <c r="I218" s="175"/>
    </row>
    <row r="219" spans="9:9" x14ac:dyDescent="0.2">
      <c r="I219" s="175"/>
    </row>
    <row r="220" spans="9:9" x14ac:dyDescent="0.2">
      <c r="I220" s="175"/>
    </row>
    <row r="221" spans="9:9" x14ac:dyDescent="0.2">
      <c r="I221" s="175"/>
    </row>
    <row r="222" spans="9:9" x14ac:dyDescent="0.2">
      <c r="I222" s="175"/>
    </row>
    <row r="223" spans="9:9" x14ac:dyDescent="0.2">
      <c r="I223" s="175"/>
    </row>
    <row r="224" spans="9:9" x14ac:dyDescent="0.2">
      <c r="I224" s="175"/>
    </row>
    <row r="225" spans="9:9" x14ac:dyDescent="0.2">
      <c r="I225" s="175"/>
    </row>
    <row r="226" spans="9:9" x14ac:dyDescent="0.2">
      <c r="I226" s="175"/>
    </row>
    <row r="227" spans="9:9" x14ac:dyDescent="0.2">
      <c r="I227" s="175"/>
    </row>
    <row r="228" spans="9:9" x14ac:dyDescent="0.2">
      <c r="I228" s="175"/>
    </row>
    <row r="229" spans="9:9" x14ac:dyDescent="0.2">
      <c r="I229" s="175"/>
    </row>
    <row r="230" spans="9:9" x14ac:dyDescent="0.2">
      <c r="I230" s="175"/>
    </row>
    <row r="231" spans="9:9" x14ac:dyDescent="0.2">
      <c r="I231" s="175"/>
    </row>
    <row r="232" spans="9:9" x14ac:dyDescent="0.2">
      <c r="I232" s="175"/>
    </row>
    <row r="233" spans="9:9" x14ac:dyDescent="0.2">
      <c r="I233" s="175"/>
    </row>
    <row r="234" spans="9:9" x14ac:dyDescent="0.2">
      <c r="I234" s="175"/>
    </row>
    <row r="235" spans="9:9" x14ac:dyDescent="0.2">
      <c r="I235" s="175"/>
    </row>
    <row r="236" spans="9:9" x14ac:dyDescent="0.2">
      <c r="I236" s="175"/>
    </row>
    <row r="237" spans="9:9" x14ac:dyDescent="0.2">
      <c r="I237" s="175"/>
    </row>
    <row r="238" spans="9:9" x14ac:dyDescent="0.2">
      <c r="I238" s="175"/>
    </row>
    <row r="239" spans="9:9" x14ac:dyDescent="0.2">
      <c r="I239" s="175"/>
    </row>
    <row r="240" spans="9:9" x14ac:dyDescent="0.2">
      <c r="I240" s="175"/>
    </row>
    <row r="241" spans="9:9" x14ac:dyDescent="0.2">
      <c r="I241" s="175"/>
    </row>
    <row r="242" spans="9:9" x14ac:dyDescent="0.2">
      <c r="I242" s="175"/>
    </row>
    <row r="243" spans="9:9" x14ac:dyDescent="0.2">
      <c r="I243" s="175"/>
    </row>
    <row r="244" spans="9:9" x14ac:dyDescent="0.2">
      <c r="I244" s="175"/>
    </row>
    <row r="245" spans="9:9" x14ac:dyDescent="0.2">
      <c r="I245" s="175"/>
    </row>
    <row r="246" spans="9:9" x14ac:dyDescent="0.2">
      <c r="I246" s="175"/>
    </row>
    <row r="247" spans="9:9" x14ac:dyDescent="0.2">
      <c r="I247" s="175"/>
    </row>
    <row r="248" spans="9:9" x14ac:dyDescent="0.2">
      <c r="I248" s="175"/>
    </row>
    <row r="249" spans="9:9" x14ac:dyDescent="0.2">
      <c r="I249" s="175"/>
    </row>
    <row r="250" spans="9:9" x14ac:dyDescent="0.2">
      <c r="I250" s="175"/>
    </row>
    <row r="251" spans="9:9" x14ac:dyDescent="0.2">
      <c r="I251" s="175"/>
    </row>
    <row r="252" spans="9:9" x14ac:dyDescent="0.2">
      <c r="I252" s="175"/>
    </row>
    <row r="253" spans="9:9" x14ac:dyDescent="0.2">
      <c r="I253" s="175"/>
    </row>
    <row r="254" spans="9:9" x14ac:dyDescent="0.2">
      <c r="I254" s="175"/>
    </row>
    <row r="255" spans="9:9" x14ac:dyDescent="0.2">
      <c r="I255" s="175"/>
    </row>
    <row r="256" spans="9:9" x14ac:dyDescent="0.2">
      <c r="I256" s="175"/>
    </row>
    <row r="257" spans="9:9" x14ac:dyDescent="0.2">
      <c r="I257" s="175"/>
    </row>
    <row r="258" spans="9:9" x14ac:dyDescent="0.2">
      <c r="I258" s="175"/>
    </row>
    <row r="259" spans="9:9" x14ac:dyDescent="0.2">
      <c r="I259" s="175"/>
    </row>
    <row r="260" spans="9:9" x14ac:dyDescent="0.2">
      <c r="I260" s="175"/>
    </row>
    <row r="261" spans="9:9" x14ac:dyDescent="0.2">
      <c r="I261" s="175"/>
    </row>
    <row r="262" spans="9:9" x14ac:dyDescent="0.2">
      <c r="I262" s="175"/>
    </row>
    <row r="263" spans="9:9" x14ac:dyDescent="0.2">
      <c r="I263" s="175"/>
    </row>
    <row r="264" spans="9:9" x14ac:dyDescent="0.2">
      <c r="I264" s="175"/>
    </row>
    <row r="265" spans="9:9" x14ac:dyDescent="0.2">
      <c r="I265" s="175"/>
    </row>
    <row r="266" spans="9:9" x14ac:dyDescent="0.2">
      <c r="I266" s="175"/>
    </row>
    <row r="267" spans="9:9" x14ac:dyDescent="0.2">
      <c r="I267" s="175"/>
    </row>
    <row r="268" spans="9:9" x14ac:dyDescent="0.2">
      <c r="I268" s="175"/>
    </row>
    <row r="269" spans="9:9" x14ac:dyDescent="0.2">
      <c r="I269" s="175"/>
    </row>
    <row r="270" spans="9:9" x14ac:dyDescent="0.2">
      <c r="I270" s="175"/>
    </row>
    <row r="271" spans="9:9" x14ac:dyDescent="0.2">
      <c r="I271" s="175"/>
    </row>
    <row r="272" spans="9:9" x14ac:dyDescent="0.2">
      <c r="I272" s="175"/>
    </row>
    <row r="273" spans="9:9" x14ac:dyDescent="0.2">
      <c r="I273" s="175"/>
    </row>
    <row r="274" spans="9:9" x14ac:dyDescent="0.2">
      <c r="I274" s="175"/>
    </row>
    <row r="275" spans="9:9" x14ac:dyDescent="0.2">
      <c r="I275" s="175"/>
    </row>
    <row r="276" spans="9:9" x14ac:dyDescent="0.2">
      <c r="I276" s="175"/>
    </row>
    <row r="277" spans="9:9" x14ac:dyDescent="0.2">
      <c r="I277" s="175"/>
    </row>
    <row r="278" spans="9:9" x14ac:dyDescent="0.2">
      <c r="I278" s="175"/>
    </row>
    <row r="279" spans="9:9" x14ac:dyDescent="0.2">
      <c r="I279" s="175"/>
    </row>
    <row r="280" spans="9:9" x14ac:dyDescent="0.2">
      <c r="I280" s="175"/>
    </row>
    <row r="281" spans="9:9" x14ac:dyDescent="0.2">
      <c r="I281" s="175"/>
    </row>
    <row r="282" spans="9:9" x14ac:dyDescent="0.2">
      <c r="I282" s="175"/>
    </row>
    <row r="283" spans="9:9" x14ac:dyDescent="0.2">
      <c r="I283" s="175"/>
    </row>
    <row r="284" spans="9:9" x14ac:dyDescent="0.2">
      <c r="I284" s="175"/>
    </row>
    <row r="285" spans="9:9" x14ac:dyDescent="0.2">
      <c r="I285" s="175"/>
    </row>
    <row r="286" spans="9:9" x14ac:dyDescent="0.2">
      <c r="I286" s="175"/>
    </row>
    <row r="287" spans="9:9" x14ac:dyDescent="0.2">
      <c r="I287" s="175"/>
    </row>
    <row r="288" spans="9:9" x14ac:dyDescent="0.2">
      <c r="I288" s="175"/>
    </row>
    <row r="289" spans="9:9" x14ac:dyDescent="0.2">
      <c r="I289" s="175"/>
    </row>
    <row r="290" spans="9:9" x14ac:dyDescent="0.2">
      <c r="I290" s="175"/>
    </row>
    <row r="291" spans="9:9" x14ac:dyDescent="0.2">
      <c r="I291" s="175"/>
    </row>
    <row r="292" spans="9:9" x14ac:dyDescent="0.2">
      <c r="I292" s="175"/>
    </row>
    <row r="293" spans="9:9" x14ac:dyDescent="0.2">
      <c r="I293" s="175"/>
    </row>
    <row r="294" spans="9:9" x14ac:dyDescent="0.2">
      <c r="I294" s="175"/>
    </row>
    <row r="295" spans="9:9" x14ac:dyDescent="0.2">
      <c r="I295" s="175"/>
    </row>
    <row r="296" spans="9:9" x14ac:dyDescent="0.2">
      <c r="I296" s="175"/>
    </row>
    <row r="297" spans="9:9" x14ac:dyDescent="0.2">
      <c r="I297" s="175"/>
    </row>
    <row r="298" spans="9:9" x14ac:dyDescent="0.2">
      <c r="I298" s="175"/>
    </row>
    <row r="299" spans="9:9" x14ac:dyDescent="0.2">
      <c r="I299" s="175"/>
    </row>
    <row r="300" spans="9:9" x14ac:dyDescent="0.2">
      <c r="I300" s="175"/>
    </row>
    <row r="301" spans="9:9" x14ac:dyDescent="0.2">
      <c r="I301" s="175"/>
    </row>
    <row r="302" spans="9:9" x14ac:dyDescent="0.2">
      <c r="I302" s="175"/>
    </row>
    <row r="303" spans="9:9" x14ac:dyDescent="0.2">
      <c r="I303" s="175"/>
    </row>
    <row r="304" spans="9:9" x14ac:dyDescent="0.2">
      <c r="I304" s="175"/>
    </row>
    <row r="305" spans="9:9" x14ac:dyDescent="0.2">
      <c r="I305" s="175"/>
    </row>
    <row r="306" spans="9:9" x14ac:dyDescent="0.2">
      <c r="I306" s="175"/>
    </row>
    <row r="307" spans="9:9" x14ac:dyDescent="0.2">
      <c r="I307" s="175"/>
    </row>
    <row r="308" spans="9:9" x14ac:dyDescent="0.2">
      <c r="I308" s="175"/>
    </row>
    <row r="309" spans="9:9" x14ac:dyDescent="0.2">
      <c r="I309" s="175"/>
    </row>
    <row r="310" spans="9:9" x14ac:dyDescent="0.2">
      <c r="I310" s="175"/>
    </row>
    <row r="311" spans="9:9" x14ac:dyDescent="0.2">
      <c r="I311" s="175"/>
    </row>
    <row r="312" spans="9:9" x14ac:dyDescent="0.2">
      <c r="I312" s="175"/>
    </row>
    <row r="313" spans="9:9" x14ac:dyDescent="0.2">
      <c r="I313" s="175"/>
    </row>
    <row r="314" spans="9:9" x14ac:dyDescent="0.2">
      <c r="I314" s="175"/>
    </row>
    <row r="315" spans="9:9" x14ac:dyDescent="0.2">
      <c r="I315" s="175"/>
    </row>
    <row r="316" spans="9:9" x14ac:dyDescent="0.2">
      <c r="I316" s="175"/>
    </row>
    <row r="317" spans="9:9" x14ac:dyDescent="0.2">
      <c r="I317" s="175"/>
    </row>
    <row r="318" spans="9:9" x14ac:dyDescent="0.2">
      <c r="I318" s="175"/>
    </row>
    <row r="319" spans="9:9" x14ac:dyDescent="0.2">
      <c r="I319" s="175"/>
    </row>
    <row r="320" spans="9:9" x14ac:dyDescent="0.2">
      <c r="I320" s="175"/>
    </row>
    <row r="321" spans="9:9" x14ac:dyDescent="0.2">
      <c r="I321" s="175"/>
    </row>
    <row r="322" spans="9:9" x14ac:dyDescent="0.2">
      <c r="I322" s="175"/>
    </row>
    <row r="323" spans="9:9" x14ac:dyDescent="0.2">
      <c r="I323" s="175"/>
    </row>
    <row r="324" spans="9:9" x14ac:dyDescent="0.2">
      <c r="I324" s="175"/>
    </row>
    <row r="325" spans="9:9" x14ac:dyDescent="0.2">
      <c r="I325" s="175"/>
    </row>
    <row r="326" spans="9:9" x14ac:dyDescent="0.2">
      <c r="I326" s="175"/>
    </row>
    <row r="327" spans="9:9" x14ac:dyDescent="0.2">
      <c r="I327" s="175"/>
    </row>
    <row r="328" spans="9:9" x14ac:dyDescent="0.2">
      <c r="I328" s="175"/>
    </row>
    <row r="329" spans="9:9" x14ac:dyDescent="0.2">
      <c r="I329" s="175"/>
    </row>
    <row r="330" spans="9:9" x14ac:dyDescent="0.2">
      <c r="I330" s="175"/>
    </row>
    <row r="331" spans="9:9" x14ac:dyDescent="0.2">
      <c r="I331" s="175"/>
    </row>
    <row r="332" spans="9:9" x14ac:dyDescent="0.2">
      <c r="I332" s="175"/>
    </row>
    <row r="333" spans="9:9" x14ac:dyDescent="0.2">
      <c r="I333" s="175"/>
    </row>
    <row r="334" spans="9:9" x14ac:dyDescent="0.2">
      <c r="I334" s="175"/>
    </row>
    <row r="335" spans="9:9" x14ac:dyDescent="0.2">
      <c r="I335" s="175"/>
    </row>
    <row r="336" spans="9:9" x14ac:dyDescent="0.2">
      <c r="I336" s="175"/>
    </row>
    <row r="337" spans="9:9" x14ac:dyDescent="0.2">
      <c r="I337" s="175"/>
    </row>
    <row r="338" spans="9:9" x14ac:dyDescent="0.2">
      <c r="I338" s="175"/>
    </row>
    <row r="339" spans="9:9" x14ac:dyDescent="0.2">
      <c r="I339" s="175"/>
    </row>
    <row r="340" spans="9:9" x14ac:dyDescent="0.2">
      <c r="I340" s="175"/>
    </row>
    <row r="341" spans="9:9" x14ac:dyDescent="0.2">
      <c r="I341" s="175"/>
    </row>
    <row r="342" spans="9:9" x14ac:dyDescent="0.2">
      <c r="I342" s="175"/>
    </row>
    <row r="343" spans="9:9" x14ac:dyDescent="0.2">
      <c r="I343" s="175"/>
    </row>
    <row r="344" spans="9:9" x14ac:dyDescent="0.2">
      <c r="I344" s="175"/>
    </row>
    <row r="345" spans="9:9" x14ac:dyDescent="0.2">
      <c r="I345" s="175"/>
    </row>
    <row r="346" spans="9:9" x14ac:dyDescent="0.2">
      <c r="I346" s="175"/>
    </row>
    <row r="347" spans="9:9" x14ac:dyDescent="0.2">
      <c r="I347" s="175"/>
    </row>
    <row r="348" spans="9:9" x14ac:dyDescent="0.2">
      <c r="I348" s="175"/>
    </row>
    <row r="349" spans="9:9" x14ac:dyDescent="0.2">
      <c r="I349" s="175"/>
    </row>
    <row r="350" spans="9:9" x14ac:dyDescent="0.2">
      <c r="I350" s="175"/>
    </row>
    <row r="351" spans="9:9" x14ac:dyDescent="0.2">
      <c r="I351" s="175"/>
    </row>
    <row r="352" spans="9:9" x14ac:dyDescent="0.2">
      <c r="I352" s="175"/>
    </row>
    <row r="353" spans="9:9" x14ac:dyDescent="0.2">
      <c r="I353" s="175"/>
    </row>
    <row r="354" spans="9:9" x14ac:dyDescent="0.2">
      <c r="I354" s="175"/>
    </row>
    <row r="355" spans="9:9" x14ac:dyDescent="0.2">
      <c r="I355" s="175"/>
    </row>
    <row r="356" spans="9:9" x14ac:dyDescent="0.2">
      <c r="I356" s="175"/>
    </row>
    <row r="357" spans="9:9" x14ac:dyDescent="0.2">
      <c r="I357" s="175"/>
    </row>
    <row r="358" spans="9:9" x14ac:dyDescent="0.2">
      <c r="I358" s="175"/>
    </row>
    <row r="359" spans="9:9" x14ac:dyDescent="0.2">
      <c r="I359" s="175"/>
    </row>
    <row r="360" spans="9:9" x14ac:dyDescent="0.2">
      <c r="I360" s="175"/>
    </row>
    <row r="361" spans="9:9" x14ac:dyDescent="0.2">
      <c r="I361" s="175"/>
    </row>
    <row r="362" spans="9:9" x14ac:dyDescent="0.2">
      <c r="I362" s="175"/>
    </row>
    <row r="363" spans="9:9" x14ac:dyDescent="0.2">
      <c r="I363" s="175"/>
    </row>
    <row r="364" spans="9:9" x14ac:dyDescent="0.2">
      <c r="I364" s="175"/>
    </row>
    <row r="365" spans="9:9" x14ac:dyDescent="0.2">
      <c r="I365" s="175"/>
    </row>
    <row r="366" spans="9:9" x14ac:dyDescent="0.2">
      <c r="I366" s="175"/>
    </row>
    <row r="367" spans="9:9" x14ac:dyDescent="0.2">
      <c r="I367" s="175"/>
    </row>
    <row r="368" spans="9:9" x14ac:dyDescent="0.2">
      <c r="I368" s="175"/>
    </row>
    <row r="369" spans="9:9" x14ac:dyDescent="0.2">
      <c r="I369" s="175"/>
    </row>
    <row r="370" spans="9:9" x14ac:dyDescent="0.2">
      <c r="I370" s="175"/>
    </row>
    <row r="371" spans="9:9" x14ac:dyDescent="0.2">
      <c r="I371" s="175"/>
    </row>
    <row r="372" spans="9:9" x14ac:dyDescent="0.2">
      <c r="I372" s="175"/>
    </row>
    <row r="373" spans="9:9" x14ac:dyDescent="0.2">
      <c r="I373" s="175"/>
    </row>
    <row r="374" spans="9:9" x14ac:dyDescent="0.2">
      <c r="I374" s="175"/>
    </row>
    <row r="375" spans="9:9" x14ac:dyDescent="0.2">
      <c r="I375" s="175"/>
    </row>
    <row r="376" spans="9:9" x14ac:dyDescent="0.2">
      <c r="I376" s="175"/>
    </row>
    <row r="377" spans="9:9" x14ac:dyDescent="0.2">
      <c r="I377" s="175"/>
    </row>
    <row r="378" spans="9:9" x14ac:dyDescent="0.2">
      <c r="I378" s="175"/>
    </row>
    <row r="379" spans="9:9" x14ac:dyDescent="0.2">
      <c r="I379" s="175"/>
    </row>
    <row r="380" spans="9:9" x14ac:dyDescent="0.2">
      <c r="I380" s="175"/>
    </row>
    <row r="381" spans="9:9" x14ac:dyDescent="0.2">
      <c r="I381" s="175"/>
    </row>
    <row r="382" spans="9:9" x14ac:dyDescent="0.2">
      <c r="I382" s="175"/>
    </row>
    <row r="383" spans="9:9" x14ac:dyDescent="0.2">
      <c r="I383" s="175"/>
    </row>
    <row r="384" spans="9:9" x14ac:dyDescent="0.2">
      <c r="I384" s="175"/>
    </row>
    <row r="385" spans="9:9" x14ac:dyDescent="0.2">
      <c r="I385" s="175"/>
    </row>
    <row r="386" spans="9:9" x14ac:dyDescent="0.2">
      <c r="I386" s="175"/>
    </row>
    <row r="387" spans="9:9" x14ac:dyDescent="0.2">
      <c r="I387" s="175"/>
    </row>
    <row r="388" spans="9:9" x14ac:dyDescent="0.2">
      <c r="I388" s="175"/>
    </row>
    <row r="389" spans="9:9" x14ac:dyDescent="0.2">
      <c r="I389" s="175"/>
    </row>
    <row r="390" spans="9:9" x14ac:dyDescent="0.2">
      <c r="I390" s="175"/>
    </row>
    <row r="391" spans="9:9" x14ac:dyDescent="0.2">
      <c r="I391" s="175"/>
    </row>
    <row r="392" spans="9:9" x14ac:dyDescent="0.2">
      <c r="I392" s="175"/>
    </row>
    <row r="393" spans="9:9" x14ac:dyDescent="0.2">
      <c r="I393" s="175"/>
    </row>
    <row r="394" spans="9:9" x14ac:dyDescent="0.2">
      <c r="I394" s="175"/>
    </row>
    <row r="395" spans="9:9" x14ac:dyDescent="0.2">
      <c r="I395" s="175"/>
    </row>
    <row r="396" spans="9:9" x14ac:dyDescent="0.2">
      <c r="I396" s="175"/>
    </row>
    <row r="397" spans="9:9" x14ac:dyDescent="0.2">
      <c r="I397" s="175"/>
    </row>
    <row r="398" spans="9:9" x14ac:dyDescent="0.2">
      <c r="I398" s="175"/>
    </row>
    <row r="399" spans="9:9" x14ac:dyDescent="0.2">
      <c r="I399" s="175"/>
    </row>
    <row r="400" spans="9:9" x14ac:dyDescent="0.2">
      <c r="I400" s="175"/>
    </row>
    <row r="401" spans="9:9" x14ac:dyDescent="0.2">
      <c r="I401" s="175"/>
    </row>
    <row r="402" spans="9:9" x14ac:dyDescent="0.2">
      <c r="I402" s="175"/>
    </row>
    <row r="403" spans="9:9" x14ac:dyDescent="0.2">
      <c r="I403" s="175"/>
    </row>
    <row r="404" spans="9:9" x14ac:dyDescent="0.2">
      <c r="I404" s="175"/>
    </row>
    <row r="405" spans="9:9" x14ac:dyDescent="0.2">
      <c r="I405" s="175"/>
    </row>
    <row r="406" spans="9:9" x14ac:dyDescent="0.2">
      <c r="I406" s="175"/>
    </row>
    <row r="407" spans="9:9" x14ac:dyDescent="0.2">
      <c r="I407" s="175"/>
    </row>
    <row r="408" spans="9:9" x14ac:dyDescent="0.2">
      <c r="I408" s="175"/>
    </row>
    <row r="409" spans="9:9" x14ac:dyDescent="0.2">
      <c r="I409" s="175"/>
    </row>
    <row r="410" spans="9:9" x14ac:dyDescent="0.2">
      <c r="I410" s="175"/>
    </row>
    <row r="411" spans="9:9" x14ac:dyDescent="0.2">
      <c r="I411" s="175"/>
    </row>
    <row r="412" spans="9:9" x14ac:dyDescent="0.2">
      <c r="I412" s="175"/>
    </row>
    <row r="413" spans="9:9" x14ac:dyDescent="0.2">
      <c r="I413" s="175"/>
    </row>
    <row r="414" spans="9:9" x14ac:dyDescent="0.2">
      <c r="I414" s="175"/>
    </row>
    <row r="415" spans="9:9" x14ac:dyDescent="0.2">
      <c r="I415" s="175"/>
    </row>
    <row r="416" spans="9:9" x14ac:dyDescent="0.2">
      <c r="I416" s="175"/>
    </row>
    <row r="417" spans="9:9" x14ac:dyDescent="0.2">
      <c r="I417" s="175"/>
    </row>
    <row r="418" spans="9:9" x14ac:dyDescent="0.2">
      <c r="I418" s="175"/>
    </row>
    <row r="419" spans="9:9" x14ac:dyDescent="0.2">
      <c r="I419" s="175"/>
    </row>
    <row r="420" spans="9:9" x14ac:dyDescent="0.2">
      <c r="I420" s="175"/>
    </row>
    <row r="421" spans="9:9" x14ac:dyDescent="0.2">
      <c r="I421" s="175"/>
    </row>
    <row r="422" spans="9:9" x14ac:dyDescent="0.2">
      <c r="I422" s="175"/>
    </row>
    <row r="423" spans="9:9" x14ac:dyDescent="0.2">
      <c r="I423" s="175"/>
    </row>
    <row r="424" spans="9:9" x14ac:dyDescent="0.2">
      <c r="I424" s="175"/>
    </row>
    <row r="425" spans="9:9" x14ac:dyDescent="0.2">
      <c r="I425" s="175"/>
    </row>
    <row r="426" spans="9:9" x14ac:dyDescent="0.2">
      <c r="I426" s="175"/>
    </row>
    <row r="427" spans="9:9" x14ac:dyDescent="0.2">
      <c r="I427" s="175"/>
    </row>
    <row r="428" spans="9:9" x14ac:dyDescent="0.2">
      <c r="I428" s="175"/>
    </row>
    <row r="429" spans="9:9" x14ac:dyDescent="0.2">
      <c r="I429" s="175"/>
    </row>
    <row r="430" spans="9:9" x14ac:dyDescent="0.2">
      <c r="I430" s="175"/>
    </row>
    <row r="431" spans="9:9" x14ac:dyDescent="0.2">
      <c r="I431" s="175"/>
    </row>
    <row r="432" spans="9:9" x14ac:dyDescent="0.2">
      <c r="I432" s="175"/>
    </row>
    <row r="433" spans="9:9" x14ac:dyDescent="0.2">
      <c r="I433" s="175"/>
    </row>
    <row r="434" spans="9:9" x14ac:dyDescent="0.2">
      <c r="I434" s="175"/>
    </row>
    <row r="435" spans="9:9" x14ac:dyDescent="0.2">
      <c r="I435" s="175"/>
    </row>
    <row r="436" spans="9:9" x14ac:dyDescent="0.2">
      <c r="I436" s="175"/>
    </row>
    <row r="437" spans="9:9" x14ac:dyDescent="0.2">
      <c r="I437" s="175"/>
    </row>
    <row r="438" spans="9:9" x14ac:dyDescent="0.2">
      <c r="I438" s="175"/>
    </row>
    <row r="439" spans="9:9" x14ac:dyDescent="0.2">
      <c r="I439" s="175"/>
    </row>
    <row r="440" spans="9:9" x14ac:dyDescent="0.2">
      <c r="I440" s="175"/>
    </row>
    <row r="441" spans="9:9" x14ac:dyDescent="0.2">
      <c r="I441" s="175"/>
    </row>
    <row r="442" spans="9:9" x14ac:dyDescent="0.2">
      <c r="I442" s="175"/>
    </row>
    <row r="443" spans="9:9" x14ac:dyDescent="0.2">
      <c r="I443" s="175"/>
    </row>
    <row r="444" spans="9:9" x14ac:dyDescent="0.2">
      <c r="I444" s="175"/>
    </row>
    <row r="445" spans="9:9" x14ac:dyDescent="0.2">
      <c r="I445" s="175"/>
    </row>
    <row r="446" spans="9:9" x14ac:dyDescent="0.2">
      <c r="I446" s="175"/>
    </row>
    <row r="447" spans="9:9" x14ac:dyDescent="0.2">
      <c r="I447" s="175"/>
    </row>
    <row r="448" spans="9:9" x14ac:dyDescent="0.2">
      <c r="I448" s="175"/>
    </row>
    <row r="449" spans="9:9" x14ac:dyDescent="0.2">
      <c r="I449" s="175"/>
    </row>
    <row r="450" spans="9:9" x14ac:dyDescent="0.2">
      <c r="I450" s="175"/>
    </row>
    <row r="451" spans="9:9" x14ac:dyDescent="0.2">
      <c r="I451" s="175"/>
    </row>
    <row r="452" spans="9:9" x14ac:dyDescent="0.2">
      <c r="I452" s="175"/>
    </row>
    <row r="453" spans="9:9" x14ac:dyDescent="0.2">
      <c r="I453" s="175"/>
    </row>
    <row r="454" spans="9:9" x14ac:dyDescent="0.2">
      <c r="I454" s="175"/>
    </row>
    <row r="455" spans="9:9" x14ac:dyDescent="0.2">
      <c r="I455" s="175"/>
    </row>
    <row r="456" spans="9:9" x14ac:dyDescent="0.2">
      <c r="I456" s="175"/>
    </row>
    <row r="457" spans="9:9" x14ac:dyDescent="0.2">
      <c r="I457" s="175"/>
    </row>
    <row r="458" spans="9:9" x14ac:dyDescent="0.2">
      <c r="I458" s="175"/>
    </row>
    <row r="459" spans="9:9" x14ac:dyDescent="0.2">
      <c r="I459" s="175"/>
    </row>
    <row r="460" spans="9:9" x14ac:dyDescent="0.2">
      <c r="I460" s="175"/>
    </row>
    <row r="461" spans="9:9" x14ac:dyDescent="0.2">
      <c r="I461" s="175"/>
    </row>
    <row r="462" spans="9:9" x14ac:dyDescent="0.2">
      <c r="I462" s="175"/>
    </row>
    <row r="463" spans="9:9" x14ac:dyDescent="0.2">
      <c r="I463" s="175"/>
    </row>
    <row r="464" spans="9:9" x14ac:dyDescent="0.2">
      <c r="I464" s="175"/>
    </row>
    <row r="465" spans="9:9" x14ac:dyDescent="0.2">
      <c r="I465" s="175"/>
    </row>
    <row r="466" spans="9:9" x14ac:dyDescent="0.2">
      <c r="I466" s="175"/>
    </row>
    <row r="467" spans="9:9" x14ac:dyDescent="0.2">
      <c r="I467" s="175"/>
    </row>
    <row r="468" spans="9:9" x14ac:dyDescent="0.2">
      <c r="I468" s="175"/>
    </row>
    <row r="469" spans="9:9" x14ac:dyDescent="0.2">
      <c r="I469" s="175"/>
    </row>
    <row r="470" spans="9:9" x14ac:dyDescent="0.2">
      <c r="I470" s="175"/>
    </row>
    <row r="471" spans="9:9" x14ac:dyDescent="0.2">
      <c r="I471" s="175"/>
    </row>
    <row r="472" spans="9:9" x14ac:dyDescent="0.2">
      <c r="I472" s="175"/>
    </row>
    <row r="473" spans="9:9" x14ac:dyDescent="0.2">
      <c r="I473" s="175"/>
    </row>
    <row r="474" spans="9:9" x14ac:dyDescent="0.2">
      <c r="I474" s="175"/>
    </row>
    <row r="475" spans="9:9" x14ac:dyDescent="0.2">
      <c r="I475" s="175"/>
    </row>
    <row r="476" spans="9:9" x14ac:dyDescent="0.2">
      <c r="I476" s="175"/>
    </row>
    <row r="477" spans="9:9" x14ac:dyDescent="0.2">
      <c r="I477" s="175"/>
    </row>
    <row r="478" spans="9:9" x14ac:dyDescent="0.2">
      <c r="I478" s="175"/>
    </row>
    <row r="479" spans="9:9" x14ac:dyDescent="0.2">
      <c r="I479" s="175"/>
    </row>
    <row r="480" spans="9:9" x14ac:dyDescent="0.2">
      <c r="I480" s="175"/>
    </row>
    <row r="481" spans="9:9" x14ac:dyDescent="0.2">
      <c r="I481" s="175"/>
    </row>
    <row r="482" spans="9:9" x14ac:dyDescent="0.2">
      <c r="I482" s="175"/>
    </row>
    <row r="483" spans="9:9" x14ac:dyDescent="0.2">
      <c r="I483" s="175"/>
    </row>
    <row r="484" spans="9:9" x14ac:dyDescent="0.2">
      <c r="I484" s="175"/>
    </row>
    <row r="485" spans="9:9" x14ac:dyDescent="0.2">
      <c r="I485" s="175"/>
    </row>
    <row r="486" spans="9:9" x14ac:dyDescent="0.2">
      <c r="I486" s="175"/>
    </row>
    <row r="487" spans="9:9" x14ac:dyDescent="0.2">
      <c r="I487" s="175"/>
    </row>
    <row r="488" spans="9:9" x14ac:dyDescent="0.2">
      <c r="I488" s="175"/>
    </row>
    <row r="489" spans="9:9" x14ac:dyDescent="0.2">
      <c r="I489" s="175"/>
    </row>
    <row r="490" spans="9:9" x14ac:dyDescent="0.2">
      <c r="I490" s="175"/>
    </row>
    <row r="491" spans="9:9" x14ac:dyDescent="0.2">
      <c r="I491" s="175"/>
    </row>
    <row r="492" spans="9:9" x14ac:dyDescent="0.2">
      <c r="I492" s="175"/>
    </row>
    <row r="493" spans="9:9" x14ac:dyDescent="0.2">
      <c r="I493" s="175"/>
    </row>
    <row r="494" spans="9:9" x14ac:dyDescent="0.2">
      <c r="I494" s="175"/>
    </row>
    <row r="495" spans="9:9" x14ac:dyDescent="0.2">
      <c r="I495" s="175"/>
    </row>
    <row r="496" spans="9:9" x14ac:dyDescent="0.2">
      <c r="I496" s="175"/>
    </row>
    <row r="497" spans="9:9" x14ac:dyDescent="0.2">
      <c r="I497" s="175"/>
    </row>
    <row r="498" spans="9:9" x14ac:dyDescent="0.2">
      <c r="I498" s="175"/>
    </row>
    <row r="499" spans="9:9" x14ac:dyDescent="0.2">
      <c r="I499" s="175"/>
    </row>
    <row r="500" spans="9:9" x14ac:dyDescent="0.2">
      <c r="I500" s="175"/>
    </row>
    <row r="501" spans="9:9" x14ac:dyDescent="0.2">
      <c r="I501" s="175"/>
    </row>
    <row r="502" spans="9:9" x14ac:dyDescent="0.2">
      <c r="I502" s="175"/>
    </row>
    <row r="503" spans="9:9" x14ac:dyDescent="0.2">
      <c r="I503" s="175"/>
    </row>
    <row r="504" spans="9:9" x14ac:dyDescent="0.2">
      <c r="I504" s="175"/>
    </row>
    <row r="505" spans="9:9" x14ac:dyDescent="0.2">
      <c r="I505" s="175"/>
    </row>
    <row r="506" spans="9:9" x14ac:dyDescent="0.2">
      <c r="I506" s="175"/>
    </row>
    <row r="507" spans="9:9" x14ac:dyDescent="0.2">
      <c r="I507" s="175"/>
    </row>
    <row r="508" spans="9:9" x14ac:dyDescent="0.2">
      <c r="I508" s="175"/>
    </row>
    <row r="509" spans="9:9" x14ac:dyDescent="0.2">
      <c r="I509" s="175"/>
    </row>
    <row r="510" spans="9:9" x14ac:dyDescent="0.2">
      <c r="I510" s="175"/>
    </row>
    <row r="511" spans="9:9" x14ac:dyDescent="0.2">
      <c r="I511" s="175"/>
    </row>
    <row r="512" spans="9:9" x14ac:dyDescent="0.2">
      <c r="I512" s="175"/>
    </row>
    <row r="513" spans="9:9" x14ac:dyDescent="0.2">
      <c r="I513" s="175"/>
    </row>
    <row r="514" spans="9:9" x14ac:dyDescent="0.2">
      <c r="I514" s="175"/>
    </row>
    <row r="515" spans="9:9" x14ac:dyDescent="0.2">
      <c r="I515" s="175"/>
    </row>
    <row r="516" spans="9:9" x14ac:dyDescent="0.2">
      <c r="I516" s="175"/>
    </row>
    <row r="517" spans="9:9" x14ac:dyDescent="0.2">
      <c r="I517" s="175"/>
    </row>
    <row r="518" spans="9:9" x14ac:dyDescent="0.2">
      <c r="I518" s="175"/>
    </row>
    <row r="519" spans="9:9" x14ac:dyDescent="0.2">
      <c r="I519" s="175"/>
    </row>
    <row r="520" spans="9:9" x14ac:dyDescent="0.2">
      <c r="I520" s="175"/>
    </row>
    <row r="521" spans="9:9" x14ac:dyDescent="0.2">
      <c r="I521" s="175"/>
    </row>
    <row r="522" spans="9:9" x14ac:dyDescent="0.2">
      <c r="I522" s="175"/>
    </row>
    <row r="523" spans="9:9" x14ac:dyDescent="0.2">
      <c r="I523" s="175"/>
    </row>
    <row r="524" spans="9:9" x14ac:dyDescent="0.2">
      <c r="I524" s="175"/>
    </row>
    <row r="525" spans="9:9" x14ac:dyDescent="0.2">
      <c r="I525" s="175"/>
    </row>
    <row r="526" spans="9:9" x14ac:dyDescent="0.2">
      <c r="I526" s="175"/>
    </row>
    <row r="527" spans="9:9" x14ac:dyDescent="0.2">
      <c r="I527" s="175"/>
    </row>
    <row r="528" spans="9:9" x14ac:dyDescent="0.2">
      <c r="I528" s="175"/>
    </row>
    <row r="529" spans="9:9" x14ac:dyDescent="0.2">
      <c r="I529" s="175"/>
    </row>
    <row r="530" spans="9:9" x14ac:dyDescent="0.2">
      <c r="I530" s="175"/>
    </row>
    <row r="531" spans="9:9" x14ac:dyDescent="0.2">
      <c r="I531" s="175"/>
    </row>
    <row r="532" spans="9:9" x14ac:dyDescent="0.2">
      <c r="I532" s="175"/>
    </row>
    <row r="533" spans="9:9" x14ac:dyDescent="0.2">
      <c r="I533" s="175"/>
    </row>
    <row r="534" spans="9:9" x14ac:dyDescent="0.2">
      <c r="I534" s="175"/>
    </row>
    <row r="535" spans="9:9" x14ac:dyDescent="0.2">
      <c r="I535" s="175"/>
    </row>
    <row r="536" spans="9:9" x14ac:dyDescent="0.2">
      <c r="I536" s="175"/>
    </row>
    <row r="537" spans="9:9" x14ac:dyDescent="0.2">
      <c r="I537" s="175"/>
    </row>
    <row r="538" spans="9:9" x14ac:dyDescent="0.2">
      <c r="I538" s="175"/>
    </row>
    <row r="539" spans="9:9" x14ac:dyDescent="0.2">
      <c r="I539" s="175"/>
    </row>
    <row r="540" spans="9:9" x14ac:dyDescent="0.2">
      <c r="I540" s="175"/>
    </row>
    <row r="541" spans="9:9" x14ac:dyDescent="0.2">
      <c r="I541" s="175"/>
    </row>
    <row r="542" spans="9:9" x14ac:dyDescent="0.2">
      <c r="I542" s="175"/>
    </row>
    <row r="543" spans="9:9" x14ac:dyDescent="0.2">
      <c r="I543" s="175"/>
    </row>
    <row r="544" spans="9:9" x14ac:dyDescent="0.2">
      <c r="I544" s="175"/>
    </row>
    <row r="545" spans="9:9" x14ac:dyDescent="0.2">
      <c r="I545" s="175"/>
    </row>
    <row r="546" spans="9:9" x14ac:dyDescent="0.2">
      <c r="I546" s="175"/>
    </row>
    <row r="547" spans="9:9" x14ac:dyDescent="0.2">
      <c r="I547" s="175"/>
    </row>
    <row r="548" spans="9:9" x14ac:dyDescent="0.2">
      <c r="I548" s="175"/>
    </row>
    <row r="549" spans="9:9" x14ac:dyDescent="0.2">
      <c r="I549" s="175"/>
    </row>
    <row r="550" spans="9:9" x14ac:dyDescent="0.2">
      <c r="I550" s="175"/>
    </row>
    <row r="551" spans="9:9" x14ac:dyDescent="0.2">
      <c r="I551" s="175"/>
    </row>
    <row r="552" spans="9:9" x14ac:dyDescent="0.2">
      <c r="I552" s="175"/>
    </row>
    <row r="553" spans="9:9" x14ac:dyDescent="0.2">
      <c r="I553" s="175"/>
    </row>
    <row r="554" spans="9:9" x14ac:dyDescent="0.2">
      <c r="I554" s="175"/>
    </row>
    <row r="555" spans="9:9" x14ac:dyDescent="0.2">
      <c r="I555" s="175"/>
    </row>
    <row r="556" spans="9:9" x14ac:dyDescent="0.2">
      <c r="I556" s="175"/>
    </row>
    <row r="557" spans="9:9" x14ac:dyDescent="0.2">
      <c r="I557" s="175"/>
    </row>
    <row r="558" spans="9:9" x14ac:dyDescent="0.2">
      <c r="I558" s="175"/>
    </row>
    <row r="559" spans="9:9" x14ac:dyDescent="0.2">
      <c r="I559" s="175"/>
    </row>
    <row r="560" spans="9:9" x14ac:dyDescent="0.2">
      <c r="I560" s="175"/>
    </row>
    <row r="561" spans="9:9" x14ac:dyDescent="0.2">
      <c r="I561" s="175"/>
    </row>
    <row r="562" spans="9:9" x14ac:dyDescent="0.2">
      <c r="I562" s="175"/>
    </row>
    <row r="563" spans="9:9" x14ac:dyDescent="0.2">
      <c r="I563" s="175"/>
    </row>
    <row r="564" spans="9:9" x14ac:dyDescent="0.2">
      <c r="I564" s="175"/>
    </row>
    <row r="565" spans="9:9" x14ac:dyDescent="0.2">
      <c r="I565" s="175"/>
    </row>
    <row r="566" spans="9:9" x14ac:dyDescent="0.2">
      <c r="I566" s="175"/>
    </row>
    <row r="567" spans="9:9" x14ac:dyDescent="0.2">
      <c r="I567" s="175"/>
    </row>
    <row r="568" spans="9:9" x14ac:dyDescent="0.2">
      <c r="I568" s="175"/>
    </row>
    <row r="569" spans="9:9" x14ac:dyDescent="0.2">
      <c r="I569" s="175"/>
    </row>
    <row r="570" spans="9:9" x14ac:dyDescent="0.2">
      <c r="I570" s="175"/>
    </row>
    <row r="571" spans="9:9" x14ac:dyDescent="0.2">
      <c r="I571" s="175"/>
    </row>
    <row r="572" spans="9:9" x14ac:dyDescent="0.2">
      <c r="I572" s="175"/>
    </row>
    <row r="573" spans="9:9" x14ac:dyDescent="0.2">
      <c r="I573" s="175"/>
    </row>
    <row r="574" spans="9:9" x14ac:dyDescent="0.2">
      <c r="I574" s="175"/>
    </row>
    <row r="575" spans="9:9" x14ac:dyDescent="0.2">
      <c r="I575" s="175"/>
    </row>
    <row r="576" spans="9:9" x14ac:dyDescent="0.2">
      <c r="I576" s="175"/>
    </row>
    <row r="577" spans="9:9" x14ac:dyDescent="0.2">
      <c r="I577" s="175"/>
    </row>
    <row r="578" spans="9:9" x14ac:dyDescent="0.2">
      <c r="I578" s="175"/>
    </row>
    <row r="579" spans="9:9" x14ac:dyDescent="0.2">
      <c r="I579" s="175"/>
    </row>
    <row r="580" spans="9:9" x14ac:dyDescent="0.2">
      <c r="I580" s="175"/>
    </row>
    <row r="581" spans="9:9" x14ac:dyDescent="0.2">
      <c r="I581" s="175"/>
    </row>
    <row r="582" spans="9:9" x14ac:dyDescent="0.2">
      <c r="I582" s="175"/>
    </row>
    <row r="583" spans="9:9" x14ac:dyDescent="0.2">
      <c r="I583" s="175"/>
    </row>
    <row r="584" spans="9:9" x14ac:dyDescent="0.2">
      <c r="I584" s="175"/>
    </row>
    <row r="585" spans="9:9" x14ac:dyDescent="0.2">
      <c r="I585" s="175"/>
    </row>
    <row r="586" spans="9:9" x14ac:dyDescent="0.2">
      <c r="I586" s="175"/>
    </row>
    <row r="587" spans="9:9" x14ac:dyDescent="0.2">
      <c r="I587" s="175"/>
    </row>
    <row r="588" spans="9:9" x14ac:dyDescent="0.2">
      <c r="I588" s="175"/>
    </row>
    <row r="589" spans="9:9" x14ac:dyDescent="0.2">
      <c r="I589" s="175"/>
    </row>
    <row r="590" spans="9:9" x14ac:dyDescent="0.2">
      <c r="I590" s="175"/>
    </row>
    <row r="591" spans="9:9" x14ac:dyDescent="0.2">
      <c r="I591" s="175"/>
    </row>
    <row r="592" spans="9:9" x14ac:dyDescent="0.2">
      <c r="I592" s="175"/>
    </row>
    <row r="593" spans="9:9" x14ac:dyDescent="0.2">
      <c r="I593" s="175"/>
    </row>
    <row r="594" spans="9:9" x14ac:dyDescent="0.2">
      <c r="I594" s="175"/>
    </row>
    <row r="595" spans="9:9" x14ac:dyDescent="0.2">
      <c r="I595" s="175"/>
    </row>
    <row r="596" spans="9:9" x14ac:dyDescent="0.2">
      <c r="I596" s="175"/>
    </row>
    <row r="597" spans="9:9" x14ac:dyDescent="0.2">
      <c r="I597" s="175"/>
    </row>
    <row r="598" spans="9:9" x14ac:dyDescent="0.2">
      <c r="I598" s="175"/>
    </row>
    <row r="599" spans="9:9" x14ac:dyDescent="0.2">
      <c r="I599" s="175"/>
    </row>
    <row r="600" spans="9:9" x14ac:dyDescent="0.2">
      <c r="I600" s="175"/>
    </row>
    <row r="601" spans="9:9" x14ac:dyDescent="0.2">
      <c r="I601" s="175"/>
    </row>
    <row r="602" spans="9:9" x14ac:dyDescent="0.2">
      <c r="I602" s="175"/>
    </row>
    <row r="603" spans="9:9" x14ac:dyDescent="0.2">
      <c r="I603" s="175"/>
    </row>
    <row r="604" spans="9:9" x14ac:dyDescent="0.2">
      <c r="I604" s="175"/>
    </row>
    <row r="605" spans="9:9" x14ac:dyDescent="0.2">
      <c r="I605" s="175"/>
    </row>
    <row r="606" spans="9:9" x14ac:dyDescent="0.2">
      <c r="I606" s="175"/>
    </row>
    <row r="607" spans="9:9" x14ac:dyDescent="0.2">
      <c r="I607" s="175"/>
    </row>
    <row r="608" spans="9:9" x14ac:dyDescent="0.2">
      <c r="I608" s="175"/>
    </row>
    <row r="609" spans="9:9" x14ac:dyDescent="0.2">
      <c r="I609" s="175"/>
    </row>
    <row r="610" spans="9:9" x14ac:dyDescent="0.2">
      <c r="I610" s="175"/>
    </row>
    <row r="611" spans="9:9" x14ac:dyDescent="0.2">
      <c r="I611" s="175"/>
    </row>
    <row r="612" spans="9:9" x14ac:dyDescent="0.2">
      <c r="I612" s="175"/>
    </row>
    <row r="613" spans="9:9" x14ac:dyDescent="0.2">
      <c r="I613" s="175"/>
    </row>
    <row r="614" spans="9:9" x14ac:dyDescent="0.2">
      <c r="I614" s="175"/>
    </row>
    <row r="615" spans="9:9" x14ac:dyDescent="0.2">
      <c r="I615" s="175"/>
    </row>
    <row r="616" spans="9:9" x14ac:dyDescent="0.2">
      <c r="I616" s="175"/>
    </row>
    <row r="617" spans="9:9" x14ac:dyDescent="0.2">
      <c r="I617" s="175"/>
    </row>
    <row r="618" spans="9:9" x14ac:dyDescent="0.2">
      <c r="I618" s="175"/>
    </row>
    <row r="619" spans="9:9" x14ac:dyDescent="0.2">
      <c r="I619" s="175"/>
    </row>
    <row r="620" spans="9:9" x14ac:dyDescent="0.2">
      <c r="I620" s="175"/>
    </row>
    <row r="621" spans="9:9" x14ac:dyDescent="0.2">
      <c r="I621" s="175"/>
    </row>
    <row r="622" spans="9:9" x14ac:dyDescent="0.2">
      <c r="I622" s="175"/>
    </row>
    <row r="623" spans="9:9" x14ac:dyDescent="0.2">
      <c r="I623" s="175"/>
    </row>
    <row r="624" spans="9:9" x14ac:dyDescent="0.2">
      <c r="I624" s="175"/>
    </row>
    <row r="625" spans="9:9" x14ac:dyDescent="0.2">
      <c r="I625" s="175"/>
    </row>
    <row r="626" spans="9:9" x14ac:dyDescent="0.2">
      <c r="I626" s="175"/>
    </row>
    <row r="627" spans="9:9" x14ac:dyDescent="0.2">
      <c r="I627" s="175"/>
    </row>
    <row r="628" spans="9:9" x14ac:dyDescent="0.2">
      <c r="I628" s="175"/>
    </row>
    <row r="629" spans="9:9" x14ac:dyDescent="0.2">
      <c r="I629" s="175"/>
    </row>
    <row r="630" spans="9:9" x14ac:dyDescent="0.2">
      <c r="I630" s="175"/>
    </row>
    <row r="631" spans="9:9" x14ac:dyDescent="0.2">
      <c r="I631" s="175"/>
    </row>
    <row r="632" spans="9:9" x14ac:dyDescent="0.2">
      <c r="I632" s="175"/>
    </row>
    <row r="633" spans="9:9" x14ac:dyDescent="0.2">
      <c r="I633" s="175"/>
    </row>
    <row r="634" spans="9:9" x14ac:dyDescent="0.2">
      <c r="I634" s="175"/>
    </row>
    <row r="635" spans="9:9" x14ac:dyDescent="0.2">
      <c r="I635" s="175"/>
    </row>
    <row r="636" spans="9:9" x14ac:dyDescent="0.2">
      <c r="I636" s="175"/>
    </row>
    <row r="637" spans="9:9" x14ac:dyDescent="0.2">
      <c r="I637" s="175"/>
    </row>
    <row r="638" spans="9:9" x14ac:dyDescent="0.2">
      <c r="I638" s="175"/>
    </row>
    <row r="639" spans="9:9" x14ac:dyDescent="0.2">
      <c r="I639" s="175"/>
    </row>
    <row r="640" spans="9:9" x14ac:dyDescent="0.2">
      <c r="I640" s="175"/>
    </row>
    <row r="641" spans="9:9" x14ac:dyDescent="0.2">
      <c r="I641" s="175"/>
    </row>
    <row r="642" spans="9:9" x14ac:dyDescent="0.2">
      <c r="I642" s="175"/>
    </row>
    <row r="643" spans="9:9" x14ac:dyDescent="0.2">
      <c r="I643" s="175"/>
    </row>
    <row r="644" spans="9:9" x14ac:dyDescent="0.2">
      <c r="I644" s="175"/>
    </row>
    <row r="645" spans="9:9" x14ac:dyDescent="0.2">
      <c r="I645" s="175"/>
    </row>
    <row r="646" spans="9:9" x14ac:dyDescent="0.2">
      <c r="I646" s="175"/>
    </row>
    <row r="647" spans="9:9" x14ac:dyDescent="0.2">
      <c r="I647" s="175"/>
    </row>
    <row r="648" spans="9:9" x14ac:dyDescent="0.2">
      <c r="I648" s="175"/>
    </row>
    <row r="649" spans="9:9" x14ac:dyDescent="0.2">
      <c r="I649" s="175"/>
    </row>
    <row r="650" spans="9:9" x14ac:dyDescent="0.2">
      <c r="I650" s="175"/>
    </row>
    <row r="651" spans="9:9" x14ac:dyDescent="0.2">
      <c r="I651" s="175"/>
    </row>
    <row r="652" spans="9:9" x14ac:dyDescent="0.2">
      <c r="I652" s="175"/>
    </row>
    <row r="653" spans="9:9" x14ac:dyDescent="0.2">
      <c r="I653" s="175"/>
    </row>
    <row r="654" spans="9:9" x14ac:dyDescent="0.2">
      <c r="I654" s="175"/>
    </row>
    <row r="655" spans="9:9" x14ac:dyDescent="0.2">
      <c r="I655" s="175"/>
    </row>
    <row r="656" spans="9:9" x14ac:dyDescent="0.2">
      <c r="I656" s="175"/>
    </row>
    <row r="657" spans="9:9" x14ac:dyDescent="0.2">
      <c r="I657" s="175"/>
    </row>
    <row r="658" spans="9:9" x14ac:dyDescent="0.2">
      <c r="I658" s="175"/>
    </row>
    <row r="659" spans="9:9" x14ac:dyDescent="0.2">
      <c r="I659" s="175"/>
    </row>
    <row r="660" spans="9:9" x14ac:dyDescent="0.2">
      <c r="I660" s="175"/>
    </row>
    <row r="661" spans="9:9" x14ac:dyDescent="0.2">
      <c r="I661" s="175"/>
    </row>
    <row r="662" spans="9:9" x14ac:dyDescent="0.2">
      <c r="I662" s="175"/>
    </row>
    <row r="663" spans="9:9" x14ac:dyDescent="0.2">
      <c r="I663" s="175"/>
    </row>
    <row r="664" spans="9:9" x14ac:dyDescent="0.2">
      <c r="I664" s="175"/>
    </row>
    <row r="665" spans="9:9" x14ac:dyDescent="0.2">
      <c r="I665" s="175"/>
    </row>
    <row r="666" spans="9:9" x14ac:dyDescent="0.2">
      <c r="I666" s="175"/>
    </row>
    <row r="667" spans="9:9" x14ac:dyDescent="0.2">
      <c r="I667" s="175"/>
    </row>
    <row r="668" spans="9:9" x14ac:dyDescent="0.2">
      <c r="I668" s="175"/>
    </row>
    <row r="669" spans="9:9" x14ac:dyDescent="0.2">
      <c r="I669" s="175"/>
    </row>
    <row r="670" spans="9:9" x14ac:dyDescent="0.2">
      <c r="I670" s="175"/>
    </row>
    <row r="671" spans="9:9" x14ac:dyDescent="0.2">
      <c r="I671" s="175"/>
    </row>
    <row r="672" spans="9:9" x14ac:dyDescent="0.2">
      <c r="I672" s="175"/>
    </row>
    <row r="673" spans="9:9" x14ac:dyDescent="0.2">
      <c r="I673" s="175"/>
    </row>
    <row r="674" spans="9:9" x14ac:dyDescent="0.2">
      <c r="I674" s="175"/>
    </row>
    <row r="675" spans="9:9" x14ac:dyDescent="0.2">
      <c r="I675" s="175"/>
    </row>
    <row r="676" spans="9:9" x14ac:dyDescent="0.2">
      <c r="I676" s="175"/>
    </row>
    <row r="677" spans="9:9" x14ac:dyDescent="0.2">
      <c r="I677" s="175"/>
    </row>
    <row r="678" spans="9:9" x14ac:dyDescent="0.2">
      <c r="I678" s="175"/>
    </row>
    <row r="679" spans="9:9" x14ac:dyDescent="0.2">
      <c r="I679" s="175"/>
    </row>
    <row r="680" spans="9:9" x14ac:dyDescent="0.2">
      <c r="I680" s="175"/>
    </row>
    <row r="681" spans="9:9" x14ac:dyDescent="0.2">
      <c r="I681" s="175"/>
    </row>
    <row r="682" spans="9:9" x14ac:dyDescent="0.2">
      <c r="I682" s="175"/>
    </row>
    <row r="683" spans="9:9" x14ac:dyDescent="0.2">
      <c r="I683" s="175"/>
    </row>
    <row r="684" spans="9:9" x14ac:dyDescent="0.2">
      <c r="I684" s="175"/>
    </row>
    <row r="685" spans="9:9" x14ac:dyDescent="0.2">
      <c r="I685" s="175"/>
    </row>
    <row r="686" spans="9:9" x14ac:dyDescent="0.2">
      <c r="I686" s="175"/>
    </row>
    <row r="687" spans="9:9" x14ac:dyDescent="0.2">
      <c r="I687" s="175"/>
    </row>
    <row r="688" spans="9:9" x14ac:dyDescent="0.2">
      <c r="I688" s="175"/>
    </row>
    <row r="689" spans="9:9" x14ac:dyDescent="0.2">
      <c r="I689" s="175"/>
    </row>
    <row r="690" spans="9:9" x14ac:dyDescent="0.2">
      <c r="I690" s="175"/>
    </row>
    <row r="691" spans="9:9" x14ac:dyDescent="0.2">
      <c r="I691" s="175"/>
    </row>
    <row r="692" spans="9:9" x14ac:dyDescent="0.2">
      <c r="I692" s="175"/>
    </row>
    <row r="693" spans="9:9" x14ac:dyDescent="0.2">
      <c r="I693" s="175"/>
    </row>
    <row r="694" spans="9:9" x14ac:dyDescent="0.2">
      <c r="I694" s="175"/>
    </row>
    <row r="695" spans="9:9" x14ac:dyDescent="0.2">
      <c r="I695" s="175"/>
    </row>
    <row r="696" spans="9:9" x14ac:dyDescent="0.2">
      <c r="I696" s="175"/>
    </row>
    <row r="697" spans="9:9" x14ac:dyDescent="0.2">
      <c r="I697" s="175"/>
    </row>
    <row r="698" spans="9:9" x14ac:dyDescent="0.2">
      <c r="I698" s="175"/>
    </row>
    <row r="699" spans="9:9" x14ac:dyDescent="0.2">
      <c r="I699" s="175"/>
    </row>
    <row r="700" spans="9:9" x14ac:dyDescent="0.2">
      <c r="I700" s="175"/>
    </row>
    <row r="701" spans="9:9" x14ac:dyDescent="0.2">
      <c r="I701" s="175"/>
    </row>
    <row r="702" spans="9:9" x14ac:dyDescent="0.2">
      <c r="I702" s="175"/>
    </row>
    <row r="703" spans="9:9" x14ac:dyDescent="0.2">
      <c r="I703" s="175"/>
    </row>
    <row r="704" spans="9:9" x14ac:dyDescent="0.2">
      <c r="I704" s="175"/>
    </row>
    <row r="705" spans="9:9" x14ac:dyDescent="0.2">
      <c r="I705" s="175"/>
    </row>
    <row r="706" spans="9:9" x14ac:dyDescent="0.2">
      <c r="I706" s="175"/>
    </row>
    <row r="707" spans="9:9" x14ac:dyDescent="0.2">
      <c r="I707" s="175"/>
    </row>
    <row r="708" spans="9:9" x14ac:dyDescent="0.2">
      <c r="I708" s="175"/>
    </row>
    <row r="709" spans="9:9" x14ac:dyDescent="0.2">
      <c r="I709" s="175"/>
    </row>
    <row r="710" spans="9:9" x14ac:dyDescent="0.2">
      <c r="I710" s="175"/>
    </row>
    <row r="711" spans="9:9" x14ac:dyDescent="0.2">
      <c r="I711" s="175"/>
    </row>
    <row r="712" spans="9:9" x14ac:dyDescent="0.2">
      <c r="I712" s="175"/>
    </row>
    <row r="713" spans="9:9" x14ac:dyDescent="0.2">
      <c r="I713" s="175"/>
    </row>
    <row r="714" spans="9:9" x14ac:dyDescent="0.2">
      <c r="I714" s="175"/>
    </row>
    <row r="715" spans="9:9" x14ac:dyDescent="0.2">
      <c r="I715" s="175"/>
    </row>
    <row r="716" spans="9:9" x14ac:dyDescent="0.2">
      <c r="I716" s="175"/>
    </row>
    <row r="717" spans="9:9" x14ac:dyDescent="0.2">
      <c r="I717" s="175"/>
    </row>
    <row r="718" spans="9:9" x14ac:dyDescent="0.2">
      <c r="I718" s="175"/>
    </row>
    <row r="719" spans="9:9" x14ac:dyDescent="0.2">
      <c r="I719" s="175"/>
    </row>
    <row r="720" spans="9:9" x14ac:dyDescent="0.2">
      <c r="I720" s="175"/>
    </row>
    <row r="721" spans="9:9" x14ac:dyDescent="0.2">
      <c r="I721" s="175"/>
    </row>
    <row r="722" spans="9:9" x14ac:dyDescent="0.2">
      <c r="I722" s="175"/>
    </row>
    <row r="723" spans="9:9" x14ac:dyDescent="0.2">
      <c r="I723" s="175"/>
    </row>
    <row r="724" spans="9:9" x14ac:dyDescent="0.2">
      <c r="I724" s="175"/>
    </row>
    <row r="725" spans="9:9" x14ac:dyDescent="0.2">
      <c r="I725" s="175"/>
    </row>
    <row r="726" spans="9:9" x14ac:dyDescent="0.2">
      <c r="I726" s="175"/>
    </row>
    <row r="727" spans="9:9" x14ac:dyDescent="0.2">
      <c r="I727" s="175"/>
    </row>
    <row r="728" spans="9:9" x14ac:dyDescent="0.2">
      <c r="I728" s="175"/>
    </row>
    <row r="729" spans="9:9" x14ac:dyDescent="0.2">
      <c r="I729" s="175"/>
    </row>
    <row r="730" spans="9:9" x14ac:dyDescent="0.2">
      <c r="I730" s="175"/>
    </row>
    <row r="731" spans="9:9" x14ac:dyDescent="0.2">
      <c r="I731" s="175"/>
    </row>
    <row r="732" spans="9:9" x14ac:dyDescent="0.2">
      <c r="I732" s="175"/>
    </row>
    <row r="733" spans="9:9" x14ac:dyDescent="0.2">
      <c r="I733" s="175"/>
    </row>
    <row r="734" spans="9:9" x14ac:dyDescent="0.2">
      <c r="I734" s="175"/>
    </row>
    <row r="735" spans="9:9" x14ac:dyDescent="0.2">
      <c r="I735" s="175"/>
    </row>
    <row r="736" spans="9:9" x14ac:dyDescent="0.2">
      <c r="I736" s="175"/>
    </row>
    <row r="737" spans="9:9" x14ac:dyDescent="0.2">
      <c r="I737" s="175"/>
    </row>
    <row r="738" spans="9:9" x14ac:dyDescent="0.2">
      <c r="I738" s="175"/>
    </row>
    <row r="739" spans="9:9" x14ac:dyDescent="0.2">
      <c r="I739" s="175"/>
    </row>
    <row r="740" spans="9:9" x14ac:dyDescent="0.2">
      <c r="I740" s="175"/>
    </row>
    <row r="741" spans="9:9" x14ac:dyDescent="0.2">
      <c r="I741" s="175"/>
    </row>
    <row r="742" spans="9:9" x14ac:dyDescent="0.2">
      <c r="I742" s="175"/>
    </row>
    <row r="743" spans="9:9" x14ac:dyDescent="0.2">
      <c r="I743" s="175"/>
    </row>
    <row r="744" spans="9:9" x14ac:dyDescent="0.2">
      <c r="I744" s="175"/>
    </row>
    <row r="745" spans="9:9" x14ac:dyDescent="0.2">
      <c r="I745" s="175"/>
    </row>
    <row r="746" spans="9:9" x14ac:dyDescent="0.2">
      <c r="I746" s="175"/>
    </row>
    <row r="747" spans="9:9" x14ac:dyDescent="0.2">
      <c r="I747" s="175"/>
    </row>
    <row r="748" spans="9:9" x14ac:dyDescent="0.2">
      <c r="I748" s="175"/>
    </row>
    <row r="749" spans="9:9" x14ac:dyDescent="0.2">
      <c r="I749" s="175"/>
    </row>
    <row r="750" spans="9:9" x14ac:dyDescent="0.2">
      <c r="I750" s="175"/>
    </row>
    <row r="751" spans="9:9" x14ac:dyDescent="0.2">
      <c r="I751" s="175"/>
    </row>
    <row r="752" spans="9:9" x14ac:dyDescent="0.2">
      <c r="I752" s="175"/>
    </row>
    <row r="753" spans="9:9" x14ac:dyDescent="0.2">
      <c r="I753" s="175"/>
    </row>
    <row r="754" spans="9:9" x14ac:dyDescent="0.2">
      <c r="I754" s="175"/>
    </row>
    <row r="755" spans="9:9" x14ac:dyDescent="0.2">
      <c r="I755" s="175"/>
    </row>
    <row r="756" spans="9:9" x14ac:dyDescent="0.2">
      <c r="I756" s="175"/>
    </row>
    <row r="757" spans="9:9" x14ac:dyDescent="0.2">
      <c r="I757" s="175"/>
    </row>
    <row r="758" spans="9:9" x14ac:dyDescent="0.2">
      <c r="I758" s="175"/>
    </row>
    <row r="759" spans="9:9" x14ac:dyDescent="0.2">
      <c r="I759" s="175"/>
    </row>
    <row r="760" spans="9:9" x14ac:dyDescent="0.2">
      <c r="I760" s="175"/>
    </row>
    <row r="761" spans="9:9" x14ac:dyDescent="0.2">
      <c r="I761" s="175"/>
    </row>
    <row r="762" spans="9:9" x14ac:dyDescent="0.2">
      <c r="I762" s="175"/>
    </row>
    <row r="763" spans="9:9" x14ac:dyDescent="0.2">
      <c r="I763" s="175"/>
    </row>
    <row r="764" spans="9:9" x14ac:dyDescent="0.2">
      <c r="I764" s="175"/>
    </row>
    <row r="765" spans="9:9" x14ac:dyDescent="0.2">
      <c r="I765" s="175"/>
    </row>
    <row r="766" spans="9:9" x14ac:dyDescent="0.2">
      <c r="I766" s="175"/>
    </row>
    <row r="767" spans="9:9" x14ac:dyDescent="0.2">
      <c r="I767" s="175"/>
    </row>
    <row r="768" spans="9:9" x14ac:dyDescent="0.2">
      <c r="I768" s="175"/>
    </row>
    <row r="769" spans="9:9" x14ac:dyDescent="0.2">
      <c r="I769" s="175"/>
    </row>
    <row r="770" spans="9:9" x14ac:dyDescent="0.2">
      <c r="I770" s="175"/>
    </row>
    <row r="771" spans="9:9" x14ac:dyDescent="0.2">
      <c r="I771" s="175"/>
    </row>
    <row r="772" spans="9:9" x14ac:dyDescent="0.2">
      <c r="I772" s="175"/>
    </row>
    <row r="773" spans="9:9" x14ac:dyDescent="0.2">
      <c r="I773" s="175"/>
    </row>
    <row r="774" spans="9:9" x14ac:dyDescent="0.2">
      <c r="I774" s="175"/>
    </row>
    <row r="775" spans="9:9" x14ac:dyDescent="0.2">
      <c r="I775" s="175"/>
    </row>
    <row r="776" spans="9:9" x14ac:dyDescent="0.2">
      <c r="I776" s="175"/>
    </row>
    <row r="777" spans="9:9" x14ac:dyDescent="0.2">
      <c r="I777" s="175"/>
    </row>
    <row r="778" spans="9:9" x14ac:dyDescent="0.2">
      <c r="I778" s="175"/>
    </row>
    <row r="779" spans="9:9" x14ac:dyDescent="0.2">
      <c r="I779" s="175"/>
    </row>
    <row r="780" spans="9:9" x14ac:dyDescent="0.2">
      <c r="I780" s="175"/>
    </row>
    <row r="781" spans="9:9" x14ac:dyDescent="0.2">
      <c r="I781" s="175"/>
    </row>
    <row r="782" spans="9:9" x14ac:dyDescent="0.2">
      <c r="I782" s="175"/>
    </row>
    <row r="783" spans="9:9" x14ac:dyDescent="0.2">
      <c r="I783" s="175"/>
    </row>
    <row r="784" spans="9:9" x14ac:dyDescent="0.2">
      <c r="I784" s="175"/>
    </row>
    <row r="785" spans="9:9" x14ac:dyDescent="0.2">
      <c r="I785" s="175"/>
    </row>
    <row r="786" spans="9:9" x14ac:dyDescent="0.2">
      <c r="I786" s="175"/>
    </row>
    <row r="787" spans="9:9" x14ac:dyDescent="0.2">
      <c r="I787" s="175"/>
    </row>
    <row r="788" spans="9:9" x14ac:dyDescent="0.2">
      <c r="I788" s="175"/>
    </row>
    <row r="789" spans="9:9" x14ac:dyDescent="0.2">
      <c r="I789" s="175"/>
    </row>
    <row r="790" spans="9:9" x14ac:dyDescent="0.2">
      <c r="I790" s="175"/>
    </row>
    <row r="791" spans="9:9" x14ac:dyDescent="0.2">
      <c r="I791" s="175"/>
    </row>
    <row r="792" spans="9:9" x14ac:dyDescent="0.2">
      <c r="I792" s="175"/>
    </row>
    <row r="793" spans="9:9" x14ac:dyDescent="0.2">
      <c r="I793" s="175"/>
    </row>
    <row r="794" spans="9:9" x14ac:dyDescent="0.2">
      <c r="I794" s="175"/>
    </row>
    <row r="795" spans="9:9" x14ac:dyDescent="0.2">
      <c r="I795" s="175"/>
    </row>
    <row r="796" spans="9:9" x14ac:dyDescent="0.2">
      <c r="I796" s="175"/>
    </row>
    <row r="797" spans="9:9" x14ac:dyDescent="0.2">
      <c r="I797" s="175"/>
    </row>
    <row r="798" spans="9:9" x14ac:dyDescent="0.2">
      <c r="I798" s="175"/>
    </row>
    <row r="799" spans="9:9" x14ac:dyDescent="0.2">
      <c r="I799" s="175"/>
    </row>
    <row r="800" spans="9:9" x14ac:dyDescent="0.2">
      <c r="I800" s="175"/>
    </row>
    <row r="801" spans="9:9" x14ac:dyDescent="0.2">
      <c r="I801" s="175"/>
    </row>
    <row r="802" spans="9:9" x14ac:dyDescent="0.2">
      <c r="I802" s="175"/>
    </row>
    <row r="803" spans="9:9" x14ac:dyDescent="0.2">
      <c r="I803" s="175"/>
    </row>
    <row r="804" spans="9:9" x14ac:dyDescent="0.2">
      <c r="I804" s="175"/>
    </row>
    <row r="805" spans="9:9" x14ac:dyDescent="0.2">
      <c r="I805" s="175"/>
    </row>
    <row r="806" spans="9:9" x14ac:dyDescent="0.2">
      <c r="I806" s="175"/>
    </row>
    <row r="807" spans="9:9" x14ac:dyDescent="0.2">
      <c r="I807" s="175"/>
    </row>
    <row r="808" spans="9:9" x14ac:dyDescent="0.2">
      <c r="I808" s="175"/>
    </row>
    <row r="809" spans="9:9" x14ac:dyDescent="0.2">
      <c r="I809" s="175"/>
    </row>
    <row r="810" spans="9:9" x14ac:dyDescent="0.2">
      <c r="I810" s="175"/>
    </row>
    <row r="811" spans="9:9" x14ac:dyDescent="0.2">
      <c r="I811" s="175"/>
    </row>
    <row r="812" spans="9:9" x14ac:dyDescent="0.2">
      <c r="I812" s="175"/>
    </row>
    <row r="813" spans="9:9" x14ac:dyDescent="0.2">
      <c r="I813" s="175"/>
    </row>
    <row r="814" spans="9:9" x14ac:dyDescent="0.2">
      <c r="I814" s="175"/>
    </row>
    <row r="815" spans="9:9" x14ac:dyDescent="0.2">
      <c r="I815" s="175"/>
    </row>
    <row r="816" spans="9:9" x14ac:dyDescent="0.2">
      <c r="I816" s="175"/>
    </row>
    <row r="817" spans="9:9" x14ac:dyDescent="0.2">
      <c r="I817" s="175"/>
    </row>
    <row r="818" spans="9:9" x14ac:dyDescent="0.2">
      <c r="I818" s="175"/>
    </row>
    <row r="819" spans="9:9" x14ac:dyDescent="0.2">
      <c r="I819" s="175"/>
    </row>
    <row r="820" spans="9:9" x14ac:dyDescent="0.2">
      <c r="I820" s="175"/>
    </row>
    <row r="821" spans="9:9" x14ac:dyDescent="0.2">
      <c r="I821" s="175"/>
    </row>
    <row r="822" spans="9:9" x14ac:dyDescent="0.2">
      <c r="I822" s="175"/>
    </row>
    <row r="823" spans="9:9" x14ac:dyDescent="0.2">
      <c r="I823" s="175"/>
    </row>
    <row r="824" spans="9:9" x14ac:dyDescent="0.2">
      <c r="I824" s="175"/>
    </row>
    <row r="825" spans="9:9" x14ac:dyDescent="0.2">
      <c r="I825" s="175"/>
    </row>
    <row r="826" spans="9:9" x14ac:dyDescent="0.2">
      <c r="I826" s="175"/>
    </row>
    <row r="827" spans="9:9" x14ac:dyDescent="0.2">
      <c r="I827" s="175"/>
    </row>
    <row r="828" spans="9:9" x14ac:dyDescent="0.2">
      <c r="I828" s="175"/>
    </row>
    <row r="829" spans="9:9" x14ac:dyDescent="0.2">
      <c r="I829" s="175"/>
    </row>
    <row r="830" spans="9:9" x14ac:dyDescent="0.2">
      <c r="I830" s="175"/>
    </row>
    <row r="831" spans="9:9" x14ac:dyDescent="0.2">
      <c r="I831" s="175"/>
    </row>
    <row r="832" spans="9:9" x14ac:dyDescent="0.2">
      <c r="I832" s="175"/>
    </row>
    <row r="833" spans="9:9" x14ac:dyDescent="0.2">
      <c r="I833" s="175"/>
    </row>
    <row r="834" spans="9:9" x14ac:dyDescent="0.2">
      <c r="I834" s="175"/>
    </row>
    <row r="835" spans="9:9" x14ac:dyDescent="0.2">
      <c r="I835" s="175"/>
    </row>
    <row r="836" spans="9:9" x14ac:dyDescent="0.2">
      <c r="I836" s="175"/>
    </row>
    <row r="837" spans="9:9" x14ac:dyDescent="0.2">
      <c r="I837" s="175"/>
    </row>
    <row r="838" spans="9:9" x14ac:dyDescent="0.2">
      <c r="I838" s="175"/>
    </row>
    <row r="839" spans="9:9" x14ac:dyDescent="0.2">
      <c r="I839" s="175"/>
    </row>
    <row r="840" spans="9:9" x14ac:dyDescent="0.2">
      <c r="I840" s="175"/>
    </row>
    <row r="841" spans="9:9" x14ac:dyDescent="0.2">
      <c r="I841" s="175"/>
    </row>
    <row r="842" spans="9:9" x14ac:dyDescent="0.2">
      <c r="I842" s="175"/>
    </row>
    <row r="843" spans="9:9" x14ac:dyDescent="0.2">
      <c r="I843" s="175"/>
    </row>
    <row r="844" spans="9:9" x14ac:dyDescent="0.2">
      <c r="I844" s="175"/>
    </row>
    <row r="845" spans="9:9" x14ac:dyDescent="0.2">
      <c r="I845" s="175"/>
    </row>
    <row r="846" spans="9:9" x14ac:dyDescent="0.2">
      <c r="I846" s="175"/>
    </row>
    <row r="847" spans="9:9" x14ac:dyDescent="0.2">
      <c r="I847" s="175"/>
    </row>
    <row r="848" spans="9:9" x14ac:dyDescent="0.2">
      <c r="I848" s="175"/>
    </row>
    <row r="849" spans="9:9" x14ac:dyDescent="0.2">
      <c r="I849" s="175"/>
    </row>
    <row r="850" spans="9:9" x14ac:dyDescent="0.2">
      <c r="I850" s="175"/>
    </row>
    <row r="851" spans="9:9" x14ac:dyDescent="0.2">
      <c r="I851" s="175"/>
    </row>
    <row r="852" spans="9:9" x14ac:dyDescent="0.2">
      <c r="I852" s="175"/>
    </row>
    <row r="853" spans="9:9" x14ac:dyDescent="0.2">
      <c r="I853" s="175"/>
    </row>
    <row r="854" spans="9:9" x14ac:dyDescent="0.2">
      <c r="I854" s="175"/>
    </row>
    <row r="855" spans="9:9" x14ac:dyDescent="0.2">
      <c r="I855" s="175"/>
    </row>
    <row r="856" spans="9:9" x14ac:dyDescent="0.2">
      <c r="I856" s="175"/>
    </row>
    <row r="857" spans="9:9" x14ac:dyDescent="0.2">
      <c r="I857" s="175"/>
    </row>
    <row r="858" spans="9:9" x14ac:dyDescent="0.2">
      <c r="I858" s="175"/>
    </row>
    <row r="859" spans="9:9" x14ac:dyDescent="0.2">
      <c r="I859" s="175"/>
    </row>
    <row r="860" spans="9:9" x14ac:dyDescent="0.2">
      <c r="I860" s="175"/>
    </row>
    <row r="861" spans="9:9" x14ac:dyDescent="0.2">
      <c r="I861" s="175"/>
    </row>
    <row r="862" spans="9:9" x14ac:dyDescent="0.2">
      <c r="I862" s="175"/>
    </row>
  </sheetData>
  <pageMargins left="0.51181102362204722" right="0.32" top="0.51181102362204722" bottom="0.36" header="0.51181102362204722" footer="0.52"/>
  <pageSetup paperSize="9" scale="56" orientation="landscape"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66</vt:i4>
      </vt:variant>
      <vt:variant>
        <vt:lpstr>Rangos con nombre</vt:lpstr>
      </vt:variant>
      <vt:variant>
        <vt:i4>41</vt:i4>
      </vt:variant>
    </vt:vector>
  </HeadingPairs>
  <TitlesOfParts>
    <vt:vector size="107" baseType="lpstr">
      <vt:lpstr>1</vt:lpstr>
      <vt:lpstr>2</vt:lpstr>
      <vt:lpstr>3</vt:lpstr>
      <vt:lpstr>4</vt:lpstr>
      <vt:lpstr>5</vt:lpstr>
      <vt:lpstr>Finance</vt:lpstr>
      <vt:lpstr>History</vt:lpstr>
      <vt:lpstr>Goodwill</vt:lpstr>
      <vt:lpstr>Strategy</vt:lpstr>
      <vt:lpstr>Config</vt:lpstr>
      <vt:lpstr>Lang</vt:lpstr>
      <vt:lpstr>D1</vt:lpstr>
      <vt:lpstr>D2</vt:lpstr>
      <vt:lpstr>D3</vt:lpstr>
      <vt:lpstr>D4</vt:lpstr>
      <vt:lpstr>D5</vt:lpstr>
      <vt:lpstr>11</vt:lpstr>
      <vt:lpstr>12</vt:lpstr>
      <vt:lpstr>13</vt:lpstr>
      <vt:lpstr>14</vt:lpstr>
      <vt:lpstr>15</vt:lpstr>
      <vt:lpstr>21</vt:lpstr>
      <vt:lpstr>22</vt:lpstr>
      <vt:lpstr>23</vt:lpstr>
      <vt:lpstr>24</vt:lpstr>
      <vt:lpstr>25</vt:lpstr>
      <vt:lpstr>31</vt:lpstr>
      <vt:lpstr>32</vt:lpstr>
      <vt:lpstr>33</vt:lpstr>
      <vt:lpstr>34</vt:lpstr>
      <vt:lpstr>35</vt:lpstr>
      <vt:lpstr>41</vt:lpstr>
      <vt:lpstr>42</vt:lpstr>
      <vt:lpstr>43</vt:lpstr>
      <vt:lpstr>44</vt:lpstr>
      <vt:lpstr>45</vt:lpstr>
      <vt:lpstr>51</vt:lpstr>
      <vt:lpstr>52</vt:lpstr>
      <vt:lpstr>53</vt:lpstr>
      <vt:lpstr>54</vt:lpstr>
      <vt:lpstr>55</vt:lpstr>
      <vt:lpstr>61</vt:lpstr>
      <vt:lpstr>62</vt:lpstr>
      <vt:lpstr>63</vt:lpstr>
      <vt:lpstr>64</vt:lpstr>
      <vt:lpstr>65</vt:lpstr>
      <vt:lpstr>71</vt:lpstr>
      <vt:lpstr>72</vt:lpstr>
      <vt:lpstr>73</vt:lpstr>
      <vt:lpstr>74</vt:lpstr>
      <vt:lpstr>75</vt:lpstr>
      <vt:lpstr>81</vt:lpstr>
      <vt:lpstr>82</vt:lpstr>
      <vt:lpstr>83</vt:lpstr>
      <vt:lpstr>84</vt:lpstr>
      <vt:lpstr>85</vt:lpstr>
      <vt:lpstr>91</vt:lpstr>
      <vt:lpstr>92</vt:lpstr>
      <vt:lpstr>93</vt:lpstr>
      <vt:lpstr>94</vt:lpstr>
      <vt:lpstr>95</vt:lpstr>
      <vt:lpstr>101</vt:lpstr>
      <vt:lpstr>102</vt:lpstr>
      <vt:lpstr>103</vt:lpstr>
      <vt:lpstr>104</vt:lpstr>
      <vt:lpstr>105</vt:lpstr>
      <vt:lpstr>'101'!Área_de_impresión</vt:lpstr>
      <vt:lpstr>'103'!Área_de_impresión</vt:lpstr>
      <vt:lpstr>'11'!Área_de_impresión</vt:lpstr>
      <vt:lpstr>'12'!Área_de_impresión</vt:lpstr>
      <vt:lpstr>'13'!Área_de_impresión</vt:lpstr>
      <vt:lpstr>'14'!Área_de_impresión</vt:lpstr>
      <vt:lpstr>'21'!Área_de_impresión</vt:lpstr>
      <vt:lpstr>'22'!Área_de_impresión</vt:lpstr>
      <vt:lpstr>'23'!Área_de_impresión</vt:lpstr>
      <vt:lpstr>'24'!Área_de_impresión</vt:lpstr>
      <vt:lpstr>'31'!Área_de_impresión</vt:lpstr>
      <vt:lpstr>'32'!Área_de_impresión</vt:lpstr>
      <vt:lpstr>'33'!Área_de_impresión</vt:lpstr>
      <vt:lpstr>'34'!Área_de_impresión</vt:lpstr>
      <vt:lpstr>'41'!Área_de_impresión</vt:lpstr>
      <vt:lpstr>'42'!Área_de_impresión</vt:lpstr>
      <vt:lpstr>'43'!Área_de_impresión</vt:lpstr>
      <vt:lpstr>'44'!Área_de_impresión</vt:lpstr>
      <vt:lpstr>'51'!Área_de_impresión</vt:lpstr>
      <vt:lpstr>'52'!Área_de_impresión</vt:lpstr>
      <vt:lpstr>'53'!Área_de_impresión</vt:lpstr>
      <vt:lpstr>'54'!Área_de_impresión</vt:lpstr>
      <vt:lpstr>'61'!Área_de_impresión</vt:lpstr>
      <vt:lpstr>'63'!Área_de_impresión</vt:lpstr>
      <vt:lpstr>'71'!Área_de_impresión</vt:lpstr>
      <vt:lpstr>'73'!Área_de_impresión</vt:lpstr>
      <vt:lpstr>'81'!Área_de_impresión</vt:lpstr>
      <vt:lpstr>'83'!Área_de_impresión</vt:lpstr>
      <vt:lpstr>'91'!Área_de_impresión</vt:lpstr>
      <vt:lpstr>'93'!Área_de_impresión</vt:lpstr>
      <vt:lpstr>'65'!W013131_</vt:lpstr>
      <vt:lpstr>'75'!W013132_</vt:lpstr>
      <vt:lpstr>'85'!W013133_</vt:lpstr>
      <vt:lpstr>'95'!W013134_</vt:lpstr>
      <vt:lpstr>'65'!W015131_</vt:lpstr>
      <vt:lpstr>'65'!W015131_1</vt:lpstr>
      <vt:lpstr>'65'!W015131_2</vt:lpstr>
      <vt:lpstr>'65'!W015131_3</vt:lpstr>
      <vt:lpstr>'65'!W015131_4</vt:lpstr>
      <vt:lpstr>'65'!W015131_5</vt:lpstr>
      <vt:lpstr>'65'!W033131_</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Олег Фомин</dc:creator>
  <dc:description>V 4.1</dc:description>
  <cp:lastModifiedBy>Carlos Sanz</cp:lastModifiedBy>
  <cp:lastPrinted>2017-03-07T13:49:02Z</cp:lastPrinted>
  <dcterms:created xsi:type="dcterms:W3CDTF">2001-04-12T03:05:05Z</dcterms:created>
  <dcterms:modified xsi:type="dcterms:W3CDTF">2018-12-12T16:13:12Z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