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marcgrau/Projects/work/xai-budgeting/data/raw/"/>
    </mc:Choice>
  </mc:AlternateContent>
  <xr:revisionPtr revIDLastSave="0" documentId="8_{67FA12D6-F11C-354B-B7A2-5363BFE4B5EE}" xr6:coauthVersionLast="47" xr6:coauthVersionMax="47" xr10:uidLastSave="{00000000-0000-0000-0000-000000000000}"/>
  <bookViews>
    <workbookView xWindow="340" yWindow="760" windowWidth="24780" windowHeight="12920" tabRatio="868"/>
  </bookViews>
  <sheets>
    <sheet name="ZH HRM2" sheetId="42" r:id="rId1"/>
    <sheet name="BE HRM1" sheetId="13" r:id="rId2"/>
    <sheet name="LU HRM1" sheetId="14" r:id="rId3"/>
    <sheet name="LU HRM2" sheetId="49" r:id="rId4"/>
    <sheet name="UR HRM1" sheetId="15" r:id="rId5"/>
    <sheet name="UR HRM2" sheetId="44" r:id="rId6"/>
    <sheet name="SZ HRM1" sheetId="16" r:id="rId7"/>
    <sheet name="OW HRM1" sheetId="17" r:id="rId8"/>
    <sheet name="OW HRM2" sheetId="48" r:id="rId9"/>
    <sheet name="NW HRM2" sheetId="47" r:id="rId10"/>
    <sheet name="GL HRM2" sheetId="52" r:id="rId11"/>
    <sheet name="ZG HRM1" sheetId="20" r:id="rId12"/>
    <sheet name="ZG HRM2" sheetId="43" r:id="rId13"/>
    <sheet name="FR MCH2" sheetId="53" r:id="rId14"/>
    <sheet name="SO HRM1" sheetId="22" r:id="rId15"/>
    <sheet name="SO HRM2" sheetId="46" r:id="rId16"/>
    <sheet name="BS HRM1" sheetId="23" r:id="rId17"/>
    <sheet name="BS HRM2" sheetId="54" r:id="rId18"/>
    <sheet name="BL HRM2" sheetId="55" r:id="rId19"/>
    <sheet name="SH HRM1" sheetId="25" r:id="rId20"/>
    <sheet name="AR HRM1" sheetId="26" r:id="rId21"/>
    <sheet name="AR HRM2" sheetId="56" r:id="rId22"/>
    <sheet name="AI HRM1" sheetId="27" r:id="rId23"/>
    <sheet name="SG HRM1" sheetId="28" r:id="rId24"/>
    <sheet name="GR HRM1" sheetId="29" r:id="rId25"/>
    <sheet name="GR HRM2" sheetId="51" r:id="rId26"/>
    <sheet name="AG HRM1" sheetId="30" r:id="rId27"/>
    <sheet name="TG HRM1" sheetId="31" r:id="rId28"/>
    <sheet name="TG HRM2" sheetId="45" r:id="rId29"/>
    <sheet name="TI HRM1" sheetId="32" r:id="rId30"/>
    <sheet name="VD MCH1" sheetId="33" r:id="rId31"/>
    <sheet name="VS MCH1" sheetId="34" r:id="rId32"/>
    <sheet name="NE MCH1" sheetId="35" r:id="rId33"/>
    <sheet name="GE IPSAS" sheetId="36" r:id="rId34"/>
    <sheet name="JU MCH1" sheetId="37" r:id="rId35"/>
    <sheet name="JU MCH2" sheetId="50" r:id="rId36"/>
    <sheet name="CHF" sheetId="38" r:id="rId37"/>
    <sheet name="CHD" sheetId="39" r:id="rId38"/>
    <sheet name="Ergebnisse Rechnung 2011" sheetId="2" r:id="rId39"/>
    <sheet name="Ergebnisse Budgets 2012" sheetId="7" r:id="rId40"/>
    <sheet name="Ergebnisse Rechnung 2012" sheetId="6" r:id="rId41"/>
    <sheet name="Budget 2013" sheetId="40" r:id="rId42"/>
    <sheet name="Übersicht Saldo L. R. " sheetId="9" r:id="rId43"/>
    <sheet name="Finanzierungsfehlbetrag" sheetId="10" r:id="rId44"/>
    <sheet name="Selbstfinanzierungsgrad" sheetId="11" r:id="rId45"/>
  </sheets>
  <definedNames>
    <definedName name="Abschluss_d" localSheetId="39">'Ergebnisse Budgets 2012'!$A$3:$E$38</definedName>
    <definedName name="Abschluss_d" localSheetId="40">'Ergebnisse Rechnung 2012'!$A$3:$E$38</definedName>
    <definedName name="Abschluss_d" localSheetId="43">Finanzierungsfehlbetrag!$A$2:$E$35</definedName>
    <definedName name="Abschluss_d" localSheetId="44">Selbstfinanzierungsgrad!$A$2:$E$35</definedName>
    <definedName name="Abschluss_d" localSheetId="42">'Übersicht Saldo L. R. '!$A$2:$E$35</definedName>
    <definedName name="Abschluss_d">'Ergebnisse Rechnung 2011'!$A$3:$E$38</definedName>
    <definedName name="Abschluss_f" localSheetId="39">'Ergebnisse Budgets 2012'!#REF!</definedName>
    <definedName name="Abschluss_f" localSheetId="40">'Ergebnisse Rechnung 2012'!#REF!</definedName>
    <definedName name="Abschluss_f" localSheetId="43">Finanzierungsfehlbetrag!$H$2:$M$35</definedName>
    <definedName name="Abschluss_f" localSheetId="44">Selbstfinanzierungsgrad!$H$2:$M$35</definedName>
    <definedName name="Abschluss_f" localSheetId="42">'Übersicht Saldo L. R. '!$H$2:$M$35</definedName>
    <definedName name="Abschluss_f">'Ergebnisse Rechnung 2011'!#REF!</definedName>
    <definedName name="AG">#REF!</definedName>
    <definedName name="AI">#REF!</definedName>
    <definedName name="AR">#REF!</definedName>
    <definedName name="BE">#REF!</definedName>
    <definedName name="BL">#REF!</definedName>
    <definedName name="BS">#REF!</definedName>
    <definedName name="CH">#REF!</definedName>
    <definedName name="CHF">#REF!</definedName>
    <definedName name="Dtext">#REF!</definedName>
    <definedName name="find">Finanzierungsfehlbetrag!$A$1:$F$33</definedName>
    <definedName name="FR">#REF!</definedName>
    <definedName name="Ftext">#REF!</definedName>
    <definedName name="GE">#REF!</definedName>
    <definedName name="GL">#REF!</definedName>
    <definedName name="GR">#REF!</definedName>
    <definedName name="JU">#REF!</definedName>
    <definedName name="Kanton">#REF!</definedName>
    <definedName name="kantone" localSheetId="43">#REF!</definedName>
    <definedName name="kantone" localSheetId="44">#REF!</definedName>
    <definedName name="kantone" localSheetId="42">#REF!</definedName>
    <definedName name="kantone">#REF!</definedName>
    <definedName name="LR" localSheetId="43">#REF!</definedName>
    <definedName name="LR" localSheetId="44">#REF!</definedName>
    <definedName name="LR">#REF!</definedName>
    <definedName name="LRd">'Übersicht Saldo L. R. '!$A$1:$F$33</definedName>
    <definedName name="LU">#REF!</definedName>
    <definedName name="md">#REF!</definedName>
    <definedName name="mf">#REF!</definedName>
    <definedName name="Name">#REF!</definedName>
    <definedName name="Nameeinf" localSheetId="43">#REF!</definedName>
    <definedName name="Nameeinf" localSheetId="44">#REF!</definedName>
    <definedName name="NE">#REF!</definedName>
    <definedName name="NW">#REF!</definedName>
    <definedName name="od">'Ergebnisse Rechnung 2012'!$A$3:$E$37</definedName>
    <definedName name="of">'Ergebnisse Rechnung 2012'!#REF!</definedName>
    <definedName name="OW">#REF!</definedName>
    <definedName name="_xlnm.Print_Area" localSheetId="21">'AR HRM2'!$A$1:$G$186</definedName>
    <definedName name="_xlnm.Print_Area" localSheetId="18">'BL HRM2'!$A$1:$G$186</definedName>
    <definedName name="_xlnm.Print_Area" localSheetId="17">'BS HRM2'!$A$1:$G$186</definedName>
    <definedName name="_xlnm.Print_Area" localSheetId="37">CHD!$A$1:$I$35</definedName>
    <definedName name="_xlnm.Print_Area" localSheetId="36">CHF!$A$1:$I$43</definedName>
    <definedName name="_xlnm.Print_Area" localSheetId="39">'Ergebnisse Budgets 2012'!$A$2:$E$39</definedName>
    <definedName name="_xlnm.Print_Area" localSheetId="38">'Ergebnisse Rechnung 2011'!$A$2:$F$39</definedName>
    <definedName name="_xlnm.Print_Area" localSheetId="40">'Ergebnisse Rechnung 2012'!$A$2:$E$36</definedName>
    <definedName name="_xlnm.Print_Area" localSheetId="43">Finanzierungsfehlbetrag!$A$1:$F$33</definedName>
    <definedName name="_xlnm.Print_Area" localSheetId="13">'FR MCH2'!$A$1:$G$186</definedName>
    <definedName name="_xlnm.Print_Area" localSheetId="10">'GL HRM2'!$A$1:$G$186</definedName>
    <definedName name="_xlnm.Print_Area" localSheetId="25">'GR HRM2'!$A$1:$G$186</definedName>
    <definedName name="_xlnm.Print_Area" localSheetId="35">'JU MCH2'!$A$1:$G$186</definedName>
    <definedName name="_xlnm.Print_Area" localSheetId="3">'LU HRM2'!$A$1:$G$186</definedName>
    <definedName name="_xlnm.Print_Area" localSheetId="9">'NW HRM2'!$A$1:$G$186</definedName>
    <definedName name="_xlnm.Print_Area" localSheetId="8">'OW HRM2'!$A$1:$G$186</definedName>
    <definedName name="_xlnm.Print_Area" localSheetId="44">Selbstfinanzierungsgrad!$A$1:$F$33</definedName>
    <definedName name="_xlnm.Print_Area" localSheetId="15">'SO HRM2'!$A$1:$G$186</definedName>
    <definedName name="_xlnm.Print_Area" localSheetId="28">'TG HRM2'!$A$1:$G$186</definedName>
    <definedName name="_xlnm.Print_Area" localSheetId="42">'Übersicht Saldo L. R. '!$A$1:$F$33</definedName>
    <definedName name="_xlnm.Print_Area" localSheetId="5">'UR HRM2'!$A$1:$G$186</definedName>
    <definedName name="_xlnm.Print_Area" localSheetId="12">'ZG HRM2'!$A$1:$G$186</definedName>
    <definedName name="_xlnm.Print_Area" localSheetId="0">'ZH HRM2'!$A$1:$G$186</definedName>
    <definedName name="_xlnm.Print_Titles" localSheetId="21">'AR HRM2'!$1:$2</definedName>
    <definedName name="_xlnm.Print_Titles" localSheetId="18">'BL HRM2'!$1:$2</definedName>
    <definedName name="_xlnm.Print_Titles" localSheetId="17">'BS HRM2'!$1:$2</definedName>
    <definedName name="_xlnm.Print_Titles" localSheetId="13">'FR MCH2'!$1:$2</definedName>
    <definedName name="_xlnm.Print_Titles" localSheetId="10">'GL HRM2'!$1:$2</definedName>
    <definedName name="_xlnm.Print_Titles" localSheetId="25">'GR HRM2'!$1:$2</definedName>
    <definedName name="_xlnm.Print_Titles" localSheetId="35">'JU MCH2'!$1:$2</definedName>
    <definedName name="_xlnm.Print_Titles" localSheetId="3">'LU HRM2'!$1:$2</definedName>
    <definedName name="_xlnm.Print_Titles" localSheetId="9">'NW HRM2'!$1:$2</definedName>
    <definedName name="_xlnm.Print_Titles" localSheetId="8">'OW HRM2'!$1:$2</definedName>
    <definedName name="_xlnm.Print_Titles" localSheetId="15">'SO HRM2'!$1:$2</definedName>
    <definedName name="_xlnm.Print_Titles" localSheetId="28">'TG HRM2'!$1:$2</definedName>
    <definedName name="_xlnm.Print_Titles" localSheetId="5">'UR HRM2'!$1:$2</definedName>
    <definedName name="_xlnm.Print_Titles" localSheetId="12">'ZG HRM2'!$1:$2</definedName>
    <definedName name="_xlnm.Print_Titles" localSheetId="0">'ZH HRM2'!$A:$C,'ZH HRM2'!$1:$2</definedName>
    <definedName name="qd">'Ergebnisse Rechnung 2011'!$A$3:$E$37</definedName>
    <definedName name="qf">'Ergebnisse Rechnung 2011'!#REF!</definedName>
    <definedName name="sd">'Ergebnisse Budgets 2012'!$A$3:$E$37</definedName>
    <definedName name="sf">'Ergebnisse Budgets 2012'!#REF!</definedName>
    <definedName name="SF_GradR" localSheetId="39">'Ergebnisse Budgets 2012'!$A$3:$E$38</definedName>
    <definedName name="SF_GradR" localSheetId="38">'Ergebnisse Rechnung 2011'!$A$3:$E$38</definedName>
    <definedName name="SF_GradR" localSheetId="40">'Ergebnisse Rechnung 2012'!$A$3:$E$38</definedName>
    <definedName name="SF_GradR" localSheetId="43">Finanzierungsfehlbetrag!$A$2:$E$35</definedName>
    <definedName name="SF_GradR" localSheetId="44">Selbstfinanzierungsgrad!$A$2:$E$35</definedName>
    <definedName name="SF_GradR" localSheetId="42">'Übersicht Saldo L. R. '!$A$2:$E$35</definedName>
    <definedName name="SF_GradR">#REF!</definedName>
    <definedName name="SFd">Selbstfinanzierungsgrad!$A$1:$F$33</definedName>
    <definedName name="SFmitohne" localSheetId="43">#REF!</definedName>
    <definedName name="SFmitohne" localSheetId="44">#REF!</definedName>
    <definedName name="SG">#REF!</definedName>
    <definedName name="SH">#REF!</definedName>
    <definedName name="so">#REF!</definedName>
    <definedName name="sotxt">#REF!</definedName>
    <definedName name="SZ">#REF!</definedName>
    <definedName name="Text" localSheetId="43">#REF!</definedName>
    <definedName name="Text" localSheetId="44">#REF!</definedName>
    <definedName name="TG">#REF!</definedName>
    <definedName name="TI">#REF!</definedName>
    <definedName name="Umfrage" localSheetId="43">#REF!</definedName>
    <definedName name="Umfrage" localSheetId="44">#REF!</definedName>
    <definedName name="UR">#REF!</definedName>
    <definedName name="VD">#REF!</definedName>
    <definedName name="Verweis" localSheetId="43">#REF!</definedName>
    <definedName name="Verweis" localSheetId="44">#REF!</definedName>
    <definedName name="VS">#REF!</definedName>
    <definedName name="ZG">#REF!</definedName>
    <definedName name="ZH">#REF!</definedName>
    <definedName name="ZIANT" localSheetId="43">#REF!</definedName>
    <definedName name="ZIANT" localSheetId="44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3" i="50" l="1"/>
  <c r="G184" i="50"/>
  <c r="G172" i="50" s="1"/>
  <c r="F183" i="50"/>
  <c r="F184" i="50"/>
  <c r="F172" i="50" s="1"/>
  <c r="E183" i="50"/>
  <c r="E184" i="50" s="1"/>
  <c r="D183" i="50"/>
  <c r="G181" i="50"/>
  <c r="G185" i="50" s="1"/>
  <c r="F181" i="50"/>
  <c r="F185" i="50" s="1"/>
  <c r="E181" i="50"/>
  <c r="E185" i="50" s="1"/>
  <c r="D181" i="50"/>
  <c r="D185" i="50" s="1"/>
  <c r="G180" i="50"/>
  <c r="F180" i="50"/>
  <c r="E180" i="50"/>
  <c r="D180" i="50"/>
  <c r="G177" i="50"/>
  <c r="G165" i="50" s="1"/>
  <c r="F177" i="50"/>
  <c r="E177" i="50"/>
  <c r="E169" i="50" s="1"/>
  <c r="D177" i="50"/>
  <c r="D165" i="50" s="1"/>
  <c r="G171" i="50"/>
  <c r="F171" i="50"/>
  <c r="E171" i="50"/>
  <c r="D171" i="50"/>
  <c r="G170" i="50"/>
  <c r="F170" i="50"/>
  <c r="E170" i="50"/>
  <c r="D170" i="50"/>
  <c r="D184" i="50" s="1"/>
  <c r="D172" i="50" s="1"/>
  <c r="D169" i="50"/>
  <c r="G168" i="50"/>
  <c r="G169" i="50"/>
  <c r="F168" i="50"/>
  <c r="F169" i="50"/>
  <c r="E168" i="50"/>
  <c r="D168" i="50"/>
  <c r="F165" i="50"/>
  <c r="G163" i="50"/>
  <c r="F163" i="50"/>
  <c r="E163" i="50"/>
  <c r="D163" i="50"/>
  <c r="D162" i="50"/>
  <c r="G183" i="45"/>
  <c r="G184" i="45" s="1"/>
  <c r="F183" i="45"/>
  <c r="F184" i="45" s="1"/>
  <c r="E183" i="45"/>
  <c r="E184" i="45" s="1"/>
  <c r="E172" i="45" s="1"/>
  <c r="D183" i="45"/>
  <c r="D184" i="45"/>
  <c r="D172" i="45" s="1"/>
  <c r="G181" i="45"/>
  <c r="G185" i="45" s="1"/>
  <c r="F181" i="45"/>
  <c r="F185" i="45"/>
  <c r="E181" i="45"/>
  <c r="E185" i="45" s="1"/>
  <c r="D181" i="45"/>
  <c r="D185" i="45" s="1"/>
  <c r="G180" i="45"/>
  <c r="F180" i="45"/>
  <c r="E180" i="45"/>
  <c r="D180" i="45"/>
  <c r="G177" i="45"/>
  <c r="G169" i="45" s="1"/>
  <c r="F177" i="45"/>
  <c r="F165" i="45" s="1"/>
  <c r="E177" i="45"/>
  <c r="D177" i="45"/>
  <c r="D169" i="45" s="1"/>
  <c r="G171" i="45"/>
  <c r="F171" i="45"/>
  <c r="E171" i="45"/>
  <c r="D171" i="45"/>
  <c r="G170" i="45"/>
  <c r="F170" i="45"/>
  <c r="E170" i="45"/>
  <c r="D170" i="45"/>
  <c r="G168" i="45"/>
  <c r="F168" i="45"/>
  <c r="F169" i="45"/>
  <c r="E168" i="45"/>
  <c r="E169" i="45"/>
  <c r="D168" i="45"/>
  <c r="G165" i="45"/>
  <c r="E165" i="45"/>
  <c r="G163" i="45"/>
  <c r="F163" i="45"/>
  <c r="E163" i="45"/>
  <c r="D163" i="45"/>
  <c r="D162" i="45"/>
  <c r="G183" i="51"/>
  <c r="F183" i="51"/>
  <c r="F184" i="51"/>
  <c r="F172" i="51" s="1"/>
  <c r="E183" i="51"/>
  <c r="E184" i="51"/>
  <c r="E172" i="51" s="1"/>
  <c r="D183" i="51"/>
  <c r="D184" i="51" s="1"/>
  <c r="G181" i="51"/>
  <c r="G185" i="51" s="1"/>
  <c r="F181" i="51"/>
  <c r="F185" i="51" s="1"/>
  <c r="E181" i="51"/>
  <c r="E185" i="51"/>
  <c r="D181" i="51"/>
  <c r="D185" i="51" s="1"/>
  <c r="G180" i="51"/>
  <c r="F180" i="51"/>
  <c r="E180" i="51"/>
  <c r="D180" i="51"/>
  <c r="G177" i="51"/>
  <c r="G169" i="51" s="1"/>
  <c r="F177" i="51"/>
  <c r="F165" i="51" s="1"/>
  <c r="E177" i="51"/>
  <c r="E165" i="51" s="1"/>
  <c r="D177" i="51"/>
  <c r="G171" i="51"/>
  <c r="F171" i="51"/>
  <c r="E171" i="51"/>
  <c r="D171" i="51"/>
  <c r="G170" i="51"/>
  <c r="G184" i="51" s="1"/>
  <c r="G172" i="51" s="1"/>
  <c r="F170" i="51"/>
  <c r="E170" i="51"/>
  <c r="D170" i="51"/>
  <c r="F169" i="51"/>
  <c r="D169" i="51"/>
  <c r="G168" i="51"/>
  <c r="F168" i="51"/>
  <c r="E168" i="51"/>
  <c r="D168" i="51"/>
  <c r="D165" i="51"/>
  <c r="G163" i="51"/>
  <c r="F163" i="51"/>
  <c r="E163" i="51"/>
  <c r="D163" i="51"/>
  <c r="F162" i="51"/>
  <c r="E162" i="51"/>
  <c r="D162" i="51"/>
  <c r="G183" i="56"/>
  <c r="G184" i="56"/>
  <c r="G172" i="56" s="1"/>
  <c r="F183" i="56"/>
  <c r="F184" i="56" s="1"/>
  <c r="F172" i="56" s="1"/>
  <c r="E183" i="56"/>
  <c r="E184" i="56" s="1"/>
  <c r="E172" i="56" s="1"/>
  <c r="D183" i="56"/>
  <c r="D184" i="56"/>
  <c r="D172" i="56"/>
  <c r="G181" i="56"/>
  <c r="G185" i="56" s="1"/>
  <c r="F181" i="56"/>
  <c r="F185" i="56"/>
  <c r="E181" i="56"/>
  <c r="E185" i="56" s="1"/>
  <c r="D181" i="56"/>
  <c r="D185" i="56" s="1"/>
  <c r="G180" i="56"/>
  <c r="F180" i="56"/>
  <c r="E180" i="56"/>
  <c r="D180" i="56"/>
  <c r="G177" i="56"/>
  <c r="G165" i="56" s="1"/>
  <c r="F177" i="56"/>
  <c r="F169" i="56" s="1"/>
  <c r="E177" i="56"/>
  <c r="D177" i="56"/>
  <c r="D165" i="56" s="1"/>
  <c r="G171" i="56"/>
  <c r="F171" i="56"/>
  <c r="E171" i="56"/>
  <c r="D171" i="56"/>
  <c r="G170" i="56"/>
  <c r="F170" i="56"/>
  <c r="E170" i="56"/>
  <c r="D170" i="56"/>
  <c r="E169" i="56"/>
  <c r="D169" i="56"/>
  <c r="G168" i="56"/>
  <c r="G169" i="56"/>
  <c r="F168" i="56"/>
  <c r="E168" i="56"/>
  <c r="D168" i="56"/>
  <c r="F165" i="56"/>
  <c r="E165" i="56"/>
  <c r="G163" i="56"/>
  <c r="F163" i="56"/>
  <c r="E163" i="56"/>
  <c r="D163" i="56"/>
  <c r="F162" i="56"/>
  <c r="E162" i="56"/>
  <c r="D162" i="56"/>
  <c r="G183" i="55"/>
  <c r="G184" i="55" s="1"/>
  <c r="G172" i="55" s="1"/>
  <c r="F183" i="55"/>
  <c r="E183" i="55"/>
  <c r="E184" i="55" s="1"/>
  <c r="E172" i="55" s="1"/>
  <c r="D183" i="55"/>
  <c r="D184" i="55"/>
  <c r="D172" i="55" s="1"/>
  <c r="G181" i="55"/>
  <c r="G185" i="55" s="1"/>
  <c r="F181" i="55"/>
  <c r="F185" i="55"/>
  <c r="E181" i="55"/>
  <c r="E185" i="55" s="1"/>
  <c r="D181" i="55"/>
  <c r="G180" i="55"/>
  <c r="F180" i="55"/>
  <c r="E180" i="55"/>
  <c r="D180" i="55"/>
  <c r="G177" i="55"/>
  <c r="G165" i="55" s="1"/>
  <c r="F177" i="55"/>
  <c r="F169" i="55" s="1"/>
  <c r="E177" i="55"/>
  <c r="E165" i="55" s="1"/>
  <c r="D177" i="55"/>
  <c r="D165" i="55" s="1"/>
  <c r="G171" i="55"/>
  <c r="F171" i="55"/>
  <c r="E171" i="55"/>
  <c r="D171" i="55"/>
  <c r="D182" i="55" s="1"/>
  <c r="D186" i="55" s="1"/>
  <c r="G170" i="55"/>
  <c r="F170" i="55"/>
  <c r="F184" i="55" s="1"/>
  <c r="F172" i="55" s="1"/>
  <c r="E170" i="55"/>
  <c r="D170" i="55"/>
  <c r="G168" i="55"/>
  <c r="G169" i="55" s="1"/>
  <c r="F168" i="55"/>
  <c r="E168" i="55"/>
  <c r="E169" i="55"/>
  <c r="D168" i="55"/>
  <c r="D169" i="55"/>
  <c r="F165" i="55"/>
  <c r="G163" i="55"/>
  <c r="F163" i="55"/>
  <c r="E163" i="55"/>
  <c r="D163" i="55"/>
  <c r="G183" i="54"/>
  <c r="G184" i="54" s="1"/>
  <c r="G172" i="54" s="1"/>
  <c r="F183" i="54"/>
  <c r="F184" i="54" s="1"/>
  <c r="E183" i="54"/>
  <c r="D183" i="54"/>
  <c r="D184" i="54"/>
  <c r="D172" i="54" s="1"/>
  <c r="G181" i="54"/>
  <c r="G185" i="54"/>
  <c r="F181" i="54"/>
  <c r="F185" i="54"/>
  <c r="E181" i="54"/>
  <c r="E185" i="54"/>
  <c r="D181" i="54"/>
  <c r="D182" i="54" s="1"/>
  <c r="D186" i="54" s="1"/>
  <c r="G180" i="54"/>
  <c r="F180" i="54"/>
  <c r="E180" i="54"/>
  <c r="D180" i="54"/>
  <c r="G177" i="54"/>
  <c r="G169" i="54" s="1"/>
  <c r="F177" i="54"/>
  <c r="E177" i="54"/>
  <c r="E165" i="54" s="1"/>
  <c r="D177" i="54"/>
  <c r="D165" i="54" s="1"/>
  <c r="G171" i="54"/>
  <c r="F171" i="54"/>
  <c r="E171" i="54"/>
  <c r="D171" i="54"/>
  <c r="G170" i="54"/>
  <c r="F170" i="54"/>
  <c r="E170" i="54"/>
  <c r="E184" i="54" s="1"/>
  <c r="D170" i="54"/>
  <c r="F169" i="54"/>
  <c r="D169" i="54"/>
  <c r="G168" i="54"/>
  <c r="F168" i="54"/>
  <c r="E168" i="54"/>
  <c r="D168" i="54"/>
  <c r="F165" i="54"/>
  <c r="G163" i="54"/>
  <c r="F163" i="54"/>
  <c r="E163" i="54"/>
  <c r="D163" i="54"/>
  <c r="F162" i="54"/>
  <c r="E162" i="54"/>
  <c r="D162" i="54"/>
  <c r="G183" i="46"/>
  <c r="G184" i="46"/>
  <c r="G172" i="46" s="1"/>
  <c r="F183" i="46"/>
  <c r="F184" i="46" s="1"/>
  <c r="E183" i="46"/>
  <c r="E184" i="46" s="1"/>
  <c r="E172" i="46" s="1"/>
  <c r="D183" i="46"/>
  <c r="D184" i="46"/>
  <c r="D172" i="46"/>
  <c r="G181" i="46"/>
  <c r="G185" i="46" s="1"/>
  <c r="F181" i="46"/>
  <c r="F185" i="46"/>
  <c r="E181" i="46"/>
  <c r="E185" i="46" s="1"/>
  <c r="D181" i="46"/>
  <c r="D185" i="46" s="1"/>
  <c r="G180" i="46"/>
  <c r="F180" i="46"/>
  <c r="E180" i="46"/>
  <c r="D180" i="46"/>
  <c r="G177" i="46"/>
  <c r="F177" i="46"/>
  <c r="E177" i="46"/>
  <c r="D177" i="46"/>
  <c r="D165" i="46" s="1"/>
  <c r="G171" i="46"/>
  <c r="F171" i="46"/>
  <c r="E171" i="46"/>
  <c r="D171" i="46"/>
  <c r="G170" i="46"/>
  <c r="F170" i="46"/>
  <c r="E170" i="46"/>
  <c r="D170" i="46"/>
  <c r="G168" i="46"/>
  <c r="G169" i="46"/>
  <c r="F168" i="46"/>
  <c r="F169" i="46"/>
  <c r="E168" i="46"/>
  <c r="E169" i="46"/>
  <c r="D168" i="46"/>
  <c r="G165" i="46"/>
  <c r="F165" i="46"/>
  <c r="E165" i="46"/>
  <c r="G163" i="46"/>
  <c r="F163" i="46"/>
  <c r="E163" i="46"/>
  <c r="D163" i="46"/>
  <c r="D162" i="46"/>
  <c r="G183" i="53"/>
  <c r="G184" i="53" s="1"/>
  <c r="F183" i="53"/>
  <c r="F184" i="53"/>
  <c r="F172" i="53"/>
  <c r="E183" i="53"/>
  <c r="D183" i="53"/>
  <c r="D184" i="53"/>
  <c r="D172" i="53" s="1"/>
  <c r="G181" i="53"/>
  <c r="G185" i="53" s="1"/>
  <c r="F181" i="53"/>
  <c r="F185" i="53"/>
  <c r="E181" i="53"/>
  <c r="E185" i="53"/>
  <c r="D181" i="53"/>
  <c r="D185" i="53"/>
  <c r="G180" i="53"/>
  <c r="F180" i="53"/>
  <c r="E180" i="53"/>
  <c r="D180" i="53"/>
  <c r="G177" i="53"/>
  <c r="G165" i="53" s="1"/>
  <c r="F177" i="53"/>
  <c r="F165" i="53" s="1"/>
  <c r="E177" i="53"/>
  <c r="E169" i="53" s="1"/>
  <c r="D177" i="53"/>
  <c r="D169" i="53" s="1"/>
  <c r="G171" i="53"/>
  <c r="F171" i="53"/>
  <c r="E171" i="53"/>
  <c r="D171" i="53"/>
  <c r="G170" i="53"/>
  <c r="F170" i="53"/>
  <c r="E170" i="53"/>
  <c r="E184" i="53" s="1"/>
  <c r="E172" i="53" s="1"/>
  <c r="D170" i="53"/>
  <c r="G168" i="53"/>
  <c r="G169" i="53"/>
  <c r="F168" i="53"/>
  <c r="F169" i="53"/>
  <c r="E168" i="53"/>
  <c r="D168" i="53"/>
  <c r="E165" i="53"/>
  <c r="G163" i="53"/>
  <c r="F163" i="53"/>
  <c r="E163" i="53"/>
  <c r="D163" i="53"/>
  <c r="G183" i="43"/>
  <c r="G184" i="43"/>
  <c r="G172" i="43" s="1"/>
  <c r="F183" i="43"/>
  <c r="F184" i="43"/>
  <c r="F172" i="43" s="1"/>
  <c r="E183" i="43"/>
  <c r="E184" i="43" s="1"/>
  <c r="D183" i="43"/>
  <c r="D184" i="43" s="1"/>
  <c r="D172" i="43" s="1"/>
  <c r="G181" i="43"/>
  <c r="G185" i="43"/>
  <c r="F181" i="43"/>
  <c r="F185" i="43" s="1"/>
  <c r="E181" i="43"/>
  <c r="E185" i="43" s="1"/>
  <c r="D181" i="43"/>
  <c r="D185" i="43"/>
  <c r="G180" i="43"/>
  <c r="F180" i="43"/>
  <c r="E180" i="43"/>
  <c r="D180" i="43"/>
  <c r="G177" i="43"/>
  <c r="F177" i="43"/>
  <c r="F165" i="43" s="1"/>
  <c r="E177" i="43"/>
  <c r="E169" i="43" s="1"/>
  <c r="D177" i="43"/>
  <c r="D165" i="43" s="1"/>
  <c r="G171" i="43"/>
  <c r="F171" i="43"/>
  <c r="E171" i="43"/>
  <c r="D171" i="43"/>
  <c r="G170" i="43"/>
  <c r="F170" i="43"/>
  <c r="E170" i="43"/>
  <c r="D170" i="43"/>
  <c r="D169" i="43"/>
  <c r="G168" i="43"/>
  <c r="G169" i="43"/>
  <c r="F168" i="43"/>
  <c r="F169" i="43"/>
  <c r="E168" i="43"/>
  <c r="D168" i="43"/>
  <c r="G165" i="43"/>
  <c r="G163" i="43"/>
  <c r="F163" i="43"/>
  <c r="E163" i="43"/>
  <c r="D163" i="43"/>
  <c r="D162" i="43"/>
  <c r="G183" i="52"/>
  <c r="G184" i="52" s="1"/>
  <c r="G172" i="52" s="1"/>
  <c r="F183" i="52"/>
  <c r="F184" i="52" s="1"/>
  <c r="E183" i="52"/>
  <c r="E184" i="52"/>
  <c r="E172" i="52"/>
  <c r="D183" i="52"/>
  <c r="D184" i="52"/>
  <c r="D172" i="52" s="1"/>
  <c r="G181" i="52"/>
  <c r="G185" i="52"/>
  <c r="F181" i="52"/>
  <c r="E181" i="52"/>
  <c r="E185" i="52"/>
  <c r="G180" i="52"/>
  <c r="F180" i="52"/>
  <c r="E180" i="52"/>
  <c r="D180" i="52"/>
  <c r="G177" i="52"/>
  <c r="G169" i="52" s="1"/>
  <c r="F177" i="52"/>
  <c r="E177" i="52"/>
  <c r="E169" i="52" s="1"/>
  <c r="G171" i="52"/>
  <c r="F171" i="52"/>
  <c r="E171" i="52"/>
  <c r="D171" i="52"/>
  <c r="G170" i="52"/>
  <c r="F170" i="52"/>
  <c r="E170" i="52"/>
  <c r="D170" i="52"/>
  <c r="G168" i="52"/>
  <c r="F168" i="52"/>
  <c r="F169" i="52"/>
  <c r="E168" i="52"/>
  <c r="D168" i="52"/>
  <c r="F165" i="52"/>
  <c r="E165" i="52"/>
  <c r="G163" i="52"/>
  <c r="F163" i="52"/>
  <c r="E163" i="52"/>
  <c r="D163" i="52"/>
  <c r="G183" i="47"/>
  <c r="G184" i="47"/>
  <c r="G172" i="47" s="1"/>
  <c r="F183" i="47"/>
  <c r="F184" i="47" s="1"/>
  <c r="F172" i="47" s="1"/>
  <c r="E183" i="47"/>
  <c r="E184" i="47" s="1"/>
  <c r="E172" i="47" s="1"/>
  <c r="D183" i="47"/>
  <c r="G181" i="47"/>
  <c r="G185" i="47"/>
  <c r="F181" i="47"/>
  <c r="E181" i="47"/>
  <c r="E185" i="47" s="1"/>
  <c r="G180" i="47"/>
  <c r="F180" i="47"/>
  <c r="E180" i="47"/>
  <c r="D180" i="47"/>
  <c r="G177" i="47"/>
  <c r="G165" i="47" s="1"/>
  <c r="F177" i="47"/>
  <c r="F169" i="47" s="1"/>
  <c r="E177" i="47"/>
  <c r="E169" i="47" s="1"/>
  <c r="G171" i="47"/>
  <c r="G182" i="47" s="1"/>
  <c r="G186" i="47" s="1"/>
  <c r="F171" i="47"/>
  <c r="E171" i="47"/>
  <c r="D171" i="47"/>
  <c r="G170" i="47"/>
  <c r="F170" i="47"/>
  <c r="E170" i="47"/>
  <c r="D170" i="47"/>
  <c r="D184" i="47" s="1"/>
  <c r="D172" i="47" s="1"/>
  <c r="G168" i="47"/>
  <c r="F168" i="47"/>
  <c r="E168" i="47"/>
  <c r="D168" i="47"/>
  <c r="E165" i="47"/>
  <c r="G163" i="47"/>
  <c r="F163" i="47"/>
  <c r="E163" i="47"/>
  <c r="D163" i="47"/>
  <c r="G183" i="48"/>
  <c r="G184" i="48" s="1"/>
  <c r="G172" i="48" s="1"/>
  <c r="F183" i="48"/>
  <c r="E183" i="48"/>
  <c r="E184" i="48"/>
  <c r="E172" i="48" s="1"/>
  <c r="D183" i="48"/>
  <c r="D184" i="48"/>
  <c r="D172" i="48" s="1"/>
  <c r="G181" i="48"/>
  <c r="G185" i="48" s="1"/>
  <c r="F181" i="48"/>
  <c r="F185" i="48"/>
  <c r="E181" i="48"/>
  <c r="E185" i="48"/>
  <c r="D181" i="48"/>
  <c r="D185" i="48"/>
  <c r="G180" i="48"/>
  <c r="G165" i="48" s="1"/>
  <c r="F180" i="48"/>
  <c r="F165" i="48" s="1"/>
  <c r="E180" i="48"/>
  <c r="D180" i="48"/>
  <c r="G177" i="48"/>
  <c r="F177" i="48"/>
  <c r="E177" i="48"/>
  <c r="E165" i="48" s="1"/>
  <c r="D177" i="48"/>
  <c r="D165" i="48" s="1"/>
  <c r="G171" i="48"/>
  <c r="F171" i="48"/>
  <c r="E171" i="48"/>
  <c r="D171" i="48"/>
  <c r="G170" i="48"/>
  <c r="F170" i="48"/>
  <c r="F184" i="48" s="1"/>
  <c r="F172" i="48" s="1"/>
  <c r="E170" i="48"/>
  <c r="D170" i="48"/>
  <c r="D169" i="48"/>
  <c r="G168" i="48"/>
  <c r="G169" i="48"/>
  <c r="F168" i="48"/>
  <c r="F169" i="48"/>
  <c r="E168" i="48"/>
  <c r="E169" i="48" s="1"/>
  <c r="D168" i="48"/>
  <c r="G163" i="48"/>
  <c r="F163" i="48"/>
  <c r="E163" i="48"/>
  <c r="D163" i="48"/>
  <c r="D162" i="48"/>
  <c r="G183" i="44"/>
  <c r="G184" i="44"/>
  <c r="G172" i="44" s="1"/>
  <c r="F183" i="44"/>
  <c r="F184" i="44"/>
  <c r="F172" i="44" s="1"/>
  <c r="E183" i="44"/>
  <c r="E184" i="44" s="1"/>
  <c r="E172" i="44" s="1"/>
  <c r="D183" i="44"/>
  <c r="D184" i="44" s="1"/>
  <c r="D172" i="44" s="1"/>
  <c r="G181" i="44"/>
  <c r="G185" i="44"/>
  <c r="F181" i="44"/>
  <c r="E181" i="44"/>
  <c r="E185" i="44" s="1"/>
  <c r="D181" i="44"/>
  <c r="D185" i="44"/>
  <c r="G180" i="44"/>
  <c r="F180" i="44"/>
  <c r="E180" i="44"/>
  <c r="D180" i="44"/>
  <c r="G177" i="44"/>
  <c r="F177" i="44"/>
  <c r="F169" i="44" s="1"/>
  <c r="E177" i="44"/>
  <c r="D177" i="44"/>
  <c r="D165" i="44" s="1"/>
  <c r="G171" i="44"/>
  <c r="F171" i="44"/>
  <c r="E171" i="44"/>
  <c r="D171" i="44"/>
  <c r="G170" i="44"/>
  <c r="F170" i="44"/>
  <c r="E170" i="44"/>
  <c r="D170" i="44"/>
  <c r="G169" i="44"/>
  <c r="D169" i="44"/>
  <c r="G168" i="44"/>
  <c r="F168" i="44"/>
  <c r="E168" i="44"/>
  <c r="D168" i="44"/>
  <c r="G165" i="44"/>
  <c r="F165" i="44"/>
  <c r="G163" i="44"/>
  <c r="F163" i="44"/>
  <c r="E163" i="44"/>
  <c r="D163" i="44"/>
  <c r="D162" i="44"/>
  <c r="G183" i="49"/>
  <c r="G184" i="49" s="1"/>
  <c r="G172" i="49" s="1"/>
  <c r="F183" i="49"/>
  <c r="F184" i="49" s="1"/>
  <c r="F172" i="49" s="1"/>
  <c r="E183" i="49"/>
  <c r="E184" i="49"/>
  <c r="E172" i="49"/>
  <c r="D183" i="49"/>
  <c r="D184" i="49" s="1"/>
  <c r="D172" i="49" s="1"/>
  <c r="G181" i="49"/>
  <c r="F181" i="49"/>
  <c r="E181" i="49"/>
  <c r="E185" i="49"/>
  <c r="D181" i="49"/>
  <c r="D185" i="49" s="1"/>
  <c r="G180" i="49"/>
  <c r="F180" i="49"/>
  <c r="E180" i="49"/>
  <c r="D180" i="49"/>
  <c r="G177" i="49"/>
  <c r="G169" i="49" s="1"/>
  <c r="F177" i="49"/>
  <c r="F165" i="49" s="1"/>
  <c r="E177" i="49"/>
  <c r="E165" i="49" s="1"/>
  <c r="D177" i="49"/>
  <c r="D169" i="49" s="1"/>
  <c r="G171" i="49"/>
  <c r="F171" i="49"/>
  <c r="E171" i="49"/>
  <c r="E182" i="49" s="1"/>
  <c r="D171" i="49"/>
  <c r="G170" i="49"/>
  <c r="F170" i="49"/>
  <c r="E170" i="49"/>
  <c r="D170" i="49"/>
  <c r="G168" i="49"/>
  <c r="F168" i="49"/>
  <c r="F169" i="49"/>
  <c r="E168" i="49"/>
  <c r="E169" i="49" s="1"/>
  <c r="D168" i="49"/>
  <c r="G165" i="49"/>
  <c r="D165" i="49"/>
  <c r="G163" i="49"/>
  <c r="F163" i="49"/>
  <c r="E163" i="49"/>
  <c r="D163" i="49"/>
  <c r="D162" i="49"/>
  <c r="G183" i="42"/>
  <c r="G184" i="42"/>
  <c r="G172" i="42"/>
  <c r="G180" i="42"/>
  <c r="G171" i="42"/>
  <c r="F171" i="42"/>
  <c r="E171" i="42"/>
  <c r="D171" i="42"/>
  <c r="G170" i="42"/>
  <c r="F170" i="42"/>
  <c r="E170" i="42"/>
  <c r="D170" i="42"/>
  <c r="G168" i="42"/>
  <c r="F168" i="42"/>
  <c r="E168" i="42"/>
  <c r="D168" i="42"/>
  <c r="G163" i="42"/>
  <c r="F163" i="42"/>
  <c r="E163" i="42"/>
  <c r="D163" i="42"/>
  <c r="F182" i="50"/>
  <c r="F186" i="50"/>
  <c r="D182" i="50"/>
  <c r="D186" i="50" s="1"/>
  <c r="E182" i="50"/>
  <c r="G182" i="50"/>
  <c r="G186" i="50" s="1"/>
  <c r="E182" i="45"/>
  <c r="E186" i="45" s="1"/>
  <c r="F182" i="45"/>
  <c r="D182" i="45"/>
  <c r="D186" i="45" s="1"/>
  <c r="G182" i="45"/>
  <c r="F182" i="51"/>
  <c r="F186" i="51" s="1"/>
  <c r="G182" i="51"/>
  <c r="G186" i="51" s="1"/>
  <c r="D182" i="51"/>
  <c r="E182" i="51"/>
  <c r="E186" i="51" s="1"/>
  <c r="D182" i="56"/>
  <c r="D186" i="56"/>
  <c r="E182" i="56"/>
  <c r="F182" i="56"/>
  <c r="F186" i="56" s="1"/>
  <c r="G182" i="56"/>
  <c r="G186" i="56"/>
  <c r="D185" i="55"/>
  <c r="E182" i="55"/>
  <c r="E186" i="55" s="1"/>
  <c r="F182" i="55"/>
  <c r="F186" i="55"/>
  <c r="G182" i="55"/>
  <c r="G186" i="55" s="1"/>
  <c r="D185" i="54"/>
  <c r="E182" i="54"/>
  <c r="F182" i="54"/>
  <c r="G182" i="54"/>
  <c r="G186" i="54"/>
  <c r="D182" i="46"/>
  <c r="D186" i="46" s="1"/>
  <c r="E182" i="46"/>
  <c r="E186" i="46" s="1"/>
  <c r="F182" i="46"/>
  <c r="G182" i="46"/>
  <c r="G186" i="46"/>
  <c r="E182" i="53"/>
  <c r="E186" i="53"/>
  <c r="F182" i="53"/>
  <c r="F186" i="53" s="1"/>
  <c r="D182" i="53"/>
  <c r="D186" i="53" s="1"/>
  <c r="G182" i="53"/>
  <c r="E182" i="43"/>
  <c r="F182" i="43"/>
  <c r="F186" i="43"/>
  <c r="D182" i="43"/>
  <c r="D186" i="43" s="1"/>
  <c r="G182" i="43"/>
  <c r="G186" i="43" s="1"/>
  <c r="F182" i="52"/>
  <c r="E182" i="52"/>
  <c r="E186" i="52" s="1"/>
  <c r="G182" i="52"/>
  <c r="G186" i="52" s="1"/>
  <c r="F182" i="47"/>
  <c r="G182" i="48"/>
  <c r="G186" i="48" s="1"/>
  <c r="D182" i="48"/>
  <c r="D186" i="48" s="1"/>
  <c r="E182" i="48"/>
  <c r="E186" i="48"/>
  <c r="F182" i="48"/>
  <c r="F186" i="48"/>
  <c r="G182" i="44"/>
  <c r="G186" i="44" s="1"/>
  <c r="D182" i="44"/>
  <c r="D186" i="44"/>
  <c r="E182" i="44"/>
  <c r="E186" i="44" s="1"/>
  <c r="E186" i="49"/>
  <c r="F182" i="49"/>
  <c r="F186" i="49" s="1"/>
  <c r="G182" i="49"/>
  <c r="G186" i="49" s="1"/>
  <c r="B32" i="11"/>
  <c r="F157" i="56"/>
  <c r="E157" i="56"/>
  <c r="F161" i="56"/>
  <c r="E161" i="56"/>
  <c r="D161" i="56"/>
  <c r="F160" i="56"/>
  <c r="E160" i="56"/>
  <c r="D160" i="56"/>
  <c r="E159" i="56"/>
  <c r="D157" i="56"/>
  <c r="G156" i="56"/>
  <c r="G157" i="56" s="1"/>
  <c r="F156" i="56"/>
  <c r="E156" i="56"/>
  <c r="D156" i="56"/>
  <c r="D151" i="56"/>
  <c r="G140" i="56"/>
  <c r="F140" i="56"/>
  <c r="E140" i="56"/>
  <c r="D140" i="56"/>
  <c r="D133" i="56" s="1"/>
  <c r="G134" i="56"/>
  <c r="G133" i="56" s="1"/>
  <c r="G147" i="56" s="1"/>
  <c r="F134" i="56"/>
  <c r="F133" i="56" s="1"/>
  <c r="F147" i="56" s="1"/>
  <c r="E134" i="56"/>
  <c r="E133" i="56" s="1"/>
  <c r="E147" i="56" s="1"/>
  <c r="D134" i="56"/>
  <c r="G121" i="56"/>
  <c r="G159" i="56" s="1"/>
  <c r="G161" i="56" s="1"/>
  <c r="F121" i="56"/>
  <c r="F159" i="56"/>
  <c r="E121" i="56"/>
  <c r="D121" i="56"/>
  <c r="D159" i="56" s="1"/>
  <c r="G117" i="56"/>
  <c r="G111" i="56" s="1"/>
  <c r="G167" i="56" s="1"/>
  <c r="F117" i="56"/>
  <c r="E117" i="56"/>
  <c r="D117" i="56"/>
  <c r="G112" i="56"/>
  <c r="F112" i="56"/>
  <c r="F111" i="56" s="1"/>
  <c r="F167" i="56" s="1"/>
  <c r="E112" i="56"/>
  <c r="D112" i="56"/>
  <c r="D111" i="56"/>
  <c r="D167" i="56" s="1"/>
  <c r="G106" i="56"/>
  <c r="G107" i="56" s="1"/>
  <c r="F106" i="56"/>
  <c r="E106" i="56"/>
  <c r="D106" i="56"/>
  <c r="G95" i="56"/>
  <c r="F95" i="56"/>
  <c r="E95" i="56"/>
  <c r="E107" i="56" s="1"/>
  <c r="D95" i="56"/>
  <c r="D107" i="56" s="1"/>
  <c r="F79" i="56"/>
  <c r="D79" i="56"/>
  <c r="G76" i="56"/>
  <c r="F76" i="56"/>
  <c r="E76" i="56"/>
  <c r="D76" i="56"/>
  <c r="G55" i="56"/>
  <c r="G166" i="56" s="1"/>
  <c r="F55" i="56"/>
  <c r="F166" i="56" s="1"/>
  <c r="E55" i="56"/>
  <c r="E166" i="56" s="1"/>
  <c r="D55" i="56"/>
  <c r="D166" i="56" s="1"/>
  <c r="G36" i="56"/>
  <c r="F36" i="56"/>
  <c r="E36" i="56"/>
  <c r="D36" i="56"/>
  <c r="G21" i="56"/>
  <c r="G37" i="56" s="1"/>
  <c r="F21" i="56"/>
  <c r="F78" i="56" s="1"/>
  <c r="F178" i="56" s="1"/>
  <c r="E21" i="56"/>
  <c r="E78" i="56" s="1"/>
  <c r="E178" i="56" s="1"/>
  <c r="D21" i="56"/>
  <c r="D37" i="56" s="1"/>
  <c r="G156" i="55"/>
  <c r="G157" i="55"/>
  <c r="F156" i="55"/>
  <c r="F157" i="55" s="1"/>
  <c r="E156" i="55"/>
  <c r="D156" i="55"/>
  <c r="G140" i="55"/>
  <c r="F140" i="55"/>
  <c r="E140" i="55"/>
  <c r="D140" i="55"/>
  <c r="D133" i="55" s="1"/>
  <c r="D147" i="55" s="1"/>
  <c r="G134" i="55"/>
  <c r="G133" i="55"/>
  <c r="F134" i="55"/>
  <c r="F133" i="55" s="1"/>
  <c r="F158" i="55" s="1"/>
  <c r="E134" i="55"/>
  <c r="D134" i="55"/>
  <c r="E133" i="55"/>
  <c r="G121" i="55"/>
  <c r="G159" i="55" s="1"/>
  <c r="G161" i="55" s="1"/>
  <c r="F121" i="55"/>
  <c r="F159" i="55" s="1"/>
  <c r="F161" i="55" s="1"/>
  <c r="E121" i="55"/>
  <c r="E159" i="55"/>
  <c r="E161" i="55" s="1"/>
  <c r="D121" i="55"/>
  <c r="D159" i="55" s="1"/>
  <c r="D161" i="55" s="1"/>
  <c r="G117" i="55"/>
  <c r="F117" i="55"/>
  <c r="E117" i="55"/>
  <c r="D117" i="55"/>
  <c r="G112" i="55"/>
  <c r="F112" i="55"/>
  <c r="F111" i="55"/>
  <c r="F167" i="55" s="1"/>
  <c r="E112" i="55"/>
  <c r="E111" i="55" s="1"/>
  <c r="D112" i="55"/>
  <c r="G106" i="55"/>
  <c r="F106" i="55"/>
  <c r="E106" i="55"/>
  <c r="D106" i="55"/>
  <c r="G95" i="55"/>
  <c r="G107" i="55" s="1"/>
  <c r="F95" i="55"/>
  <c r="F107" i="55" s="1"/>
  <c r="E95" i="55"/>
  <c r="E107" i="55" s="1"/>
  <c r="D95" i="55"/>
  <c r="D107" i="55" s="1"/>
  <c r="F79" i="55"/>
  <c r="G76" i="55"/>
  <c r="F76" i="55"/>
  <c r="E76" i="55"/>
  <c r="D76" i="55"/>
  <c r="G55" i="55"/>
  <c r="G166" i="55" s="1"/>
  <c r="F55" i="55"/>
  <c r="F166" i="55" s="1"/>
  <c r="E55" i="55"/>
  <c r="E166" i="55" s="1"/>
  <c r="D55" i="55"/>
  <c r="D166" i="55" s="1"/>
  <c r="G36" i="55"/>
  <c r="G37" i="55" s="1"/>
  <c r="F36" i="55"/>
  <c r="E36" i="55"/>
  <c r="E79" i="55"/>
  <c r="D36" i="55"/>
  <c r="D79" i="55" s="1"/>
  <c r="G21" i="55"/>
  <c r="G78" i="55" s="1"/>
  <c r="G178" i="55" s="1"/>
  <c r="F21" i="55"/>
  <c r="F37" i="55" s="1"/>
  <c r="E21" i="55"/>
  <c r="E78" i="55" s="1"/>
  <c r="E178" i="55" s="1"/>
  <c r="D21" i="55"/>
  <c r="D78" i="55"/>
  <c r="D178" i="55" s="1"/>
  <c r="G157" i="54"/>
  <c r="F161" i="54"/>
  <c r="E161" i="54"/>
  <c r="D161" i="54"/>
  <c r="F160" i="54"/>
  <c r="E160" i="54"/>
  <c r="D160" i="54"/>
  <c r="F157" i="54"/>
  <c r="E157" i="54"/>
  <c r="D157" i="54"/>
  <c r="G156" i="54"/>
  <c r="F156" i="54"/>
  <c r="E156" i="54"/>
  <c r="D156" i="54"/>
  <c r="F151" i="54"/>
  <c r="E151" i="54"/>
  <c r="D151" i="54"/>
  <c r="G140" i="54"/>
  <c r="F140" i="54"/>
  <c r="F133" i="54" s="1"/>
  <c r="E140" i="54"/>
  <c r="E133" i="54" s="1"/>
  <c r="E147" i="54" s="1"/>
  <c r="D140" i="54"/>
  <c r="G134" i="54"/>
  <c r="G133" i="54" s="1"/>
  <c r="G147" i="54" s="1"/>
  <c r="F134" i="54"/>
  <c r="E134" i="54"/>
  <c r="D134" i="54"/>
  <c r="D133" i="54"/>
  <c r="G121" i="54"/>
  <c r="G159" i="54" s="1"/>
  <c r="G161" i="54" s="1"/>
  <c r="F121" i="54"/>
  <c r="F159" i="54"/>
  <c r="E121" i="54"/>
  <c r="E159" i="54" s="1"/>
  <c r="D121" i="54"/>
  <c r="D159" i="54"/>
  <c r="G117" i="54"/>
  <c r="F117" i="54"/>
  <c r="E117" i="54"/>
  <c r="E111" i="54" s="1"/>
  <c r="D117" i="54"/>
  <c r="D111" i="54" s="1"/>
  <c r="D167" i="54" s="1"/>
  <c r="G112" i="54"/>
  <c r="G111" i="54" s="1"/>
  <c r="G167" i="54" s="1"/>
  <c r="F112" i="54"/>
  <c r="F111" i="54"/>
  <c r="F167" i="54" s="1"/>
  <c r="E112" i="54"/>
  <c r="D112" i="54"/>
  <c r="G106" i="54"/>
  <c r="F106" i="54"/>
  <c r="E106" i="54"/>
  <c r="E107" i="54" s="1"/>
  <c r="D106" i="54"/>
  <c r="G95" i="54"/>
  <c r="G107" i="54"/>
  <c r="F95" i="54"/>
  <c r="E95" i="54"/>
  <c r="D95" i="54"/>
  <c r="D107" i="54"/>
  <c r="D152" i="54" s="1"/>
  <c r="G76" i="54"/>
  <c r="F76" i="54"/>
  <c r="E76" i="54"/>
  <c r="D76" i="54"/>
  <c r="G55" i="54"/>
  <c r="G166" i="54" s="1"/>
  <c r="F55" i="54"/>
  <c r="F166" i="54" s="1"/>
  <c r="E55" i="54"/>
  <c r="E166" i="54" s="1"/>
  <c r="D55" i="54"/>
  <c r="D166" i="54" s="1"/>
  <c r="G36" i="54"/>
  <c r="F36" i="54"/>
  <c r="F79" i="54" s="1"/>
  <c r="E36" i="54"/>
  <c r="D36" i="54"/>
  <c r="D37" i="54" s="1"/>
  <c r="G21" i="54"/>
  <c r="G78" i="54"/>
  <c r="G178" i="54" s="1"/>
  <c r="F21" i="54"/>
  <c r="F78" i="54" s="1"/>
  <c r="F178" i="54" s="1"/>
  <c r="E21" i="54"/>
  <c r="E78" i="54"/>
  <c r="E178" i="54" s="1"/>
  <c r="D21" i="54"/>
  <c r="D78" i="54"/>
  <c r="D178" i="54" s="1"/>
  <c r="E157" i="53"/>
  <c r="G157" i="53"/>
  <c r="G156" i="53"/>
  <c r="F156" i="53"/>
  <c r="F157" i="53"/>
  <c r="E156" i="53"/>
  <c r="D156" i="53"/>
  <c r="G140" i="53"/>
  <c r="F140" i="53"/>
  <c r="F133" i="53" s="1"/>
  <c r="F147" i="53" s="1"/>
  <c r="E140" i="53"/>
  <c r="E133" i="53" s="1"/>
  <c r="E147" i="53" s="1"/>
  <c r="D140" i="53"/>
  <c r="G134" i="53"/>
  <c r="G133" i="53"/>
  <c r="G147" i="53"/>
  <c r="F134" i="53"/>
  <c r="E134" i="53"/>
  <c r="D134" i="53"/>
  <c r="D133" i="53"/>
  <c r="D147" i="53" s="1"/>
  <c r="G121" i="53"/>
  <c r="G159" i="53"/>
  <c r="G161" i="53" s="1"/>
  <c r="F121" i="53"/>
  <c r="F159" i="53"/>
  <c r="F161" i="53" s="1"/>
  <c r="E121" i="53"/>
  <c r="E159" i="53" s="1"/>
  <c r="E161" i="53" s="1"/>
  <c r="D121" i="53"/>
  <c r="D159" i="53"/>
  <c r="D161" i="53"/>
  <c r="G117" i="53"/>
  <c r="F117" i="53"/>
  <c r="E117" i="53"/>
  <c r="D117" i="53"/>
  <c r="G112" i="53"/>
  <c r="G111" i="53" s="1"/>
  <c r="F112" i="53"/>
  <c r="F111" i="53" s="1"/>
  <c r="F167" i="53" s="1"/>
  <c r="E112" i="53"/>
  <c r="D112" i="53"/>
  <c r="D111" i="53"/>
  <c r="D167" i="53" s="1"/>
  <c r="G106" i="53"/>
  <c r="F106" i="53"/>
  <c r="E106" i="53"/>
  <c r="E107" i="53" s="1"/>
  <c r="D106" i="53"/>
  <c r="G95" i="53"/>
  <c r="G107" i="53" s="1"/>
  <c r="F95" i="53"/>
  <c r="E95" i="53"/>
  <c r="D95" i="53"/>
  <c r="D107" i="53" s="1"/>
  <c r="D108" i="53" s="1"/>
  <c r="D79" i="53"/>
  <c r="G76" i="53"/>
  <c r="F76" i="53"/>
  <c r="E76" i="53"/>
  <c r="D76" i="53"/>
  <c r="G55" i="53"/>
  <c r="G166" i="53" s="1"/>
  <c r="F55" i="53"/>
  <c r="F166" i="53" s="1"/>
  <c r="E55" i="53"/>
  <c r="E166" i="53" s="1"/>
  <c r="D55" i="53"/>
  <c r="D166" i="53" s="1"/>
  <c r="G36" i="53"/>
  <c r="F36" i="53"/>
  <c r="F79" i="53"/>
  <c r="E36" i="53"/>
  <c r="E79" i="53" s="1"/>
  <c r="D36" i="53"/>
  <c r="D37" i="53" s="1"/>
  <c r="G21" i="53"/>
  <c r="G78" i="53" s="1"/>
  <c r="G178" i="53" s="1"/>
  <c r="F21" i="53"/>
  <c r="F78" i="53" s="1"/>
  <c r="F178" i="53" s="1"/>
  <c r="E21" i="53"/>
  <c r="E78" i="53" s="1"/>
  <c r="E178" i="53" s="1"/>
  <c r="D21" i="53"/>
  <c r="D78" i="53" s="1"/>
  <c r="D178" i="53" s="1"/>
  <c r="G156" i="52"/>
  <c r="G157" i="52" s="1"/>
  <c r="F156" i="52"/>
  <c r="F157" i="52"/>
  <c r="E156" i="52"/>
  <c r="D144" i="52"/>
  <c r="G140" i="52"/>
  <c r="G133" i="52" s="1"/>
  <c r="F140" i="52"/>
  <c r="E140" i="52"/>
  <c r="D140" i="52"/>
  <c r="D138" i="52"/>
  <c r="D134" i="52" s="1"/>
  <c r="D135" i="52"/>
  <c r="D156" i="52" s="1"/>
  <c r="G134" i="52"/>
  <c r="F134" i="52"/>
  <c r="F133" i="52" s="1"/>
  <c r="E134" i="52"/>
  <c r="E133" i="52"/>
  <c r="E147" i="52" s="1"/>
  <c r="D125" i="52"/>
  <c r="D124" i="52"/>
  <c r="D123" i="52"/>
  <c r="D122" i="52"/>
  <c r="G121" i="52"/>
  <c r="G159" i="52"/>
  <c r="G161" i="52" s="1"/>
  <c r="F121" i="52"/>
  <c r="F159" i="52" s="1"/>
  <c r="F161" i="52" s="1"/>
  <c r="E121" i="52"/>
  <c r="E159" i="52"/>
  <c r="E161" i="52" s="1"/>
  <c r="D119" i="52"/>
  <c r="D117" i="52"/>
  <c r="D118" i="52"/>
  <c r="G117" i="52"/>
  <c r="G111" i="52" s="1"/>
  <c r="F117" i="52"/>
  <c r="F111" i="52" s="1"/>
  <c r="F167" i="52" s="1"/>
  <c r="E117" i="52"/>
  <c r="D115" i="52"/>
  <c r="D113" i="52"/>
  <c r="G112" i="52"/>
  <c r="F112" i="52"/>
  <c r="E112" i="52"/>
  <c r="E111" i="52" s="1"/>
  <c r="E167" i="52" s="1"/>
  <c r="D112" i="52"/>
  <c r="D111" i="52" s="1"/>
  <c r="D167" i="52" s="1"/>
  <c r="G106" i="52"/>
  <c r="F106" i="52"/>
  <c r="E106" i="52"/>
  <c r="D106" i="52"/>
  <c r="G95" i="52"/>
  <c r="F95" i="52"/>
  <c r="F107" i="52"/>
  <c r="E95" i="52"/>
  <c r="E107" i="52"/>
  <c r="D95" i="52"/>
  <c r="D107" i="52" s="1"/>
  <c r="G76" i="52"/>
  <c r="F76" i="52"/>
  <c r="E76" i="52"/>
  <c r="D76" i="52"/>
  <c r="E150" i="52"/>
  <c r="G55" i="52"/>
  <c r="G166" i="52" s="1"/>
  <c r="F55" i="52"/>
  <c r="F166" i="52" s="1"/>
  <c r="E55" i="52"/>
  <c r="E166" i="52" s="1"/>
  <c r="D55" i="52"/>
  <c r="D166" i="52" s="1"/>
  <c r="G36" i="52"/>
  <c r="G79" i="52" s="1"/>
  <c r="F36" i="52"/>
  <c r="F79" i="52"/>
  <c r="E36" i="52"/>
  <c r="E37" i="52"/>
  <c r="E56" i="52" s="1"/>
  <c r="E77" i="52" s="1"/>
  <c r="D36" i="52"/>
  <c r="D79" i="52" s="1"/>
  <c r="D23" i="52"/>
  <c r="D22" i="52"/>
  <c r="G21" i="52"/>
  <c r="G78" i="52" s="1"/>
  <c r="G178" i="52" s="1"/>
  <c r="F21" i="52"/>
  <c r="F37" i="52"/>
  <c r="E21" i="52"/>
  <c r="E78" i="52"/>
  <c r="E178" i="52" s="1"/>
  <c r="D21" i="52"/>
  <c r="D78" i="52" s="1"/>
  <c r="D178" i="52" s="1"/>
  <c r="F151" i="51"/>
  <c r="E151" i="51"/>
  <c r="F161" i="51"/>
  <c r="E161" i="51"/>
  <c r="D161" i="51"/>
  <c r="F160" i="51"/>
  <c r="E160" i="51"/>
  <c r="D160" i="51"/>
  <c r="D157" i="51"/>
  <c r="G156" i="51"/>
  <c r="G157" i="51" s="1"/>
  <c r="F156" i="51"/>
  <c r="E156" i="51"/>
  <c r="D156" i="51"/>
  <c r="G140" i="51"/>
  <c r="F140" i="51"/>
  <c r="E140" i="51"/>
  <c r="D140" i="51"/>
  <c r="G134" i="51"/>
  <c r="F134" i="51"/>
  <c r="E134" i="51"/>
  <c r="D134" i="51"/>
  <c r="D133" i="51" s="1"/>
  <c r="D147" i="51" s="1"/>
  <c r="G121" i="51"/>
  <c r="G159" i="51"/>
  <c r="G161" i="51" s="1"/>
  <c r="F121" i="51"/>
  <c r="F159" i="51" s="1"/>
  <c r="E121" i="51"/>
  <c r="E159" i="51" s="1"/>
  <c r="D121" i="51"/>
  <c r="D159" i="51"/>
  <c r="G117" i="51"/>
  <c r="F117" i="51"/>
  <c r="E117" i="51"/>
  <c r="D117" i="51"/>
  <c r="G112" i="51"/>
  <c r="F112" i="51"/>
  <c r="F111" i="51" s="1"/>
  <c r="F167" i="51" s="1"/>
  <c r="E112" i="51"/>
  <c r="D112" i="51"/>
  <c r="D111" i="51" s="1"/>
  <c r="D167" i="51" s="1"/>
  <c r="E111" i="51"/>
  <c r="E167" i="51" s="1"/>
  <c r="G107" i="51"/>
  <c r="G108" i="51" s="1"/>
  <c r="G106" i="51"/>
  <c r="F106" i="51"/>
  <c r="E106" i="51"/>
  <c r="D106" i="51"/>
  <c r="G95" i="51"/>
  <c r="F95" i="51"/>
  <c r="F107" i="51" s="1"/>
  <c r="F152" i="51" s="1"/>
  <c r="E95" i="51"/>
  <c r="D95" i="51"/>
  <c r="D107" i="51" s="1"/>
  <c r="D152" i="51" s="1"/>
  <c r="G76" i="51"/>
  <c r="F76" i="51"/>
  <c r="E76" i="51"/>
  <c r="D76" i="51"/>
  <c r="G55" i="51"/>
  <c r="G166" i="51" s="1"/>
  <c r="F55" i="51"/>
  <c r="F166" i="51" s="1"/>
  <c r="E55" i="51"/>
  <c r="E166" i="51" s="1"/>
  <c r="D55" i="51"/>
  <c r="D166" i="51" s="1"/>
  <c r="G36" i="51"/>
  <c r="F36" i="51"/>
  <c r="E36" i="51"/>
  <c r="E37" i="51" s="1"/>
  <c r="E79" i="51"/>
  <c r="D36" i="51"/>
  <c r="D79" i="51"/>
  <c r="G21" i="51"/>
  <c r="F21" i="51"/>
  <c r="F78" i="51"/>
  <c r="F178" i="51" s="1"/>
  <c r="E21" i="51"/>
  <c r="E78" i="51"/>
  <c r="E178" i="51" s="1"/>
  <c r="D21" i="51"/>
  <c r="D78" i="51" s="1"/>
  <c r="D178" i="51" s="1"/>
  <c r="D161" i="50"/>
  <c r="D160" i="50"/>
  <c r="G156" i="50"/>
  <c r="G157" i="50"/>
  <c r="F156" i="50"/>
  <c r="F157" i="50" s="1"/>
  <c r="E156" i="50"/>
  <c r="D156" i="50"/>
  <c r="D151" i="50"/>
  <c r="G140" i="50"/>
  <c r="F140" i="50"/>
  <c r="E140" i="50"/>
  <c r="D140" i="50"/>
  <c r="G134" i="50"/>
  <c r="F134" i="50"/>
  <c r="E134" i="50"/>
  <c r="E133" i="50" s="1"/>
  <c r="D134" i="50"/>
  <c r="D133" i="50" s="1"/>
  <c r="G121" i="50"/>
  <c r="G159" i="50" s="1"/>
  <c r="G161" i="50" s="1"/>
  <c r="F121" i="50"/>
  <c r="F159" i="50" s="1"/>
  <c r="F161" i="50" s="1"/>
  <c r="E121" i="50"/>
  <c r="E159" i="50" s="1"/>
  <c r="E161" i="50"/>
  <c r="D121" i="50"/>
  <c r="D159" i="50" s="1"/>
  <c r="G117" i="50"/>
  <c r="G111" i="50" s="1"/>
  <c r="G167" i="50" s="1"/>
  <c r="F117" i="50"/>
  <c r="E117" i="50"/>
  <c r="D117" i="50"/>
  <c r="G112" i="50"/>
  <c r="G131" i="50"/>
  <c r="F112" i="50"/>
  <c r="E112" i="50"/>
  <c r="E111" i="50" s="1"/>
  <c r="E167" i="50" s="1"/>
  <c r="D112" i="50"/>
  <c r="D111" i="50" s="1"/>
  <c r="F111" i="50"/>
  <c r="F167" i="50" s="1"/>
  <c r="G106" i="50"/>
  <c r="F106" i="50"/>
  <c r="E106" i="50"/>
  <c r="D106" i="50"/>
  <c r="G95" i="50"/>
  <c r="G107" i="50" s="1"/>
  <c r="F95" i="50"/>
  <c r="F107" i="50"/>
  <c r="F108" i="50" s="1"/>
  <c r="E95" i="50"/>
  <c r="D95" i="50"/>
  <c r="D107" i="50" s="1"/>
  <c r="D152" i="50" s="1"/>
  <c r="G76" i="50"/>
  <c r="F76" i="50"/>
  <c r="E76" i="50"/>
  <c r="D76" i="50"/>
  <c r="G55" i="50"/>
  <c r="F55" i="50"/>
  <c r="F166" i="50" s="1"/>
  <c r="E55" i="50"/>
  <c r="E166" i="50" s="1"/>
  <c r="D55" i="50"/>
  <c r="D166" i="50" s="1"/>
  <c r="G36" i="50"/>
  <c r="G79" i="50"/>
  <c r="F36" i="50"/>
  <c r="F79" i="50" s="1"/>
  <c r="E36" i="50"/>
  <c r="E79" i="50"/>
  <c r="D36" i="50"/>
  <c r="D79" i="50"/>
  <c r="G21" i="50"/>
  <c r="G37" i="50"/>
  <c r="F21" i="50"/>
  <c r="F78" i="50" s="1"/>
  <c r="F178" i="50" s="1"/>
  <c r="E21" i="50"/>
  <c r="E78" i="50"/>
  <c r="E178" i="50" s="1"/>
  <c r="D21" i="50"/>
  <c r="D78" i="50"/>
  <c r="D178" i="50" s="1"/>
  <c r="D161" i="49"/>
  <c r="D160" i="49"/>
  <c r="D157" i="49"/>
  <c r="G156" i="49"/>
  <c r="G157" i="49"/>
  <c r="F156" i="49"/>
  <c r="F157" i="49" s="1"/>
  <c r="E156" i="49"/>
  <c r="D156" i="49"/>
  <c r="D151" i="49"/>
  <c r="G140" i="49"/>
  <c r="G133" i="49" s="1"/>
  <c r="F140" i="49"/>
  <c r="E140" i="49"/>
  <c r="D140" i="49"/>
  <c r="G134" i="49"/>
  <c r="F134" i="49"/>
  <c r="F133" i="49" s="1"/>
  <c r="E134" i="49"/>
  <c r="D134" i="49"/>
  <c r="D133" i="49" s="1"/>
  <c r="D147" i="49" s="1"/>
  <c r="E133" i="49"/>
  <c r="E147" i="49"/>
  <c r="G121" i="49"/>
  <c r="G159" i="49" s="1"/>
  <c r="G161" i="49" s="1"/>
  <c r="F121" i="49"/>
  <c r="F159" i="49"/>
  <c r="F161" i="49"/>
  <c r="E121" i="49"/>
  <c r="E159" i="49"/>
  <c r="E161" i="49" s="1"/>
  <c r="D121" i="49"/>
  <c r="D159" i="49" s="1"/>
  <c r="G117" i="49"/>
  <c r="F117" i="49"/>
  <c r="E117" i="49"/>
  <c r="D117" i="49"/>
  <c r="G112" i="49"/>
  <c r="F112" i="49"/>
  <c r="F111" i="49"/>
  <c r="F167" i="49" s="1"/>
  <c r="E112" i="49"/>
  <c r="E111" i="49" s="1"/>
  <c r="D112" i="49"/>
  <c r="D111" i="49"/>
  <c r="D167" i="49" s="1"/>
  <c r="G106" i="49"/>
  <c r="F106" i="49"/>
  <c r="E106" i="49"/>
  <c r="D106" i="49"/>
  <c r="D107" i="49" s="1"/>
  <c r="G95" i="49"/>
  <c r="G107" i="49"/>
  <c r="F95" i="49"/>
  <c r="F107" i="49" s="1"/>
  <c r="E95" i="49"/>
  <c r="D95" i="49"/>
  <c r="G76" i="49"/>
  <c r="F76" i="49"/>
  <c r="E76" i="49"/>
  <c r="D76" i="49"/>
  <c r="G55" i="49"/>
  <c r="G166" i="49" s="1"/>
  <c r="F55" i="49"/>
  <c r="F166" i="49" s="1"/>
  <c r="E55" i="49"/>
  <c r="E166" i="49" s="1"/>
  <c r="D55" i="49"/>
  <c r="D166" i="49" s="1"/>
  <c r="G36" i="49"/>
  <c r="G37" i="49" s="1"/>
  <c r="G79" i="49"/>
  <c r="F36" i="49"/>
  <c r="F37" i="49" s="1"/>
  <c r="E36" i="49"/>
  <c r="E79" i="49"/>
  <c r="D36" i="49"/>
  <c r="G21" i="49"/>
  <c r="F21" i="49"/>
  <c r="F78" i="49"/>
  <c r="F178" i="49" s="1"/>
  <c r="E21" i="49"/>
  <c r="E78" i="49" s="1"/>
  <c r="E178" i="49" s="1"/>
  <c r="D21" i="49"/>
  <c r="D78" i="49" s="1"/>
  <c r="D178" i="49" s="1"/>
  <c r="D161" i="48"/>
  <c r="D160" i="48"/>
  <c r="G156" i="48"/>
  <c r="G157" i="48"/>
  <c r="F156" i="48"/>
  <c r="F157" i="48" s="1"/>
  <c r="E156" i="48"/>
  <c r="D156" i="48"/>
  <c r="G140" i="48"/>
  <c r="G133" i="48" s="1"/>
  <c r="F140" i="48"/>
  <c r="E140" i="48"/>
  <c r="D140" i="48"/>
  <c r="G134" i="48"/>
  <c r="F134" i="48"/>
  <c r="E134" i="48"/>
  <c r="E133" i="48" s="1"/>
  <c r="D134" i="48"/>
  <c r="D133" i="48"/>
  <c r="G121" i="48"/>
  <c r="G159" i="48" s="1"/>
  <c r="G161" i="48" s="1"/>
  <c r="F121" i="48"/>
  <c r="F159" i="48" s="1"/>
  <c r="F161" i="48" s="1"/>
  <c r="E121" i="48"/>
  <c r="E159" i="48"/>
  <c r="E161" i="48" s="1"/>
  <c r="D121" i="48"/>
  <c r="D159" i="48" s="1"/>
  <c r="G117" i="48"/>
  <c r="F117" i="48"/>
  <c r="E117" i="48"/>
  <c r="D117" i="48"/>
  <c r="G112" i="48"/>
  <c r="G111" i="48" s="1"/>
  <c r="F112" i="48"/>
  <c r="F111" i="48" s="1"/>
  <c r="F167" i="48" s="1"/>
  <c r="E112" i="48"/>
  <c r="E111" i="48"/>
  <c r="E167" i="48" s="1"/>
  <c r="D112" i="48"/>
  <c r="D111" i="48" s="1"/>
  <c r="D167" i="48" s="1"/>
  <c r="G106" i="48"/>
  <c r="F106" i="48"/>
  <c r="E106" i="48"/>
  <c r="D106" i="48"/>
  <c r="G95" i="48"/>
  <c r="G107" i="48" s="1"/>
  <c r="F95" i="48"/>
  <c r="F107" i="48" s="1"/>
  <c r="E95" i="48"/>
  <c r="D95" i="48"/>
  <c r="D107" i="48" s="1"/>
  <c r="D108" i="48" s="1"/>
  <c r="G76" i="48"/>
  <c r="F76" i="48"/>
  <c r="E76" i="48"/>
  <c r="D76" i="48"/>
  <c r="G55" i="48"/>
  <c r="G166" i="48" s="1"/>
  <c r="F55" i="48"/>
  <c r="F166" i="48" s="1"/>
  <c r="E55" i="48"/>
  <c r="E166" i="48" s="1"/>
  <c r="D55" i="48"/>
  <c r="D166" i="48" s="1"/>
  <c r="G36" i="48"/>
  <c r="G37" i="48" s="1"/>
  <c r="F36" i="48"/>
  <c r="E36" i="48"/>
  <c r="E79" i="48" s="1"/>
  <c r="D36" i="48"/>
  <c r="D79" i="48" s="1"/>
  <c r="G21" i="48"/>
  <c r="F21" i="48"/>
  <c r="F78" i="48" s="1"/>
  <c r="F178" i="48" s="1"/>
  <c r="E21" i="48"/>
  <c r="E78" i="48"/>
  <c r="E178" i="48" s="1"/>
  <c r="D21" i="48"/>
  <c r="D78" i="48" s="1"/>
  <c r="D178" i="48" s="1"/>
  <c r="D21" i="47"/>
  <c r="D78" i="47"/>
  <c r="D178" i="47" s="1"/>
  <c r="E21" i="47"/>
  <c r="E78" i="47"/>
  <c r="E178" i="47" s="1"/>
  <c r="F21" i="47"/>
  <c r="F78" i="47"/>
  <c r="F178" i="47" s="1"/>
  <c r="G21" i="47"/>
  <c r="D22" i="47"/>
  <c r="D36" i="47" s="1"/>
  <c r="D79" i="47" s="1"/>
  <c r="D23" i="47"/>
  <c r="E36" i="47"/>
  <c r="F36" i="47"/>
  <c r="F79" i="47" s="1"/>
  <c r="G36" i="47"/>
  <c r="G79" i="47" s="1"/>
  <c r="D55" i="47"/>
  <c r="D166" i="47" s="1"/>
  <c r="E55" i="47"/>
  <c r="E166" i="47" s="1"/>
  <c r="F55" i="47"/>
  <c r="G55" i="47"/>
  <c r="G166" i="47" s="1"/>
  <c r="D76" i="47"/>
  <c r="E76" i="47"/>
  <c r="F76" i="47"/>
  <c r="G76" i="47"/>
  <c r="G78" i="47"/>
  <c r="G178" i="47" s="1"/>
  <c r="D95" i="47"/>
  <c r="E95" i="47"/>
  <c r="E107" i="47" s="1"/>
  <c r="E108" i="47" s="1"/>
  <c r="F95" i="47"/>
  <c r="F107" i="47" s="1"/>
  <c r="G95" i="47"/>
  <c r="G107" i="47" s="1"/>
  <c r="D106" i="47"/>
  <c r="D107" i="47"/>
  <c r="D108" i="47" s="1"/>
  <c r="E106" i="47"/>
  <c r="F106" i="47"/>
  <c r="G106" i="47"/>
  <c r="D112" i="47"/>
  <c r="E112" i="47"/>
  <c r="G112" i="47"/>
  <c r="G111" i="47" s="1"/>
  <c r="G167" i="47" s="1"/>
  <c r="F113" i="47"/>
  <c r="F112" i="47" s="1"/>
  <c r="D117" i="47"/>
  <c r="E117" i="47"/>
  <c r="E111" i="47"/>
  <c r="E167" i="47" s="1"/>
  <c r="F117" i="47"/>
  <c r="G117" i="47"/>
  <c r="D121" i="47"/>
  <c r="D159" i="47" s="1"/>
  <c r="E121" i="47"/>
  <c r="E159" i="47"/>
  <c r="E161" i="47" s="1"/>
  <c r="F121" i="47"/>
  <c r="F159" i="47" s="1"/>
  <c r="G121" i="47"/>
  <c r="G159" i="47"/>
  <c r="G161" i="47" s="1"/>
  <c r="E133" i="47"/>
  <c r="E147" i="47" s="1"/>
  <c r="D134" i="47"/>
  <c r="E134" i="47"/>
  <c r="F134" i="47"/>
  <c r="G134" i="47"/>
  <c r="D140" i="47"/>
  <c r="E140" i="47"/>
  <c r="F140" i="47"/>
  <c r="G140" i="47"/>
  <c r="G133" i="47" s="1"/>
  <c r="D156" i="47"/>
  <c r="E156" i="47"/>
  <c r="F156" i="47"/>
  <c r="G156" i="47"/>
  <c r="D161" i="47"/>
  <c r="F161" i="47"/>
  <c r="F157" i="47"/>
  <c r="G157" i="46"/>
  <c r="D161" i="46"/>
  <c r="D160" i="46"/>
  <c r="D157" i="46"/>
  <c r="G156" i="46"/>
  <c r="F156" i="46"/>
  <c r="E156" i="46"/>
  <c r="E157" i="46"/>
  <c r="D156" i="46"/>
  <c r="D151" i="46"/>
  <c r="G140" i="46"/>
  <c r="F140" i="46"/>
  <c r="E140" i="46"/>
  <c r="D140" i="46"/>
  <c r="D133" i="46" s="1"/>
  <c r="D147" i="46" s="1"/>
  <c r="G134" i="46"/>
  <c r="G133" i="46"/>
  <c r="G158" i="46" s="1"/>
  <c r="G162" i="46" s="1"/>
  <c r="G147" i="46"/>
  <c r="F134" i="46"/>
  <c r="F133" i="46" s="1"/>
  <c r="E134" i="46"/>
  <c r="E133" i="46"/>
  <c r="E147" i="46" s="1"/>
  <c r="D134" i="46"/>
  <c r="G121" i="46"/>
  <c r="G159" i="46" s="1"/>
  <c r="G161" i="46" s="1"/>
  <c r="F121" i="46"/>
  <c r="F159" i="46" s="1"/>
  <c r="F161" i="46" s="1"/>
  <c r="E121" i="46"/>
  <c r="E159" i="46" s="1"/>
  <c r="E161" i="46" s="1"/>
  <c r="D121" i="46"/>
  <c r="D159" i="46"/>
  <c r="G117" i="46"/>
  <c r="F117" i="46"/>
  <c r="E117" i="46"/>
  <c r="D117" i="46"/>
  <c r="G112" i="46"/>
  <c r="F112" i="46"/>
  <c r="E112" i="46"/>
  <c r="D112" i="46"/>
  <c r="D111" i="46"/>
  <c r="D167" i="46" s="1"/>
  <c r="G106" i="46"/>
  <c r="F106" i="46"/>
  <c r="F107" i="46" s="1"/>
  <c r="E106" i="46"/>
  <c r="E107" i="46" s="1"/>
  <c r="D106" i="46"/>
  <c r="G95" i="46"/>
  <c r="G107" i="46"/>
  <c r="F95" i="46"/>
  <c r="E95" i="46"/>
  <c r="D95" i="46"/>
  <c r="F79" i="46"/>
  <c r="D79" i="46"/>
  <c r="G76" i="46"/>
  <c r="F76" i="46"/>
  <c r="E76" i="46"/>
  <c r="D76" i="46"/>
  <c r="G55" i="46"/>
  <c r="G166" i="46" s="1"/>
  <c r="F55" i="46"/>
  <c r="F166" i="46" s="1"/>
  <c r="E55" i="46"/>
  <c r="E166" i="46" s="1"/>
  <c r="D55" i="46"/>
  <c r="D166" i="46" s="1"/>
  <c r="G36" i="46"/>
  <c r="F36" i="46"/>
  <c r="E36" i="46"/>
  <c r="D36" i="46"/>
  <c r="D37" i="46"/>
  <c r="D56" i="46" s="1"/>
  <c r="D77" i="46" s="1"/>
  <c r="D150" i="46" s="1"/>
  <c r="G21" i="46"/>
  <c r="G78" i="46" s="1"/>
  <c r="G178" i="46" s="1"/>
  <c r="F21" i="46"/>
  <c r="F78" i="46" s="1"/>
  <c r="F178" i="46" s="1"/>
  <c r="E21" i="46"/>
  <c r="E78" i="46" s="1"/>
  <c r="E178" i="46" s="1"/>
  <c r="D21" i="46"/>
  <c r="D78" i="46" s="1"/>
  <c r="D178" i="46" s="1"/>
  <c r="H178" i="45"/>
  <c r="D161" i="45"/>
  <c r="D160" i="45"/>
  <c r="G156" i="45"/>
  <c r="G157" i="45"/>
  <c r="F156" i="45"/>
  <c r="F157" i="45"/>
  <c r="E156" i="45"/>
  <c r="E157" i="45"/>
  <c r="D156" i="45"/>
  <c r="G140" i="45"/>
  <c r="F140" i="45"/>
  <c r="F133" i="45" s="1"/>
  <c r="F147" i="45" s="1"/>
  <c r="E140" i="45"/>
  <c r="D140" i="45"/>
  <c r="G134" i="45"/>
  <c r="G133" i="45" s="1"/>
  <c r="F134" i="45"/>
  <c r="E134" i="45"/>
  <c r="D134" i="45"/>
  <c r="E133" i="45"/>
  <c r="E147" i="45" s="1"/>
  <c r="G121" i="45"/>
  <c r="G159" i="45" s="1"/>
  <c r="G161" i="45" s="1"/>
  <c r="F121" i="45"/>
  <c r="F159" i="45"/>
  <c r="F161" i="45" s="1"/>
  <c r="E121" i="45"/>
  <c r="E159" i="45"/>
  <c r="E161" i="45"/>
  <c r="D121" i="45"/>
  <c r="D159" i="45"/>
  <c r="G117" i="45"/>
  <c r="F117" i="45"/>
  <c r="E117" i="45"/>
  <c r="D117" i="45"/>
  <c r="G112" i="45"/>
  <c r="F112" i="45"/>
  <c r="E112" i="45"/>
  <c r="E111" i="45"/>
  <c r="E167" i="45" s="1"/>
  <c r="D112" i="45"/>
  <c r="G111" i="45"/>
  <c r="G167" i="45" s="1"/>
  <c r="F111" i="45"/>
  <c r="F167" i="45" s="1"/>
  <c r="G106" i="45"/>
  <c r="G107" i="45" s="1"/>
  <c r="F106" i="45"/>
  <c r="E106" i="45"/>
  <c r="E107" i="45" s="1"/>
  <c r="D106" i="45"/>
  <c r="G95" i="45"/>
  <c r="F95" i="45"/>
  <c r="E95" i="45"/>
  <c r="D95" i="45"/>
  <c r="D107" i="45" s="1"/>
  <c r="D78" i="45"/>
  <c r="D178" i="45" s="1"/>
  <c r="G76" i="45"/>
  <c r="F76" i="45"/>
  <c r="E76" i="45"/>
  <c r="D76" i="45"/>
  <c r="G55" i="45"/>
  <c r="G166" i="45" s="1"/>
  <c r="F55" i="45"/>
  <c r="F166" i="45" s="1"/>
  <c r="E55" i="45"/>
  <c r="E166" i="45" s="1"/>
  <c r="D55" i="45"/>
  <c r="D166" i="45" s="1"/>
  <c r="G36" i="45"/>
  <c r="F36" i="45"/>
  <c r="F79" i="45" s="1"/>
  <c r="E36" i="45"/>
  <c r="E79" i="45"/>
  <c r="D36" i="45"/>
  <c r="G21" i="45"/>
  <c r="G78" i="45" s="1"/>
  <c r="G178" i="45" s="1"/>
  <c r="F21" i="45"/>
  <c r="F78" i="45" s="1"/>
  <c r="F178" i="45" s="1"/>
  <c r="E21" i="45"/>
  <c r="E78" i="45" s="1"/>
  <c r="E178" i="45" s="1"/>
  <c r="D21" i="45"/>
  <c r="D161" i="44"/>
  <c r="D160" i="44"/>
  <c r="D157" i="44"/>
  <c r="G156" i="44"/>
  <c r="G157" i="44" s="1"/>
  <c r="F156" i="44"/>
  <c r="F157" i="44" s="1"/>
  <c r="E156" i="44"/>
  <c r="D156" i="44"/>
  <c r="D151" i="44"/>
  <c r="G140" i="44"/>
  <c r="F140" i="44"/>
  <c r="E140" i="44"/>
  <c r="E133" i="44" s="1"/>
  <c r="E147" i="44" s="1"/>
  <c r="D140" i="44"/>
  <c r="G134" i="44"/>
  <c r="F134" i="44"/>
  <c r="E134" i="44"/>
  <c r="D134" i="44"/>
  <c r="F133" i="44"/>
  <c r="F147" i="44"/>
  <c r="G121" i="44"/>
  <c r="G159" i="44" s="1"/>
  <c r="G161" i="44" s="1"/>
  <c r="F121" i="44"/>
  <c r="F159" i="44"/>
  <c r="F161" i="44"/>
  <c r="E121" i="44"/>
  <c r="E159" i="44" s="1"/>
  <c r="E161" i="44"/>
  <c r="D121" i="44"/>
  <c r="D159" i="44"/>
  <c r="G117" i="44"/>
  <c r="F117" i="44"/>
  <c r="F111" i="44" s="1"/>
  <c r="E117" i="44"/>
  <c r="D117" i="44"/>
  <c r="G112" i="44"/>
  <c r="G111" i="44"/>
  <c r="G167" i="44" s="1"/>
  <c r="F112" i="44"/>
  <c r="E112" i="44"/>
  <c r="D112" i="44"/>
  <c r="D111" i="44" s="1"/>
  <c r="D167" i="44" s="1"/>
  <c r="E107" i="44"/>
  <c r="G106" i="44"/>
  <c r="F106" i="44"/>
  <c r="E106" i="44"/>
  <c r="D106" i="44"/>
  <c r="G95" i="44"/>
  <c r="G107" i="44"/>
  <c r="F95" i="44"/>
  <c r="F107" i="44" s="1"/>
  <c r="E95" i="44"/>
  <c r="D95" i="44"/>
  <c r="D107" i="44"/>
  <c r="D152" i="44" s="1"/>
  <c r="E78" i="44"/>
  <c r="E178" i="44" s="1"/>
  <c r="G76" i="44"/>
  <c r="F76" i="44"/>
  <c r="E76" i="44"/>
  <c r="D76" i="44"/>
  <c r="G55" i="44"/>
  <c r="G166" i="44" s="1"/>
  <c r="F55" i="44"/>
  <c r="E55" i="44"/>
  <c r="E166" i="44" s="1"/>
  <c r="D55" i="44"/>
  <c r="G36" i="44"/>
  <c r="F36" i="44"/>
  <c r="F79" i="44"/>
  <c r="E36" i="44"/>
  <c r="D36" i="44"/>
  <c r="D79" i="44"/>
  <c r="G21" i="44"/>
  <c r="G78" i="44"/>
  <c r="G178" i="44" s="1"/>
  <c r="F21" i="44"/>
  <c r="F78" i="44"/>
  <c r="F178" i="44" s="1"/>
  <c r="E21" i="44"/>
  <c r="D21" i="44"/>
  <c r="D78" i="44"/>
  <c r="D178" i="44" s="1"/>
  <c r="D157" i="43"/>
  <c r="D161" i="43"/>
  <c r="D160" i="43"/>
  <c r="F157" i="43"/>
  <c r="G156" i="43"/>
  <c r="G157" i="43"/>
  <c r="F156" i="43"/>
  <c r="E156" i="43"/>
  <c r="E157" i="43"/>
  <c r="D156" i="43"/>
  <c r="G140" i="43"/>
  <c r="F140" i="43"/>
  <c r="F133" i="43" s="1"/>
  <c r="E140" i="43"/>
  <c r="E133" i="43" s="1"/>
  <c r="E147" i="43" s="1"/>
  <c r="D140" i="43"/>
  <c r="G134" i="43"/>
  <c r="F134" i="43"/>
  <c r="E134" i="43"/>
  <c r="D134" i="43"/>
  <c r="D133" i="43" s="1"/>
  <c r="G121" i="43"/>
  <c r="G159" i="43" s="1"/>
  <c r="G161" i="43"/>
  <c r="F121" i="43"/>
  <c r="F159" i="43"/>
  <c r="F161" i="43"/>
  <c r="E121" i="43"/>
  <c r="E159" i="43" s="1"/>
  <c r="E161" i="43"/>
  <c r="D121" i="43"/>
  <c r="D159" i="43" s="1"/>
  <c r="G117" i="43"/>
  <c r="F117" i="43"/>
  <c r="E117" i="43"/>
  <c r="D117" i="43"/>
  <c r="G112" i="43"/>
  <c r="F112" i="43"/>
  <c r="E112" i="43"/>
  <c r="D112" i="43"/>
  <c r="D111" i="43"/>
  <c r="D167" i="43" s="1"/>
  <c r="G111" i="43"/>
  <c r="F111" i="43"/>
  <c r="F167" i="43" s="1"/>
  <c r="G106" i="43"/>
  <c r="F106" i="43"/>
  <c r="E106" i="43"/>
  <c r="D106" i="43"/>
  <c r="D107" i="43" s="1"/>
  <c r="D152" i="43" s="1"/>
  <c r="G95" i="43"/>
  <c r="G107" i="43"/>
  <c r="F95" i="43"/>
  <c r="F107" i="43"/>
  <c r="E95" i="43"/>
  <c r="E107" i="43"/>
  <c r="D95" i="43"/>
  <c r="G76" i="43"/>
  <c r="F76" i="43"/>
  <c r="E76" i="43"/>
  <c r="D76" i="43"/>
  <c r="G55" i="43"/>
  <c r="G166" i="43" s="1"/>
  <c r="F55" i="43"/>
  <c r="F166" i="43" s="1"/>
  <c r="E55" i="43"/>
  <c r="D55" i="43"/>
  <c r="D166" i="43" s="1"/>
  <c r="G36" i="43"/>
  <c r="F36" i="43"/>
  <c r="E36" i="43"/>
  <c r="E79" i="43"/>
  <c r="D36" i="43"/>
  <c r="D79" i="43"/>
  <c r="G21" i="43"/>
  <c r="G78" i="43"/>
  <c r="G178" i="43" s="1"/>
  <c r="F21" i="43"/>
  <c r="F78" i="43"/>
  <c r="F178" i="43" s="1"/>
  <c r="E21" i="43"/>
  <c r="E37" i="43" s="1"/>
  <c r="E78" i="43"/>
  <c r="E178" i="43" s="1"/>
  <c r="D21" i="43"/>
  <c r="D37" i="43"/>
  <c r="G156" i="42"/>
  <c r="F156" i="42"/>
  <c r="E156" i="42"/>
  <c r="D156" i="42"/>
  <c r="G147" i="42"/>
  <c r="E147" i="42"/>
  <c r="G140" i="42"/>
  <c r="F140" i="42"/>
  <c r="E140" i="42"/>
  <c r="D140" i="42"/>
  <c r="D133" i="42" s="1"/>
  <c r="D147" i="42" s="1"/>
  <c r="G134" i="42"/>
  <c r="F134" i="42"/>
  <c r="E134" i="42"/>
  <c r="D134" i="42"/>
  <c r="F123" i="42"/>
  <c r="F121" i="42" s="1"/>
  <c r="D123" i="42"/>
  <c r="F122" i="42"/>
  <c r="D122" i="42"/>
  <c r="D121" i="42" s="1"/>
  <c r="D159" i="42" s="1"/>
  <c r="D161" i="42" s="1"/>
  <c r="G121" i="42"/>
  <c r="G159" i="42"/>
  <c r="G161" i="42" s="1"/>
  <c r="E121" i="42"/>
  <c r="E159" i="42"/>
  <c r="E161" i="42"/>
  <c r="G117" i="42"/>
  <c r="F117" i="42"/>
  <c r="E117" i="42"/>
  <c r="D117" i="42"/>
  <c r="F113" i="42"/>
  <c r="F112" i="42"/>
  <c r="D113" i="42"/>
  <c r="D112" i="42"/>
  <c r="D111" i="42"/>
  <c r="D167" i="42" s="1"/>
  <c r="G112" i="42"/>
  <c r="E112" i="42"/>
  <c r="E111" i="42"/>
  <c r="G106" i="42"/>
  <c r="F106" i="42"/>
  <c r="E106" i="42"/>
  <c r="D106" i="42"/>
  <c r="G95" i="42"/>
  <c r="G107" i="42" s="1"/>
  <c r="F95" i="42"/>
  <c r="F107" i="42"/>
  <c r="E95" i="42"/>
  <c r="E107" i="42" s="1"/>
  <c r="D95" i="42"/>
  <c r="D107" i="42"/>
  <c r="G76" i="42"/>
  <c r="F76" i="42"/>
  <c r="E76" i="42"/>
  <c r="D76" i="42"/>
  <c r="G55" i="42"/>
  <c r="G166" i="42" s="1"/>
  <c r="F55" i="42"/>
  <c r="F166" i="42" s="1"/>
  <c r="E55" i="42"/>
  <c r="E166" i="42" s="1"/>
  <c r="D55" i="42"/>
  <c r="D166" i="42" s="1"/>
  <c r="G23" i="42"/>
  <c r="F23" i="42"/>
  <c r="E23" i="42"/>
  <c r="D23" i="42"/>
  <c r="D36" i="42" s="1"/>
  <c r="G22" i="42"/>
  <c r="F22" i="42"/>
  <c r="E22" i="42"/>
  <c r="D22" i="42"/>
  <c r="G21" i="42"/>
  <c r="G78" i="42"/>
  <c r="G178" i="42" s="1"/>
  <c r="F21" i="42"/>
  <c r="F78" i="42" s="1"/>
  <c r="F178" i="42" s="1"/>
  <c r="E21" i="42"/>
  <c r="E78" i="42" s="1"/>
  <c r="E178" i="42" s="1"/>
  <c r="D21" i="42"/>
  <c r="D78" i="42" s="1"/>
  <c r="D178" i="42" s="1"/>
  <c r="F16" i="42"/>
  <c r="E16" i="42"/>
  <c r="D16" i="42"/>
  <c r="D183" i="42" s="1"/>
  <c r="D184" i="42" s="1"/>
  <c r="D172" i="42" s="1"/>
  <c r="G133" i="43"/>
  <c r="D78" i="43"/>
  <c r="D178" i="43" s="1"/>
  <c r="D151" i="43"/>
  <c r="G37" i="43"/>
  <c r="G56" i="43" s="1"/>
  <c r="G77" i="43" s="1"/>
  <c r="G150" i="43" s="1"/>
  <c r="G79" i="43"/>
  <c r="E131" i="50"/>
  <c r="E158" i="50"/>
  <c r="E147" i="50"/>
  <c r="D157" i="50"/>
  <c r="G108" i="50"/>
  <c r="D37" i="50"/>
  <c r="D56" i="50" s="1"/>
  <c r="D77" i="50"/>
  <c r="D150" i="50" s="1"/>
  <c r="D154" i="50" s="1"/>
  <c r="E37" i="45"/>
  <c r="D151" i="45"/>
  <c r="D157" i="45"/>
  <c r="D151" i="51"/>
  <c r="F157" i="51"/>
  <c r="F107" i="56"/>
  <c r="F152" i="56" s="1"/>
  <c r="E111" i="56"/>
  <c r="E167" i="56" s="1"/>
  <c r="E151" i="56"/>
  <c r="G131" i="56"/>
  <c r="F151" i="56"/>
  <c r="F131" i="55"/>
  <c r="F56" i="55"/>
  <c r="F77" i="55" s="1"/>
  <c r="F150" i="55" s="1"/>
  <c r="D157" i="55"/>
  <c r="D37" i="55"/>
  <c r="E37" i="55"/>
  <c r="E56" i="55"/>
  <c r="E77" i="55"/>
  <c r="E150" i="55" s="1"/>
  <c r="E151" i="55" s="1"/>
  <c r="E157" i="55"/>
  <c r="D56" i="54"/>
  <c r="D77" i="54" s="1"/>
  <c r="D150" i="54" s="1"/>
  <c r="F107" i="54"/>
  <c r="F152" i="54" s="1"/>
  <c r="G111" i="46"/>
  <c r="G167" i="46" s="1"/>
  <c r="F157" i="46"/>
  <c r="F108" i="46"/>
  <c r="E111" i="46"/>
  <c r="E167" i="46" s="1"/>
  <c r="E111" i="53"/>
  <c r="E167" i="53" s="1"/>
  <c r="E131" i="53"/>
  <c r="F107" i="53"/>
  <c r="D157" i="53"/>
  <c r="D133" i="52"/>
  <c r="D158" i="52" s="1"/>
  <c r="D160" i="52" s="1"/>
  <c r="G107" i="52"/>
  <c r="F78" i="52"/>
  <c r="F178" i="52" s="1"/>
  <c r="D133" i="47"/>
  <c r="D147" i="47" s="1"/>
  <c r="F111" i="47"/>
  <c r="F167" i="47" s="1"/>
  <c r="E56" i="47"/>
  <c r="E77" i="47" s="1"/>
  <c r="E150" i="47" s="1"/>
  <c r="F133" i="47"/>
  <c r="E37" i="47"/>
  <c r="E157" i="47"/>
  <c r="G108" i="48"/>
  <c r="E131" i="48"/>
  <c r="D37" i="48"/>
  <c r="D151" i="48"/>
  <c r="D56" i="48"/>
  <c r="D77" i="48" s="1"/>
  <c r="D150" i="48" s="1"/>
  <c r="D154" i="48" s="1"/>
  <c r="G56" i="48"/>
  <c r="G77" i="48" s="1"/>
  <c r="G150" i="48" s="1"/>
  <c r="D157" i="48"/>
  <c r="G108" i="49"/>
  <c r="E157" i="49"/>
  <c r="D158" i="49"/>
  <c r="F56" i="49"/>
  <c r="F77" i="49" s="1"/>
  <c r="F150" i="49" s="1"/>
  <c r="D37" i="44"/>
  <c r="F108" i="44"/>
  <c r="F37" i="44"/>
  <c r="E111" i="44"/>
  <c r="E167" i="44" s="1"/>
  <c r="E157" i="44"/>
  <c r="F111" i="42"/>
  <c r="F167" i="42" s="1"/>
  <c r="F133" i="42"/>
  <c r="F158" i="42"/>
  <c r="F131" i="56"/>
  <c r="F158" i="56"/>
  <c r="G56" i="56"/>
  <c r="G77" i="56" s="1"/>
  <c r="G150" i="56" s="1"/>
  <c r="G79" i="56"/>
  <c r="F37" i="56"/>
  <c r="F56" i="56" s="1"/>
  <c r="F77" i="56" s="1"/>
  <c r="F150" i="56" s="1"/>
  <c r="D131" i="56"/>
  <c r="E79" i="56"/>
  <c r="E37" i="56"/>
  <c r="E56" i="56"/>
  <c r="E77" i="56" s="1"/>
  <c r="E150" i="56" s="1"/>
  <c r="G108" i="56"/>
  <c r="E158" i="56"/>
  <c r="G147" i="55"/>
  <c r="E147" i="55"/>
  <c r="D56" i="55"/>
  <c r="D77" i="55"/>
  <c r="D150" i="55" s="1"/>
  <c r="G56" i="55"/>
  <c r="G77" i="55" s="1"/>
  <c r="G150" i="55" s="1"/>
  <c r="G111" i="55"/>
  <c r="G167" i="55" s="1"/>
  <c r="F147" i="55"/>
  <c r="E108" i="55"/>
  <c r="D111" i="55"/>
  <c r="D167" i="55" s="1"/>
  <c r="E131" i="55"/>
  <c r="F131" i="54"/>
  <c r="G37" i="54"/>
  <c r="G56" i="54" s="1"/>
  <c r="G77" i="54" s="1"/>
  <c r="G150" i="54" s="1"/>
  <c r="G79" i="54"/>
  <c r="F37" i="54"/>
  <c r="F56" i="54" s="1"/>
  <c r="F77" i="54" s="1"/>
  <c r="F150" i="54" s="1"/>
  <c r="D108" i="54"/>
  <c r="D153" i="54" s="1"/>
  <c r="D131" i="54"/>
  <c r="E79" i="54"/>
  <c r="E37" i="54"/>
  <c r="E56" i="54" s="1"/>
  <c r="E77" i="54" s="1"/>
  <c r="E150" i="54" s="1"/>
  <c r="G108" i="54"/>
  <c r="E158" i="54"/>
  <c r="G131" i="53"/>
  <c r="F131" i="53"/>
  <c r="F158" i="53"/>
  <c r="F162" i="53" s="1"/>
  <c r="G37" i="53"/>
  <c r="G56" i="53"/>
  <c r="G77" i="53"/>
  <c r="G150" i="53" s="1"/>
  <c r="G152" i="53"/>
  <c r="G79" i="53"/>
  <c r="F37" i="53"/>
  <c r="F56" i="53"/>
  <c r="F77" i="53" s="1"/>
  <c r="F150" i="53" s="1"/>
  <c r="E108" i="53"/>
  <c r="D131" i="53"/>
  <c r="E37" i="53"/>
  <c r="E56" i="53"/>
  <c r="E77" i="53"/>
  <c r="E150" i="53" s="1"/>
  <c r="G108" i="53"/>
  <c r="E158" i="53"/>
  <c r="E162" i="53" s="1"/>
  <c r="D158" i="53"/>
  <c r="D162" i="53" s="1"/>
  <c r="E131" i="52"/>
  <c r="D147" i="52"/>
  <c r="D108" i="52"/>
  <c r="G158" i="52"/>
  <c r="G162" i="52" s="1"/>
  <c r="G147" i="52"/>
  <c r="E157" i="52"/>
  <c r="D37" i="52"/>
  <c r="D56" i="52" s="1"/>
  <c r="D77" i="52" s="1"/>
  <c r="D150" i="52" s="1"/>
  <c r="E79" i="52"/>
  <c r="F108" i="52"/>
  <c r="F131" i="52"/>
  <c r="D121" i="52"/>
  <c r="D159" i="52"/>
  <c r="D161" i="52" s="1"/>
  <c r="E158" i="52"/>
  <c r="E162" i="52" s="1"/>
  <c r="G37" i="52"/>
  <c r="G56" i="52"/>
  <c r="G77" i="52" s="1"/>
  <c r="G150" i="52" s="1"/>
  <c r="F56" i="52"/>
  <c r="F77" i="52" s="1"/>
  <c r="F150" i="52" s="1"/>
  <c r="D158" i="51"/>
  <c r="F37" i="51"/>
  <c r="F56" i="51" s="1"/>
  <c r="F77" i="51" s="1"/>
  <c r="F150" i="51" s="1"/>
  <c r="D108" i="51"/>
  <c r="D153" i="51" s="1"/>
  <c r="D131" i="51"/>
  <c r="E56" i="51"/>
  <c r="E77" i="51" s="1"/>
  <c r="E150" i="51" s="1"/>
  <c r="G78" i="51"/>
  <c r="G178" i="51" s="1"/>
  <c r="F79" i="51"/>
  <c r="E107" i="51"/>
  <c r="E152" i="51" s="1"/>
  <c r="F131" i="51"/>
  <c r="F133" i="51"/>
  <c r="G133" i="51"/>
  <c r="E157" i="51"/>
  <c r="D147" i="50"/>
  <c r="D158" i="50"/>
  <c r="F37" i="50"/>
  <c r="F56" i="50" s="1"/>
  <c r="F77" i="50" s="1"/>
  <c r="F150" i="50" s="1"/>
  <c r="D108" i="50"/>
  <c r="D153" i="50"/>
  <c r="E37" i="50"/>
  <c r="E56" i="50" s="1"/>
  <c r="E77" i="50" s="1"/>
  <c r="E150" i="50" s="1"/>
  <c r="G78" i="50"/>
  <c r="G178" i="50" s="1"/>
  <c r="E107" i="50"/>
  <c r="F131" i="50"/>
  <c r="F133" i="50"/>
  <c r="G133" i="50"/>
  <c r="E157" i="50"/>
  <c r="G147" i="49"/>
  <c r="G56" i="49"/>
  <c r="G77" i="49" s="1"/>
  <c r="G150" i="49" s="1"/>
  <c r="G111" i="49"/>
  <c r="G167" i="49" s="1"/>
  <c r="D152" i="49"/>
  <c r="D108" i="49"/>
  <c r="D153" i="49" s="1"/>
  <c r="D131" i="49"/>
  <c r="G78" i="49"/>
  <c r="G178" i="49" s="1"/>
  <c r="F79" i="49"/>
  <c r="E107" i="49"/>
  <c r="F131" i="49"/>
  <c r="D147" i="48"/>
  <c r="D158" i="48"/>
  <c r="F37" i="48"/>
  <c r="F56" i="48"/>
  <c r="F77" i="48"/>
  <c r="F150" i="48" s="1"/>
  <c r="F151" i="48" s="1"/>
  <c r="D152" i="48"/>
  <c r="D153" i="48"/>
  <c r="D131" i="48"/>
  <c r="E37" i="48"/>
  <c r="E56" i="48"/>
  <c r="E77" i="48" s="1"/>
  <c r="E150" i="48" s="1"/>
  <c r="G78" i="48"/>
  <c r="G178" i="48" s="1"/>
  <c r="F79" i="48"/>
  <c r="E107" i="48"/>
  <c r="F131" i="48"/>
  <c r="F133" i="48"/>
  <c r="E157" i="48"/>
  <c r="D111" i="47"/>
  <c r="D167" i="47" s="1"/>
  <c r="G56" i="47"/>
  <c r="G77" i="47"/>
  <c r="G150" i="47" s="1"/>
  <c r="G131" i="47"/>
  <c r="E158" i="47"/>
  <c r="E162" i="47" s="1"/>
  <c r="E131" i="47"/>
  <c r="D37" i="47"/>
  <c r="D56" i="47" s="1"/>
  <c r="D77" i="47" s="1"/>
  <c r="D150" i="47" s="1"/>
  <c r="G157" i="47"/>
  <c r="E79" i="47"/>
  <c r="G37" i="47"/>
  <c r="G131" i="46"/>
  <c r="G108" i="46"/>
  <c r="E131" i="46"/>
  <c r="E56" i="46"/>
  <c r="E77" i="46"/>
  <c r="E150" i="46" s="1"/>
  <c r="G37" i="46"/>
  <c r="G79" i="46"/>
  <c r="F37" i="46"/>
  <c r="F56" i="46"/>
  <c r="F77" i="46"/>
  <c r="F150" i="46"/>
  <c r="F154" i="46" s="1"/>
  <c r="D158" i="46"/>
  <c r="G56" i="46"/>
  <c r="G77" i="46" s="1"/>
  <c r="G150" i="46"/>
  <c r="E108" i="46"/>
  <c r="D131" i="46"/>
  <c r="E79" i="46"/>
  <c r="E37" i="46"/>
  <c r="E158" i="46"/>
  <c r="E162" i="46" s="1"/>
  <c r="E56" i="45"/>
  <c r="E77" i="45" s="1"/>
  <c r="E150" i="45"/>
  <c r="G108" i="45"/>
  <c r="E131" i="45"/>
  <c r="F131" i="45"/>
  <c r="G37" i="45"/>
  <c r="G56" i="45"/>
  <c r="G77" i="45" s="1"/>
  <c r="G150" i="45" s="1"/>
  <c r="F37" i="45"/>
  <c r="F56" i="45" s="1"/>
  <c r="F77" i="45" s="1"/>
  <c r="F150" i="45" s="1"/>
  <c r="G79" i="45"/>
  <c r="F107" i="45"/>
  <c r="G131" i="45"/>
  <c r="F158" i="45"/>
  <c r="F162" i="45" s="1"/>
  <c r="D111" i="45"/>
  <c r="D167" i="45" s="1"/>
  <c r="D133" i="45"/>
  <c r="E158" i="45"/>
  <c r="E162" i="45" s="1"/>
  <c r="E131" i="44"/>
  <c r="G108" i="44"/>
  <c r="G37" i="44"/>
  <c r="G56" i="44" s="1"/>
  <c r="G77" i="44" s="1"/>
  <c r="G150" i="44" s="1"/>
  <c r="G79" i="44"/>
  <c r="E108" i="44"/>
  <c r="E153" i="44" s="1"/>
  <c r="D108" i="44"/>
  <c r="D153" i="44" s="1"/>
  <c r="D131" i="44"/>
  <c r="E79" i="44"/>
  <c r="E37" i="44"/>
  <c r="E56" i="44"/>
  <c r="E77" i="44"/>
  <c r="E150" i="44"/>
  <c r="E152" i="44"/>
  <c r="G131" i="44"/>
  <c r="F108" i="43"/>
  <c r="D131" i="43"/>
  <c r="F37" i="43"/>
  <c r="F56" i="43"/>
  <c r="F77" i="43"/>
  <c r="F150" i="43" s="1"/>
  <c r="F79" i="43"/>
  <c r="G108" i="43"/>
  <c r="E108" i="43"/>
  <c r="D56" i="43"/>
  <c r="D77" i="43"/>
  <c r="D150" i="43"/>
  <c r="D147" i="43"/>
  <c r="D158" i="43"/>
  <c r="G158" i="43"/>
  <c r="G162" i="43" s="1"/>
  <c r="G147" i="43"/>
  <c r="D108" i="43"/>
  <c r="D153" i="43"/>
  <c r="F131" i="43"/>
  <c r="G108" i="42"/>
  <c r="D131" i="42"/>
  <c r="D158" i="42"/>
  <c r="D160" i="42"/>
  <c r="F36" i="42"/>
  <c r="E36" i="42"/>
  <c r="D108" i="42"/>
  <c r="G36" i="42"/>
  <c r="E158" i="42"/>
  <c r="E160" i="42"/>
  <c r="G111" i="42"/>
  <c r="G167" i="42" s="1"/>
  <c r="G158" i="56"/>
  <c r="G162" i="56" s="1"/>
  <c r="F108" i="56"/>
  <c r="F153" i="56" s="1"/>
  <c r="F154" i="55"/>
  <c r="F151" i="55"/>
  <c r="G131" i="54"/>
  <c r="F108" i="54"/>
  <c r="F153" i="54" s="1"/>
  <c r="G158" i="54"/>
  <c r="G162" i="54" s="1"/>
  <c r="F108" i="53"/>
  <c r="F158" i="52"/>
  <c r="F162" i="52" s="1"/>
  <c r="F147" i="52"/>
  <c r="F131" i="47"/>
  <c r="F160" i="42"/>
  <c r="F147" i="42"/>
  <c r="G160" i="56"/>
  <c r="D131" i="55"/>
  <c r="D158" i="55"/>
  <c r="D162" i="55" s="1"/>
  <c r="G131" i="55"/>
  <c r="E155" i="55"/>
  <c r="D154" i="55"/>
  <c r="D151" i="55"/>
  <c r="G158" i="55"/>
  <c r="G162" i="55" s="1"/>
  <c r="G154" i="53"/>
  <c r="G151" i="53"/>
  <c r="G155" i="53"/>
  <c r="D160" i="53"/>
  <c r="F160" i="53"/>
  <c r="E160" i="53"/>
  <c r="G160" i="52"/>
  <c r="D131" i="52"/>
  <c r="E160" i="52"/>
  <c r="F158" i="51"/>
  <c r="F147" i="51"/>
  <c r="G147" i="51"/>
  <c r="E108" i="51"/>
  <c r="E153" i="51"/>
  <c r="D155" i="50"/>
  <c r="E108" i="50"/>
  <c r="G158" i="50"/>
  <c r="G162" i="50" s="1"/>
  <c r="G147" i="50"/>
  <c r="F158" i="50"/>
  <c r="F162" i="50" s="1"/>
  <c r="F147" i="50"/>
  <c r="F158" i="49"/>
  <c r="F162" i="49" s="1"/>
  <c r="F147" i="49"/>
  <c r="E108" i="49"/>
  <c r="G131" i="49"/>
  <c r="G158" i="48"/>
  <c r="G162" i="48" s="1"/>
  <c r="G147" i="48"/>
  <c r="F158" i="48"/>
  <c r="F162" i="48" s="1"/>
  <c r="F147" i="48"/>
  <c r="E108" i="48"/>
  <c r="E153" i="48" s="1"/>
  <c r="D155" i="48"/>
  <c r="E160" i="47"/>
  <c r="D131" i="47"/>
  <c r="G154" i="46"/>
  <c r="G151" i="46"/>
  <c r="G155" i="46"/>
  <c r="F155" i="46"/>
  <c r="F151" i="46"/>
  <c r="E154" i="46"/>
  <c r="E151" i="46"/>
  <c r="E155" i="46"/>
  <c r="G160" i="46"/>
  <c r="E160" i="46"/>
  <c r="E160" i="45"/>
  <c r="F108" i="45"/>
  <c r="F160" i="45"/>
  <c r="E151" i="45"/>
  <c r="D158" i="45"/>
  <c r="D147" i="45"/>
  <c r="D131" i="45"/>
  <c r="E154" i="44"/>
  <c r="E151" i="44"/>
  <c r="E155" i="44"/>
  <c r="D155" i="43"/>
  <c r="D154" i="43"/>
  <c r="G160" i="43"/>
  <c r="E37" i="42"/>
  <c r="E56" i="42" s="1"/>
  <c r="E77" i="42" s="1"/>
  <c r="E150" i="42" s="1"/>
  <c r="E79" i="42"/>
  <c r="F37" i="42"/>
  <c r="F56" i="42"/>
  <c r="F77" i="42" s="1"/>
  <c r="F150" i="42" s="1"/>
  <c r="F79" i="42"/>
  <c r="G131" i="42"/>
  <c r="G158" i="42"/>
  <c r="G79" i="42"/>
  <c r="G37" i="42"/>
  <c r="G56" i="42"/>
  <c r="G77" i="42" s="1"/>
  <c r="G150" i="42" s="1"/>
  <c r="F160" i="52"/>
  <c r="G160" i="50"/>
  <c r="F160" i="50"/>
  <c r="F160" i="49"/>
  <c r="F160" i="48"/>
  <c r="G160" i="42"/>
  <c r="G147" i="47" l="1"/>
  <c r="G158" i="47"/>
  <c r="F108" i="47"/>
  <c r="E108" i="45"/>
  <c r="E154" i="45"/>
  <c r="E152" i="45"/>
  <c r="G151" i="45"/>
  <c r="G154" i="45"/>
  <c r="G155" i="45"/>
  <c r="G152" i="45"/>
  <c r="G153" i="49"/>
  <c r="G154" i="49"/>
  <c r="G155" i="49"/>
  <c r="G152" i="49"/>
  <c r="G151" i="49"/>
  <c r="F153" i="53"/>
  <c r="F152" i="53"/>
  <c r="F155" i="53"/>
  <c r="F151" i="53"/>
  <c r="F154" i="53"/>
  <c r="F108" i="49"/>
  <c r="F153" i="49" s="1"/>
  <c r="F152" i="49"/>
  <c r="F155" i="50"/>
  <c r="F154" i="50"/>
  <c r="F151" i="50"/>
  <c r="F152" i="50"/>
  <c r="E154" i="51"/>
  <c r="E155" i="51"/>
  <c r="D37" i="42"/>
  <c r="D56" i="42" s="1"/>
  <c r="D77" i="42" s="1"/>
  <c r="D150" i="42" s="1"/>
  <c r="D79" i="42"/>
  <c r="E153" i="47"/>
  <c r="E154" i="54"/>
  <c r="E154" i="56"/>
  <c r="F164" i="46"/>
  <c r="F179" i="46"/>
  <c r="E151" i="50"/>
  <c r="E154" i="50"/>
  <c r="E155" i="50"/>
  <c r="E152" i="50"/>
  <c r="F154" i="42"/>
  <c r="D155" i="47"/>
  <c r="D154" i="47"/>
  <c r="G164" i="45"/>
  <c r="G179" i="45"/>
  <c r="F152" i="43"/>
  <c r="F151" i="43"/>
  <c r="F154" i="43"/>
  <c r="F155" i="43"/>
  <c r="E155" i="47"/>
  <c r="E151" i="47"/>
  <c r="E154" i="47"/>
  <c r="E164" i="42"/>
  <c r="E179" i="42"/>
  <c r="F131" i="42"/>
  <c r="F159" i="42"/>
  <c r="F161" i="42" s="1"/>
  <c r="F154" i="48"/>
  <c r="F108" i="48"/>
  <c r="F152" i="48"/>
  <c r="F155" i="45"/>
  <c r="F152" i="45"/>
  <c r="F154" i="45"/>
  <c r="F151" i="45"/>
  <c r="F151" i="49"/>
  <c r="F155" i="49"/>
  <c r="F154" i="49"/>
  <c r="E154" i="42"/>
  <c r="E153" i="50"/>
  <c r="E155" i="48"/>
  <c r="E151" i="48"/>
  <c r="E154" i="48"/>
  <c r="E152" i="48"/>
  <c r="G154" i="47"/>
  <c r="G151" i="47"/>
  <c r="F153" i="45"/>
  <c r="G153" i="45"/>
  <c r="F154" i="51"/>
  <c r="G151" i="48"/>
  <c r="G155" i="48"/>
  <c r="G153" i="48"/>
  <c r="G154" i="48"/>
  <c r="D108" i="45"/>
  <c r="D153" i="45" s="1"/>
  <c r="D152" i="45"/>
  <c r="G154" i="44"/>
  <c r="G151" i="44"/>
  <c r="G152" i="44"/>
  <c r="G155" i="44"/>
  <c r="G153" i="44"/>
  <c r="G155" i="42"/>
  <c r="G154" i="42"/>
  <c r="D154" i="52"/>
  <c r="D155" i="52"/>
  <c r="E154" i="53"/>
  <c r="E152" i="53"/>
  <c r="E155" i="53"/>
  <c r="E151" i="53"/>
  <c r="E153" i="53"/>
  <c r="G154" i="55"/>
  <c r="G151" i="55"/>
  <c r="G151" i="43"/>
  <c r="G155" i="43"/>
  <c r="G153" i="43"/>
  <c r="G154" i="43"/>
  <c r="G158" i="45"/>
  <c r="G147" i="45"/>
  <c r="F147" i="46"/>
  <c r="E147" i="48"/>
  <c r="E158" i="48"/>
  <c r="F155" i="54"/>
  <c r="F154" i="54"/>
  <c r="F155" i="56"/>
  <c r="F154" i="56"/>
  <c r="F147" i="43"/>
  <c r="F158" i="43"/>
  <c r="F154" i="52"/>
  <c r="F155" i="52"/>
  <c r="F151" i="52"/>
  <c r="F153" i="43"/>
  <c r="G154" i="52"/>
  <c r="G151" i="52"/>
  <c r="G154" i="54"/>
  <c r="G155" i="54"/>
  <c r="G151" i="54"/>
  <c r="G154" i="56"/>
  <c r="G155" i="56"/>
  <c r="G151" i="56"/>
  <c r="D154" i="54"/>
  <c r="D155" i="54"/>
  <c r="F167" i="44"/>
  <c r="F131" i="44"/>
  <c r="F158" i="44"/>
  <c r="G152" i="47"/>
  <c r="G108" i="47"/>
  <c r="G153" i="47" s="1"/>
  <c r="E167" i="49"/>
  <c r="E131" i="49"/>
  <c r="E158" i="49"/>
  <c r="D153" i="42"/>
  <c r="D164" i="47"/>
  <c r="D179" i="47"/>
  <c r="E133" i="51"/>
  <c r="D164" i="52"/>
  <c r="D179" i="52"/>
  <c r="E164" i="53"/>
  <c r="E179" i="53"/>
  <c r="D179" i="54"/>
  <c r="D164" i="54"/>
  <c r="E152" i="55"/>
  <c r="D147" i="56"/>
  <c r="D158" i="56"/>
  <c r="G153" i="42"/>
  <c r="G164" i="51"/>
  <c r="G179" i="51"/>
  <c r="D153" i="52"/>
  <c r="G153" i="54"/>
  <c r="G153" i="56"/>
  <c r="G133" i="44"/>
  <c r="E152" i="46"/>
  <c r="E164" i="50"/>
  <c r="E179" i="50"/>
  <c r="D167" i="50"/>
  <c r="D131" i="50"/>
  <c r="D179" i="51"/>
  <c r="D164" i="51"/>
  <c r="E164" i="52"/>
  <c r="E179" i="52"/>
  <c r="G167" i="52"/>
  <c r="G131" i="52"/>
  <c r="F179" i="53"/>
  <c r="F164" i="53"/>
  <c r="F147" i="54"/>
  <c r="F158" i="54"/>
  <c r="F152" i="55"/>
  <c r="F108" i="55"/>
  <c r="G152" i="56"/>
  <c r="F164" i="42"/>
  <c r="F179" i="42"/>
  <c r="D152" i="42"/>
  <c r="E167" i="42"/>
  <c r="E131" i="42"/>
  <c r="E164" i="43"/>
  <c r="E179" i="43"/>
  <c r="D164" i="45"/>
  <c r="D179" i="45"/>
  <c r="F152" i="46"/>
  <c r="D153" i="47"/>
  <c r="D179" i="48"/>
  <c r="D164" i="48"/>
  <c r="D179" i="49"/>
  <c r="D164" i="49"/>
  <c r="E179" i="51"/>
  <c r="E164" i="51"/>
  <c r="G37" i="51"/>
  <c r="G56" i="51" s="1"/>
  <c r="G77" i="51" s="1"/>
  <c r="G150" i="51" s="1"/>
  <c r="G79" i="51"/>
  <c r="G164" i="53"/>
  <c r="G179" i="53"/>
  <c r="E164" i="55"/>
  <c r="E179" i="55"/>
  <c r="G152" i="55"/>
  <c r="G108" i="55"/>
  <c r="G153" i="55" s="1"/>
  <c r="G153" i="46"/>
  <c r="G158" i="49"/>
  <c r="F153" i="52"/>
  <c r="E154" i="55"/>
  <c r="E152" i="43"/>
  <c r="E179" i="49"/>
  <c r="E164" i="49"/>
  <c r="F164" i="50"/>
  <c r="F179" i="50"/>
  <c r="F153" i="50"/>
  <c r="D152" i="52"/>
  <c r="G164" i="49"/>
  <c r="G179" i="49"/>
  <c r="F164" i="52"/>
  <c r="F179" i="52"/>
  <c r="E152" i="42"/>
  <c r="E108" i="42"/>
  <c r="E153" i="42" s="1"/>
  <c r="G167" i="43"/>
  <c r="G131" i="43"/>
  <c r="G167" i="48"/>
  <c r="G131" i="48"/>
  <c r="F164" i="51"/>
  <c r="F179" i="51"/>
  <c r="E152" i="52"/>
  <c r="E108" i="52"/>
  <c r="F164" i="54"/>
  <c r="F179" i="54"/>
  <c r="D158" i="54"/>
  <c r="G179" i="55"/>
  <c r="G164" i="55"/>
  <c r="F162" i="55"/>
  <c r="F160" i="55"/>
  <c r="D108" i="56"/>
  <c r="D153" i="56" s="1"/>
  <c r="D152" i="56"/>
  <c r="D158" i="47"/>
  <c r="D160" i="47" s="1"/>
  <c r="G164" i="48"/>
  <c r="G179" i="48"/>
  <c r="G108" i="52"/>
  <c r="G153" i="52" s="1"/>
  <c r="G152" i="52"/>
  <c r="F153" i="46"/>
  <c r="E162" i="50"/>
  <c r="E160" i="50"/>
  <c r="F152" i="42"/>
  <c r="F108" i="42"/>
  <c r="F153" i="42" s="1"/>
  <c r="E166" i="43"/>
  <c r="E56" i="43"/>
  <c r="E77" i="43" s="1"/>
  <c r="E150" i="43" s="1"/>
  <c r="E164" i="45"/>
  <c r="E179" i="45"/>
  <c r="D164" i="46"/>
  <c r="D179" i="46"/>
  <c r="D107" i="46"/>
  <c r="F166" i="47"/>
  <c r="F56" i="47"/>
  <c r="F77" i="47" s="1"/>
  <c r="F150" i="47" s="1"/>
  <c r="F164" i="48"/>
  <c r="F179" i="48"/>
  <c r="G152" i="48"/>
  <c r="F108" i="51"/>
  <c r="F153" i="51" s="1"/>
  <c r="G164" i="52"/>
  <c r="G179" i="52"/>
  <c r="E167" i="54"/>
  <c r="E131" i="54"/>
  <c r="E108" i="56"/>
  <c r="E153" i="56" s="1"/>
  <c r="E152" i="56"/>
  <c r="E177" i="42"/>
  <c r="E162" i="42"/>
  <c r="E181" i="42"/>
  <c r="G164" i="43"/>
  <c r="G179" i="43"/>
  <c r="F164" i="44"/>
  <c r="F179" i="44"/>
  <c r="D166" i="44"/>
  <c r="D56" i="44"/>
  <c r="D77" i="44" s="1"/>
  <c r="D150" i="44" s="1"/>
  <c r="F164" i="45"/>
  <c r="F179" i="45"/>
  <c r="E164" i="46"/>
  <c r="E179" i="46"/>
  <c r="G166" i="50"/>
  <c r="G56" i="50"/>
  <c r="G77" i="50" s="1"/>
  <c r="G150" i="50" s="1"/>
  <c r="G153" i="50" s="1"/>
  <c r="F152" i="52"/>
  <c r="E152" i="54"/>
  <c r="E108" i="54"/>
  <c r="E153" i="54" s="1"/>
  <c r="D160" i="55"/>
  <c r="G160" i="55"/>
  <c r="G160" i="48"/>
  <c r="E158" i="44"/>
  <c r="G153" i="53"/>
  <c r="F177" i="42"/>
  <c r="G152" i="42"/>
  <c r="G152" i="43"/>
  <c r="E111" i="43"/>
  <c r="D133" i="44"/>
  <c r="F111" i="46"/>
  <c r="F158" i="46" s="1"/>
  <c r="E152" i="47"/>
  <c r="D79" i="49"/>
  <c r="D37" i="49"/>
  <c r="D56" i="49" s="1"/>
  <c r="D77" i="49" s="1"/>
  <c r="D150" i="49" s="1"/>
  <c r="G111" i="51"/>
  <c r="G164" i="50"/>
  <c r="G179" i="50"/>
  <c r="F158" i="47"/>
  <c r="F147" i="47"/>
  <c r="F183" i="42"/>
  <c r="F184" i="42" s="1"/>
  <c r="F172" i="42" s="1"/>
  <c r="F180" i="42"/>
  <c r="G177" i="42"/>
  <c r="G162" i="42"/>
  <c r="G181" i="42"/>
  <c r="G179" i="44"/>
  <c r="G164" i="44"/>
  <c r="F166" i="44"/>
  <c r="F56" i="44"/>
  <c r="F77" i="44" s="1"/>
  <c r="F150" i="44" s="1"/>
  <c r="G152" i="46"/>
  <c r="E179" i="47"/>
  <c r="E164" i="47"/>
  <c r="E131" i="51"/>
  <c r="E154" i="52"/>
  <c r="E151" i="52"/>
  <c r="E167" i="55"/>
  <c r="E158" i="55"/>
  <c r="F164" i="56"/>
  <c r="F179" i="56"/>
  <c r="G160" i="54"/>
  <c r="E153" i="46"/>
  <c r="E153" i="55"/>
  <c r="D164" i="42"/>
  <c r="D179" i="42"/>
  <c r="D37" i="45"/>
  <c r="D56" i="45" s="1"/>
  <c r="D77" i="45" s="1"/>
  <c r="D150" i="45" s="1"/>
  <c r="D79" i="45"/>
  <c r="G164" i="46"/>
  <c r="G179" i="46"/>
  <c r="F37" i="47"/>
  <c r="E37" i="49"/>
  <c r="E56" i="49" s="1"/>
  <c r="E77" i="49" s="1"/>
  <c r="E150" i="49" s="1"/>
  <c r="E153" i="49" s="1"/>
  <c r="D179" i="50"/>
  <c r="D164" i="50"/>
  <c r="D164" i="53"/>
  <c r="D179" i="53"/>
  <c r="G167" i="53"/>
  <c r="G158" i="53"/>
  <c r="D108" i="55"/>
  <c r="D152" i="55"/>
  <c r="D79" i="54"/>
  <c r="G79" i="55"/>
  <c r="G172" i="45"/>
  <c r="G186" i="45"/>
  <c r="D147" i="54"/>
  <c r="F78" i="55"/>
  <c r="F178" i="55" s="1"/>
  <c r="G78" i="56"/>
  <c r="G178" i="56" s="1"/>
  <c r="E169" i="44"/>
  <c r="E165" i="44"/>
  <c r="F172" i="52"/>
  <c r="F186" i="52"/>
  <c r="F185" i="44"/>
  <c r="F182" i="44"/>
  <c r="F186" i="44" s="1"/>
  <c r="D179" i="43"/>
  <c r="D164" i="43"/>
  <c r="D152" i="47"/>
  <c r="D182" i="49"/>
  <c r="D186" i="49" s="1"/>
  <c r="E186" i="56"/>
  <c r="E186" i="54"/>
  <c r="E172" i="54"/>
  <c r="E179" i="54"/>
  <c r="E164" i="54"/>
  <c r="G186" i="53"/>
  <c r="G172" i="53"/>
  <c r="D37" i="51"/>
  <c r="D56" i="51" s="1"/>
  <c r="D77" i="51" s="1"/>
  <c r="D150" i="51" s="1"/>
  <c r="G164" i="42"/>
  <c r="G179" i="42"/>
  <c r="D164" i="44"/>
  <c r="D179" i="44"/>
  <c r="E164" i="48"/>
  <c r="E179" i="48"/>
  <c r="F164" i="49"/>
  <c r="F179" i="49"/>
  <c r="D56" i="56"/>
  <c r="D77" i="56" s="1"/>
  <c r="D150" i="56" s="1"/>
  <c r="F172" i="46"/>
  <c r="F186" i="46"/>
  <c r="E172" i="50"/>
  <c r="E186" i="50"/>
  <c r="F164" i="43"/>
  <c r="F179" i="43"/>
  <c r="E164" i="44"/>
  <c r="E179" i="44"/>
  <c r="G164" i="47"/>
  <c r="G179" i="47"/>
  <c r="D181" i="47"/>
  <c r="D177" i="47"/>
  <c r="D162" i="47"/>
  <c r="G79" i="48"/>
  <c r="D78" i="56"/>
  <c r="D178" i="56" s="1"/>
  <c r="D172" i="51"/>
  <c r="D186" i="51"/>
  <c r="E183" i="42"/>
  <c r="E184" i="42" s="1"/>
  <c r="E172" i="42" s="1"/>
  <c r="E180" i="42"/>
  <c r="D177" i="42"/>
  <c r="D162" i="42"/>
  <c r="D181" i="42"/>
  <c r="D164" i="55"/>
  <c r="D179" i="55"/>
  <c r="F186" i="47"/>
  <c r="F179" i="47"/>
  <c r="F164" i="47"/>
  <c r="D177" i="52"/>
  <c r="D162" i="52"/>
  <c r="D181" i="52"/>
  <c r="D56" i="53"/>
  <c r="D77" i="53" s="1"/>
  <c r="D150" i="53" s="1"/>
  <c r="G164" i="54"/>
  <c r="G179" i="54"/>
  <c r="G152" i="54"/>
  <c r="E164" i="56"/>
  <c r="E179" i="56"/>
  <c r="F172" i="54"/>
  <c r="F186" i="54"/>
  <c r="E131" i="56"/>
  <c r="F181" i="42"/>
  <c r="F162" i="42"/>
  <c r="D180" i="42"/>
  <c r="E186" i="43"/>
  <c r="E172" i="43"/>
  <c r="F172" i="45"/>
  <c r="F186" i="45"/>
  <c r="D165" i="45"/>
  <c r="G169" i="47"/>
  <c r="F185" i="47"/>
  <c r="G165" i="52"/>
  <c r="D165" i="53"/>
  <c r="E169" i="54"/>
  <c r="E169" i="51"/>
  <c r="F185" i="49"/>
  <c r="G185" i="49"/>
  <c r="F165" i="47"/>
  <c r="E182" i="47"/>
  <c r="E186" i="47" s="1"/>
  <c r="E165" i="43"/>
  <c r="D169" i="46"/>
  <c r="G165" i="54"/>
  <c r="G165" i="51"/>
  <c r="E165" i="50"/>
  <c r="F185" i="52"/>
  <c r="F162" i="46" l="1"/>
  <c r="F160" i="46"/>
  <c r="E167" i="43"/>
  <c r="E131" i="43"/>
  <c r="E158" i="43"/>
  <c r="G155" i="52"/>
  <c r="D155" i="42"/>
  <c r="D154" i="42"/>
  <c r="D182" i="42"/>
  <c r="D186" i="42" s="1"/>
  <c r="D185" i="42"/>
  <c r="F151" i="44"/>
  <c r="F152" i="44"/>
  <c r="F155" i="44"/>
  <c r="F154" i="44"/>
  <c r="F153" i="44"/>
  <c r="F162" i="47"/>
  <c r="F160" i="47"/>
  <c r="D152" i="53"/>
  <c r="D155" i="53"/>
  <c r="D151" i="53"/>
  <c r="D154" i="53"/>
  <c r="D153" i="53"/>
  <c r="D165" i="52"/>
  <c r="D169" i="52"/>
  <c r="D157" i="52"/>
  <c r="D151" i="52"/>
  <c r="E162" i="48"/>
  <c r="E160" i="48"/>
  <c r="G155" i="55"/>
  <c r="G155" i="47"/>
  <c r="G164" i="56"/>
  <c r="G179" i="56"/>
  <c r="D154" i="45"/>
  <c r="D155" i="45"/>
  <c r="D185" i="47"/>
  <c r="D182" i="47"/>
  <c r="D186" i="47" s="1"/>
  <c r="F169" i="42"/>
  <c r="F165" i="42"/>
  <c r="F151" i="42"/>
  <c r="F157" i="42"/>
  <c r="G158" i="44"/>
  <c r="G147" i="44"/>
  <c r="E162" i="49"/>
  <c r="E160" i="49"/>
  <c r="E155" i="49"/>
  <c r="E152" i="49"/>
  <c r="E151" i="49"/>
  <c r="E154" i="49"/>
  <c r="G152" i="50"/>
  <c r="G154" i="50"/>
  <c r="G155" i="50"/>
  <c r="G151" i="50"/>
  <c r="D164" i="56"/>
  <c r="D179" i="56"/>
  <c r="D153" i="55"/>
  <c r="D155" i="55"/>
  <c r="E162" i="55"/>
  <c r="E160" i="55"/>
  <c r="G162" i="53"/>
  <c r="G160" i="53"/>
  <c r="G167" i="51"/>
  <c r="G131" i="51"/>
  <c r="G158" i="51"/>
  <c r="E185" i="42"/>
  <c r="E182" i="42"/>
  <c r="E186" i="42" s="1"/>
  <c r="E151" i="43"/>
  <c r="E155" i="43"/>
  <c r="E154" i="43"/>
  <c r="E153" i="43"/>
  <c r="E155" i="56"/>
  <c r="G185" i="42"/>
  <c r="G182" i="42"/>
  <c r="G186" i="42" s="1"/>
  <c r="D155" i="49"/>
  <c r="D154" i="49"/>
  <c r="E162" i="44"/>
  <c r="E160" i="44"/>
  <c r="E153" i="52"/>
  <c r="E155" i="52"/>
  <c r="E153" i="45"/>
  <c r="E155" i="45"/>
  <c r="F164" i="55"/>
  <c r="F179" i="55"/>
  <c r="E169" i="42"/>
  <c r="E165" i="42"/>
  <c r="E151" i="42"/>
  <c r="E157" i="42"/>
  <c r="F153" i="55"/>
  <c r="F155" i="55"/>
  <c r="F162" i="43"/>
  <c r="F160" i="43"/>
  <c r="F155" i="51"/>
  <c r="F155" i="42"/>
  <c r="E155" i="54"/>
  <c r="F153" i="47"/>
  <c r="G169" i="42"/>
  <c r="G165" i="42"/>
  <c r="G151" i="42"/>
  <c r="G157" i="42"/>
  <c r="F154" i="47"/>
  <c r="F151" i="47"/>
  <c r="F155" i="47"/>
  <c r="G162" i="45"/>
  <c r="G160" i="45"/>
  <c r="F152" i="47"/>
  <c r="D154" i="51"/>
  <c r="D155" i="51"/>
  <c r="G154" i="51"/>
  <c r="G152" i="51"/>
  <c r="G153" i="51"/>
  <c r="G151" i="51"/>
  <c r="G155" i="51"/>
  <c r="F185" i="42"/>
  <c r="F182" i="42"/>
  <c r="F186" i="42" s="1"/>
  <c r="D185" i="52"/>
  <c r="D182" i="52"/>
  <c r="D186" i="52" s="1"/>
  <c r="D169" i="42"/>
  <c r="D165" i="42"/>
  <c r="D151" i="42"/>
  <c r="D157" i="42"/>
  <c r="D154" i="56"/>
  <c r="D155" i="56"/>
  <c r="F167" i="46"/>
  <c r="F131" i="46"/>
  <c r="D154" i="44"/>
  <c r="D155" i="44"/>
  <c r="G162" i="49"/>
  <c r="G160" i="49"/>
  <c r="F162" i="44"/>
  <c r="F160" i="44"/>
  <c r="G162" i="47"/>
  <c r="G160" i="47"/>
  <c r="D169" i="47"/>
  <c r="D165" i="47"/>
  <c r="D157" i="47"/>
  <c r="D151" i="47"/>
  <c r="D147" i="44"/>
  <c r="D158" i="44"/>
  <c r="D152" i="46"/>
  <c r="D108" i="46"/>
  <c r="D154" i="46"/>
  <c r="E147" i="51"/>
  <c r="E158" i="51"/>
  <c r="E155" i="42"/>
  <c r="F155" i="48"/>
  <c r="F153" i="48"/>
  <c r="D153" i="46" l="1"/>
  <c r="D155" i="46"/>
  <c r="E162" i="43"/>
  <c r="E160" i="43"/>
  <c r="G162" i="51"/>
  <c r="G160" i="51"/>
  <c r="G162" i="44"/>
  <c r="G160" i="44"/>
</calcChain>
</file>

<file path=xl/comments1.xml><?xml version="1.0" encoding="utf-8"?>
<comments xmlns="http://schemas.openxmlformats.org/spreadsheetml/2006/main">
  <authors>
    <author>b150pcm</author>
    <author>Meyer Christian</author>
  </authors>
  <commentList>
    <comment ref="D86" authorId="0" shapeId="0">
      <text>
        <r>
          <rPr>
            <b/>
            <sz val="10"/>
            <color indexed="81"/>
            <rFont val="Tahoma"/>
            <family val="2"/>
          </rPr>
          <t>b150pcm:</t>
        </r>
        <r>
          <rPr>
            <sz val="10"/>
            <color indexed="81"/>
            <rFont val="Tahoma"/>
            <family val="2"/>
          </rPr>
          <t xml:space="preserve">
40'100 stehen im Zusammenhang mit 40'000 im Konto 60 Übertragung in FV</t>
        </r>
      </text>
    </comment>
    <comment ref="G108" authorId="1" shapeId="0">
      <text>
        <r>
          <rPr>
            <b/>
            <sz val="9"/>
            <color indexed="81"/>
            <rFont val="Tahoma"/>
            <family val="2"/>
          </rPr>
          <t>Meyer Christian:</t>
        </r>
        <r>
          <rPr>
            <sz val="9"/>
            <color indexed="81"/>
            <rFont val="Tahoma"/>
            <family val="2"/>
          </rPr>
          <t xml:space="preserve">
Runden eingefügt, wegen Berechnung Kennzahl Zeile 152</t>
        </r>
      </text>
    </comment>
    <comment ref="A142" authorId="0" shapeId="0">
      <text>
        <r>
          <rPr>
            <b/>
            <sz val="10"/>
            <color indexed="81"/>
            <rFont val="Tahoma"/>
            <family val="2"/>
          </rPr>
          <t>b150pcm:</t>
        </r>
        <r>
          <rPr>
            <sz val="10"/>
            <color indexed="81"/>
            <rFont val="Tahoma"/>
            <family val="2"/>
          </rPr>
          <t xml:space="preserve">
NW wendet Nettomethode an</t>
        </r>
      </text>
    </comment>
  </commentList>
</comments>
</file>

<file path=xl/comments2.xml><?xml version="1.0" encoding="utf-8"?>
<comments xmlns="http://schemas.openxmlformats.org/spreadsheetml/2006/main">
  <authors>
    <author>Meyer Christian</author>
  </authors>
  <commentList>
    <comment ref="G175" authorId="0" shapeId="0">
      <text>
        <r>
          <rPr>
            <b/>
            <sz val="9"/>
            <color indexed="81"/>
            <rFont val="Tahoma"/>
            <family val="2"/>
          </rPr>
          <t>Meyer Christian:</t>
        </r>
        <r>
          <rPr>
            <sz val="9"/>
            <color indexed="81"/>
            <rFont val="Tahoma"/>
            <family val="2"/>
          </rPr>
          <t xml:space="preserve">
Budget 2013: Gemäss Bevölkerungsprognose Basel-Stadt 2012, Mittleres Szenario, Statistisches Amt des Kantons Basel-Stadt</t>
        </r>
      </text>
    </comment>
  </commentList>
</comments>
</file>

<file path=xl/sharedStrings.xml><?xml version="1.0" encoding="utf-8"?>
<sst xmlns="http://schemas.openxmlformats.org/spreadsheetml/2006/main" count="6370" uniqueCount="684">
  <si>
    <t xml:space="preserve"> </t>
  </si>
  <si>
    <t>Canton</t>
  </si>
  <si>
    <t>Kanton</t>
  </si>
  <si>
    <t>Nettoinvestition</t>
  </si>
  <si>
    <t>Investissement net</t>
  </si>
  <si>
    <t>Selbstfinanzierungsgrad</t>
  </si>
  <si>
    <t>Degré d'autofinancement</t>
  </si>
  <si>
    <t>Ein Selbstfinanzierungsgrad von unter null wird mit "negativ" bezeichnet</t>
  </si>
  <si>
    <t>+ Finanzierungsüberschuss / - Finanzierungsfehlbetrag</t>
  </si>
  <si>
    <t>+ Excedent de financement / - Insuffisnce de financement</t>
  </si>
  <si>
    <t>Saldo L. R.</t>
  </si>
  <si>
    <t>Finanzierung (+/-)</t>
  </si>
  <si>
    <t>Financement (+/-)</t>
  </si>
  <si>
    <t>Saldo Laufende Rechnung 
Excedent des revenues / des charges</t>
  </si>
  <si>
    <t xml:space="preserve">Finanzierung 
Financement </t>
  </si>
  <si>
    <t>Selbstfinanzierungsgrad
Degré d'autofinancement</t>
  </si>
  <si>
    <t>in 1000 Fr. / en 1000 frs.</t>
  </si>
  <si>
    <t>Un degré d'autofinancement inférieur à zéro est marqué "négatif"</t>
  </si>
  <si>
    <t>Excédent des</t>
  </si>
  <si>
    <t>revenus/charges</t>
  </si>
  <si>
    <t>Kanton:</t>
  </si>
  <si>
    <t>Zürich</t>
  </si>
  <si>
    <t>Rechnung</t>
  </si>
  <si>
    <t>Diff.</t>
  </si>
  <si>
    <t xml:space="preserve">Budget </t>
  </si>
  <si>
    <t>in %</t>
  </si>
  <si>
    <t>L A U F E N D E   R E C H N U N G</t>
  </si>
  <si>
    <t>HRM2=&gt;HRM1</t>
  </si>
  <si>
    <t>30</t>
  </si>
  <si>
    <t>Personalaufwand</t>
  </si>
  <si>
    <t>31</t>
  </si>
  <si>
    <t>Sachaufwand</t>
  </si>
  <si>
    <t>davon 314</t>
  </si>
  <si>
    <t>Baulicher Unterhalt</t>
  </si>
  <si>
    <t>32</t>
  </si>
  <si>
    <t>Passivzinsen</t>
  </si>
  <si>
    <t>330</t>
  </si>
  <si>
    <t>Abschreibungen Finanzvermögen</t>
  </si>
  <si>
    <t>331 - 333</t>
  </si>
  <si>
    <t>Abschreibungen Verwaltungsvermögen</t>
  </si>
  <si>
    <t>34 - 37</t>
  </si>
  <si>
    <t>Anteile, Entschädigungen, Beiträge</t>
  </si>
  <si>
    <t>davon 363</t>
  </si>
  <si>
    <t>Beiträge an eigene Anstalten</t>
  </si>
  <si>
    <t>davon 364</t>
  </si>
  <si>
    <t>Beiträge an gemischtwirtschaftliche Unternehmungen</t>
  </si>
  <si>
    <t>davon 365</t>
  </si>
  <si>
    <t>Beiträge an private Institutionen</t>
  </si>
  <si>
    <t xml:space="preserve">  -</t>
  </si>
  <si>
    <t>davon 373</t>
  </si>
  <si>
    <t>Durchl. Beiträge an eigene Anstalten</t>
  </si>
  <si>
    <t>davon 374</t>
  </si>
  <si>
    <t>Durchl. Beiträge an gemischtwirtschaftliche Unternehmungen</t>
  </si>
  <si>
    <t>davon 375</t>
  </si>
  <si>
    <t>Durchl. Beiträge an private Institutionen</t>
  </si>
  <si>
    <t>38</t>
  </si>
  <si>
    <t>Einlagen in Spezialfinanzierungen/Fonds</t>
  </si>
  <si>
    <t>Einlagen in das Eigenkapital</t>
  </si>
  <si>
    <t>39</t>
  </si>
  <si>
    <t>Interne Verrechnungen (Aufwand)</t>
  </si>
  <si>
    <t>3</t>
  </si>
  <si>
    <t>Total Aufwand Laufende Rechnung</t>
  </si>
  <si>
    <t>400 - 404</t>
  </si>
  <si>
    <t>Direkte Steuern</t>
  </si>
  <si>
    <t>405 - 407</t>
  </si>
  <si>
    <t>Uebrige Steuern</t>
  </si>
  <si>
    <t>42</t>
  </si>
  <si>
    <t>Vermögenserträge</t>
  </si>
  <si>
    <t>41 / 43</t>
  </si>
  <si>
    <t>Konzessionen/Entgelte (Gebühren)</t>
  </si>
  <si>
    <t>44 - 47</t>
  </si>
  <si>
    <t>Anteile, Rückerstattungen, Beiträge</t>
  </si>
  <si>
    <t>48</t>
  </si>
  <si>
    <t>Entnahme aus Spezialfinanzierungen</t>
  </si>
  <si>
    <t>Entnahmen aus dem Eigenkapital</t>
  </si>
  <si>
    <t>49</t>
  </si>
  <si>
    <t>Interne Verrechnungen (Ertrag)</t>
  </si>
  <si>
    <t>4</t>
  </si>
  <si>
    <t>Total Ertrag Laufende Rechnung</t>
  </si>
  <si>
    <t>.</t>
  </si>
  <si>
    <t>Saldo Laufende Rechnung</t>
  </si>
  <si>
    <t>I N V E S T I T I O N S R E C H N U N G</t>
  </si>
  <si>
    <t>50</t>
  </si>
  <si>
    <t>Sachgüter</t>
  </si>
  <si>
    <t>52</t>
  </si>
  <si>
    <t>Darlehen und Beteiligungen</t>
  </si>
  <si>
    <t>56 - 58</t>
  </si>
  <si>
    <t>Investitionsbeiträge,übrige Investitionen</t>
  </si>
  <si>
    <t>5</t>
  </si>
  <si>
    <t>Total Ausgaben Investitionsrechnung</t>
  </si>
  <si>
    <t>60 - 61</t>
  </si>
  <si>
    <t>Abgang Sachgüter, Nutzungsabgaben</t>
  </si>
  <si>
    <t>62 - 67</t>
  </si>
  <si>
    <t>Rückzahlung,Rückerstattung,Invest.-Beitr.</t>
  </si>
  <si>
    <t>6</t>
  </si>
  <si>
    <t>Total Einnahmen Investitionsrechnung</t>
  </si>
  <si>
    <t>NI</t>
  </si>
  <si>
    <t>Selbstfinanzierung</t>
  </si>
  <si>
    <t>Finanzierungsfehlbetrag(-)/-überschuss(+)</t>
  </si>
  <si>
    <t>Konsolidierte Gesamtausgaben</t>
  </si>
  <si>
    <t>negativ</t>
  </si>
  <si>
    <t>Bern</t>
  </si>
  <si>
    <t>dev.</t>
  </si>
  <si>
    <t>def.</t>
  </si>
  <si>
    <t>Luzern</t>
  </si>
  <si>
    <t>Budget</t>
  </si>
  <si>
    <t>Uri</t>
  </si>
  <si>
    <t>Schwyz</t>
  </si>
  <si>
    <t>Obwalden</t>
  </si>
  <si>
    <t>Nidwalden</t>
  </si>
  <si>
    <t>Glarus</t>
  </si>
  <si>
    <t>Zug</t>
  </si>
  <si>
    <t>331 - 334</t>
  </si>
  <si>
    <t>Canton:</t>
  </si>
  <si>
    <t>Fribourg</t>
  </si>
  <si>
    <t>Compte</t>
  </si>
  <si>
    <t>C O M P T E   D E   F O N C T I O N N E M E N T</t>
  </si>
  <si>
    <t>Charges de personnel</t>
  </si>
  <si>
    <t>Biens, services et marchandises</t>
  </si>
  <si>
    <t>de cela 314</t>
  </si>
  <si>
    <t>Entretien des Immeubles</t>
  </si>
  <si>
    <t>Intérêts passifs</t>
  </si>
  <si>
    <t>Amortissements sur le patrimoine financier</t>
  </si>
  <si>
    <t>Amortissements sur le patrimoine administratif</t>
  </si>
  <si>
    <t>Parts, dédommagements, subventions</t>
  </si>
  <si>
    <t>de cela 363</t>
  </si>
  <si>
    <t>Subventions accordées; Propres établissements</t>
  </si>
  <si>
    <t>de cela 364</t>
  </si>
  <si>
    <t>Subventions accordées; Sociétés d'économie mixte</t>
  </si>
  <si>
    <t>de cela 365</t>
  </si>
  <si>
    <t>Subventions accordées; Institutions privées</t>
  </si>
  <si>
    <t>de cela 373</t>
  </si>
  <si>
    <t>Subventions redistribuées; Propres établissements</t>
  </si>
  <si>
    <t>de cela 374</t>
  </si>
  <si>
    <t>Subventions redistribuées; Sociétés d'économie mixte</t>
  </si>
  <si>
    <t>de cela 375</t>
  </si>
  <si>
    <t>Subventions redistribuées; Institutions privées</t>
  </si>
  <si>
    <t>Attributions aux financements spéciaux</t>
  </si>
  <si>
    <t>Attributions au capital propre</t>
  </si>
  <si>
    <t>Imputations internes</t>
  </si>
  <si>
    <t>Total des charges</t>
  </si>
  <si>
    <t>Impôts</t>
  </si>
  <si>
    <t>Autres impôts</t>
  </si>
  <si>
    <t>Revenus des biens</t>
  </si>
  <si>
    <t>Concessions / Contributions</t>
  </si>
  <si>
    <t>Prélèvements aux financements spéciaux</t>
  </si>
  <si>
    <t>Total des revenus</t>
  </si>
  <si>
    <t>Excedent des revenus / des charges (-)</t>
  </si>
  <si>
    <t>C O M P T E  DES  I N V E S T I S S E M E N T S</t>
  </si>
  <si>
    <t>Investissements propres</t>
  </si>
  <si>
    <t>Prêts et participations permanentes</t>
  </si>
  <si>
    <t>Subventions, autres investissements</t>
  </si>
  <si>
    <t>Total des dépenses</t>
  </si>
  <si>
    <t>Transferts au patrim.financier/Contrib.de tiers</t>
  </si>
  <si>
    <t>Remboursements/Subventions</t>
  </si>
  <si>
    <t>Total des recettes</t>
  </si>
  <si>
    <t>Autofinancement</t>
  </si>
  <si>
    <t>Insuffisance (-) / Excedent de financement</t>
  </si>
  <si>
    <t>Total des dépenses effectives</t>
  </si>
  <si>
    <t>Solothurn</t>
  </si>
  <si>
    <t>38 / 335</t>
  </si>
  <si>
    <t>Einlagen in Spezialfinanz./Fonds</t>
  </si>
  <si>
    <t>Basel-Stadt</t>
  </si>
  <si>
    <t xml:space="preserve">Basel-Landschaft 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</si>
  <si>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</si>
  <si>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</si>
  <si>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</si>
  <si>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</si>
  <si>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</si>
  <si>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</si>
  <si>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</si>
  <si>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62 - 69</t>
  </si>
  <si>
    <t>Tessin</t>
  </si>
  <si>
    <t>Vaud</t>
  </si>
  <si>
    <t>def</t>
  </si>
  <si>
    <t>Prélèvements sur le capital propre</t>
  </si>
  <si>
    <t>Valais</t>
  </si>
  <si>
    <t>Neuchâtel</t>
  </si>
  <si>
    <t>Genève</t>
  </si>
  <si>
    <t>330/335/339</t>
  </si>
  <si>
    <t>Amortissements sur le patrimoine financier / Moins-values non réalisées sur placements financiers / Créances irrécouvrables</t>
  </si>
  <si>
    <t>331 - 334/336-338</t>
  </si>
  <si>
    <t>38 /3x</t>
  </si>
  <si>
    <t>Attributions aux financements spéciaux /Charges non Réparties</t>
  </si>
  <si>
    <t>41 / 43 / 439</t>
  </si>
  <si>
    <t>Concessions / Contributions / dissolution de provision</t>
  </si>
  <si>
    <t>Jura</t>
  </si>
  <si>
    <t>MCH2=&gt;MCH1</t>
  </si>
  <si>
    <t>26 Cantons</t>
  </si>
  <si>
    <t>26 Kantone</t>
  </si>
  <si>
    <t xml:space="preserve">L A U F E N D E   R E C H N U N G        </t>
  </si>
  <si>
    <t>Résultats des Comptes 2011 des cantons</t>
  </si>
  <si>
    <t>Abschlusszahlen der Rechnungen 2011 der Kantone</t>
  </si>
  <si>
    <t>Zürich    HRM2</t>
  </si>
  <si>
    <t>Nidwalden   HRM2</t>
  </si>
  <si>
    <t>Glarus  HRM2</t>
  </si>
  <si>
    <t>Fribourg  MCH2</t>
  </si>
  <si>
    <t>Basel-Landschaft  HRM2</t>
  </si>
  <si>
    <t>Kantone die HRM2 anwenden, sind mit HRM2 markiert   /  Cantons qui utilises MCH2 sont marqué HRM2</t>
  </si>
  <si>
    <t>Résultats des Budgets 2012 des cantons</t>
  </si>
  <si>
    <t>Abschlusszahlen der Budget s 2012 der Kantone</t>
  </si>
  <si>
    <t>Luzern  HRM2</t>
  </si>
  <si>
    <t>Uri  HRM2</t>
  </si>
  <si>
    <t>Obwalden  HRM2</t>
  </si>
  <si>
    <t>Zug  HRM2</t>
  </si>
  <si>
    <t>Solothurn  HRM2</t>
  </si>
  <si>
    <t>Thurgau  HRM2</t>
  </si>
  <si>
    <t>Jura  HRM2</t>
  </si>
  <si>
    <t>Résultats des Comptes 2012 des cantons</t>
  </si>
  <si>
    <t>Abschlusszahlen der Rechnungen 2012 der Kantone</t>
  </si>
  <si>
    <t>Résultats des Budgets 2013 des cantons</t>
  </si>
  <si>
    <t>Abschlusszahlen der Budget s 2013 der Kantone</t>
  </si>
  <si>
    <t>Basel-Stadt  HRM2</t>
  </si>
  <si>
    <t>Appenzell A.Rh.  HRM2</t>
  </si>
  <si>
    <t>Graubünden  HRM2</t>
  </si>
  <si>
    <t>Differenz</t>
  </si>
  <si>
    <t>B 12 - R 12</t>
  </si>
  <si>
    <t>R 12 - B 13</t>
  </si>
  <si>
    <t>HRM2 / MCH2</t>
  </si>
  <si>
    <t>-</t>
  </si>
  <si>
    <t xml:space="preserve">Kanton: </t>
  </si>
  <si>
    <t>ZH</t>
  </si>
  <si>
    <t>in 1000 Franken</t>
  </si>
  <si>
    <t>ERFOLGSRECHNUNG</t>
  </si>
  <si>
    <t>Sach- und übriger Betriebsaufwand</t>
  </si>
  <si>
    <t>baulicher und betrieblicher Unterhalt</t>
  </si>
  <si>
    <t>davon 3180</t>
  </si>
  <si>
    <t>Wertberichtigungen auf Forderungen</t>
  </si>
  <si>
    <t>Abschreibungen Sachanlagen VV</t>
  </si>
  <si>
    <t>Abschreibungen Immaterielle Anlagen VV</t>
  </si>
  <si>
    <t>Abtragung Bilanzfehlbetrag</t>
  </si>
  <si>
    <t>Einlagen in Fonds und Spezialfinanzierungen im FK</t>
  </si>
  <si>
    <t>Einlagen in Fonds und Spezialfinanzierungen im EK</t>
  </si>
  <si>
    <t>Transferaufwand</t>
  </si>
  <si>
    <t>davon 3634</t>
  </si>
  <si>
    <t>Beiträge an öffentliche Unternehmungen</t>
  </si>
  <si>
    <t>davon 3635</t>
  </si>
  <si>
    <t>Beiträge an private Unternehmungen</t>
  </si>
  <si>
    <t>davon 364, 365 und 366</t>
  </si>
  <si>
    <t>Wertberichtigungen Darlehen VV, Beteiligungen VV und Investitionsbeiträge</t>
  </si>
  <si>
    <t>Durchlaufende Beiträge</t>
  </si>
  <si>
    <t>davon 3704</t>
  </si>
  <si>
    <t>Durchlaufende Beiträge an öffentliche Unternehmungen</t>
  </si>
  <si>
    <t>davon 3705</t>
  </si>
  <si>
    <t>Durchlaufende Beiträge an private Unternehmungen</t>
  </si>
  <si>
    <t>Interne Verrechungen</t>
  </si>
  <si>
    <t>Total Betrieblicher Aufwand (ohne SG 39)</t>
  </si>
  <si>
    <t>400 + 401</t>
  </si>
  <si>
    <t>Direkte Steuern natürliche und juristische Personen</t>
  </si>
  <si>
    <t>402 + 403</t>
  </si>
  <si>
    <t>Übrige direkte Steuer; Besitz- und Aufwandsteuern</t>
  </si>
  <si>
    <t>Regalien und Konzessionen</t>
  </si>
  <si>
    <t>Entgelte</t>
  </si>
  <si>
    <t>Verschiedene Erträge</t>
  </si>
  <si>
    <t>Aktivierung Eigenleistung</t>
  </si>
  <si>
    <t>Bestandesveränderungen</t>
  </si>
  <si>
    <t>Übriger Ertrag</t>
  </si>
  <si>
    <t>Entnahmen aus Fonds und Spezialfinanzierungen im Fremdkapital</t>
  </si>
  <si>
    <t>Entnahmen aus Fonds und Spezialfinanzierungen im Eigenkapital</t>
  </si>
  <si>
    <t>Transferertrag</t>
  </si>
  <si>
    <t>davon 466</t>
  </si>
  <si>
    <t>Auflösung passivierter Investitionsbeiträge</t>
  </si>
  <si>
    <t>Interne Verrechnungen</t>
  </si>
  <si>
    <t>Total Betrieblicher Ertrag (ohne SG 49)</t>
  </si>
  <si>
    <t>Ergebnis aus betrieblicher Tätigkeit</t>
  </si>
  <si>
    <t>Zinsaufwand</t>
  </si>
  <si>
    <t>Realisierte Kursverluste</t>
  </si>
  <si>
    <t>Kapitalbeschaffungs- und Verwaltungskosten</t>
  </si>
  <si>
    <t>Liegenschaftenaufwand FV</t>
  </si>
  <si>
    <t>Wertberichtigungen Anlagen FV</t>
  </si>
  <si>
    <t>Verschiedener Finanzaufwand</t>
  </si>
  <si>
    <t>Zinsertrag</t>
  </si>
  <si>
    <t>Realisierte Gewinne FV</t>
  </si>
  <si>
    <t>Beteiligungsertrag FV</t>
  </si>
  <si>
    <t>Liegenschaftenertrag FV</t>
  </si>
  <si>
    <t>Finanzertrag aus Darlehen und Beteiligungen VV</t>
  </si>
  <si>
    <t>Finanzertrag von öffentlichen Unternehmungen</t>
  </si>
  <si>
    <t>Liegenschaftenertrag VV</t>
  </si>
  <si>
    <t>Erträge von gemieteten Liegenschaften</t>
  </si>
  <si>
    <t>übriger Finanzertrag</t>
  </si>
  <si>
    <t>davon 4490</t>
  </si>
  <si>
    <t>Aufwertungen Verwaltungsvermögen</t>
  </si>
  <si>
    <t>Ergebnis aus Finanzierung</t>
  </si>
  <si>
    <t>Operatives Ergebnis</t>
  </si>
  <si>
    <t>a.o. Personalaufwand</t>
  </si>
  <si>
    <t>a.o. Sach- und Betriebsaufwand</t>
  </si>
  <si>
    <t>Zusätzliche Abschreibungen Sachanlagen und immat. Anlagen VV</t>
  </si>
  <si>
    <t>a.o. Finanzaufwand (Geldwirksam)</t>
  </si>
  <si>
    <t>a.o. Finanzaufwand (Wertberichtigungen)</t>
  </si>
  <si>
    <t>a.o.Transferaufwand (Geldwirksam)</t>
  </si>
  <si>
    <t>Zusätzlich Abschreibungen Darlehen, Beteiligungen, Invest.-Beiträge VV</t>
  </si>
  <si>
    <t>4800 + 4801</t>
  </si>
  <si>
    <t>a.o. Direkte Steuern natürliche und juristische Personen</t>
  </si>
  <si>
    <t>4802 + 4803</t>
  </si>
  <si>
    <t>a.o. übrige direkte Steuern; a.o. Besitz- und Aufwandsteuern</t>
  </si>
  <si>
    <t>a.o. Regalien, Konzessionen</t>
  </si>
  <si>
    <t>a.o. Entgelte</t>
  </si>
  <si>
    <t>a.o. verschiedene Erträge</t>
  </si>
  <si>
    <t>a.o. Finanzerträge</t>
  </si>
  <si>
    <t>a.o. Entnahmen aus Fonds und Spezialfinanzierungen</t>
  </si>
  <si>
    <t>a.o. Transfererträge</t>
  </si>
  <si>
    <t>Zusätzliche Auflösung passivierter Investitionsbeiträge</t>
  </si>
  <si>
    <t>davon 4895</t>
  </si>
  <si>
    <t>Entnahmen aus Aufwertungsreserven</t>
  </si>
  <si>
    <t>Ausserordentliches Ergebnis</t>
  </si>
  <si>
    <t>Gesamtergebnis Erfolgsrechung</t>
  </si>
  <si>
    <t>Aufwand</t>
  </si>
  <si>
    <t>Ertrag</t>
  </si>
  <si>
    <t>INVESTITIONSRECHNUNG</t>
  </si>
  <si>
    <t>Sachanlagen</t>
  </si>
  <si>
    <t>Investitionen auf Rechnung Dritter</t>
  </si>
  <si>
    <t>Immaterielle Anlagen</t>
  </si>
  <si>
    <t>Darlehen</t>
  </si>
  <si>
    <t>Beteiligungen und Grundkapitalien</t>
  </si>
  <si>
    <t>Eigene Investitionsbeiträge</t>
  </si>
  <si>
    <t>Durchlaufende Investitionsbeiträge</t>
  </si>
  <si>
    <t>a.o. Investitionen für Sachanlagen</t>
  </si>
  <si>
    <t>a.o. Investitionen für immaterielle Anlagen</t>
  </si>
  <si>
    <t>a.o. Investitionen für Darlehen</t>
  </si>
  <si>
    <t>a.o. Investitionen für Beteiligungen und Grundkapitalien</t>
  </si>
  <si>
    <t>a.o. eigene Investitionsbeiträge</t>
  </si>
  <si>
    <t>Übrige a.o. Investitionen</t>
  </si>
  <si>
    <t>Investitionsausgaben gesamt</t>
  </si>
  <si>
    <t>Übertragung von Sachanlagen in das FV</t>
  </si>
  <si>
    <t>Rückerstattungen Dritter für Investitionen</t>
  </si>
  <si>
    <t>Abgang immaterielle Anlagen</t>
  </si>
  <si>
    <t>Investitionsbeiträge für eigene Rechnung</t>
  </si>
  <si>
    <t>Rückzahlung von Darlehen</t>
  </si>
  <si>
    <t>Übertragung von Beteiligungen</t>
  </si>
  <si>
    <t>Rückzahlung eigener Investitionsbeiträge</t>
  </si>
  <si>
    <t>680 + 682
+ 689</t>
  </si>
  <si>
    <t>a.o. Investitionseinnahmen für Sachanlagen, immaterielle Anlagen und übrige Anlagen</t>
  </si>
  <si>
    <t>683 bis 686</t>
  </si>
  <si>
    <t>a.o. Investitionsbeiträge für eigene Rechnung; Rückzahlungen von Darlehen; Übertragung von Beteiligungen; Rückzahlung von eigenen Beiträgen</t>
  </si>
  <si>
    <t>Investitionseinnahmen gesamt</t>
  </si>
  <si>
    <t>HRM2-Tabelle 18.19</t>
  </si>
  <si>
    <t>Nettoinv. II</t>
  </si>
  <si>
    <t>Nettoinvestition ohne Darlehen und Beteiligungen</t>
  </si>
  <si>
    <t>BILANZ</t>
  </si>
  <si>
    <t>Finanzvermögen</t>
  </si>
  <si>
    <t>10 kf. FV</t>
  </si>
  <si>
    <t>Umlaufvermögen (kurzfristiges Finanzvermögen)</t>
  </si>
  <si>
    <t>100+101</t>
  </si>
  <si>
    <t>Flüssige Mittel, Forderungen</t>
  </si>
  <si>
    <t>Kurzfr. Finanzanlagen</t>
  </si>
  <si>
    <t>Aktive Rechnungsabgrenzungen (Transit. Aktiven)</t>
  </si>
  <si>
    <t>Vorräte und angefangene Arbeiten</t>
  </si>
  <si>
    <t>10 lf. FV</t>
  </si>
  <si>
    <t>Anlagevermögen FV (langfristiges Finanzvermögen)</t>
  </si>
  <si>
    <t>Langfristige Finanzanlagen FV</t>
  </si>
  <si>
    <t>Sachanlagen FV</t>
  </si>
  <si>
    <t>Forderungen gegenüber Spezialfinanzierungen und Fonds im FK</t>
  </si>
  <si>
    <t>Verwaltungsvermögen</t>
  </si>
  <si>
    <t>140+142</t>
  </si>
  <si>
    <t>Sachanlagen, Immaterielle Anlagen</t>
  </si>
  <si>
    <t>Beteiligungen / Grundkapitalien</t>
  </si>
  <si>
    <t>Investitionsbeiträge</t>
  </si>
  <si>
    <t>1480+1482</t>
  </si>
  <si>
    <t>Kum. zusätzliche Abschreibungen Sachanlagen, Immaterielle Anlagen (negative Vorzeichen)</t>
  </si>
  <si>
    <t>Kum. zusätzliche Abschreibungen Darlehen</t>
  </si>
  <si>
    <t>Kum. zusätzliche Abschreibungen Beteiligungen</t>
  </si>
  <si>
    <t>Kum. zusätzliche Abschreibungen Investitionsbeiträge</t>
  </si>
  <si>
    <t>Nicht zugeteilte kum. zusätzliche Abschreibungen</t>
  </si>
  <si>
    <t>Aktiven</t>
  </si>
  <si>
    <t>Fremdkapital</t>
  </si>
  <si>
    <t>20 kf. FK</t>
  </si>
  <si>
    <t>Kurzfristiges Fremdkapital</t>
  </si>
  <si>
    <t>Laufende Verbindlichkeiten</t>
  </si>
  <si>
    <t>Kurzfristige Finanzverbindlichkeiten</t>
  </si>
  <si>
    <t>davon 2016</t>
  </si>
  <si>
    <t>derivative Finanzinstrumente</t>
  </si>
  <si>
    <t>Passive Rechnungsabgrenzungen (Transit. Passiven)</t>
  </si>
  <si>
    <t>Kurzfristige Rückstellungen</t>
  </si>
  <si>
    <t>20 lf. FK</t>
  </si>
  <si>
    <t>Langfristiges Fremdkapital</t>
  </si>
  <si>
    <t>Langfristige Finanzverbindlichkeiten</t>
  </si>
  <si>
    <t>davon 2068</t>
  </si>
  <si>
    <t>passivierte Investitionsbeiträge</t>
  </si>
  <si>
    <t>Langfristige Rückstellungen</t>
  </si>
  <si>
    <t>Verbindlichkeiten gegenüber Spezialfinanzierungen und Fonds im FK</t>
  </si>
  <si>
    <t>Eigenkapital</t>
  </si>
  <si>
    <t>davon 299</t>
  </si>
  <si>
    <t>Bilanzüberschuss (- Bilanzfehlbetrag)</t>
  </si>
  <si>
    <t>Passiven</t>
  </si>
  <si>
    <t>KENNZAHLEN</t>
  </si>
  <si>
    <t>1000 Fr.</t>
  </si>
  <si>
    <t>HRM2-Tabelle 18.23</t>
  </si>
  <si>
    <t>HRM2-Tabelle 18.8</t>
  </si>
  <si>
    <t>Selbstfinanzierungsanteil</t>
  </si>
  <si>
    <t>HRM2-Tabelle 18.2</t>
  </si>
  <si>
    <t>Selbstfinanzierungsgrad inkl. Darlehen und Beteiligungen der Investitionsrechnung</t>
  </si>
  <si>
    <t>Selbstfinanzierungsgrad ohne Darlehen und Beteiligungen der Investitionsrechnung</t>
  </si>
  <si>
    <t>Nettoinvestition - Selbstfinanzierung</t>
  </si>
  <si>
    <t>Finanzierungsergebnis inkl. Darlehen und Beteiligungen der Investitionsrechnung</t>
  </si>
  <si>
    <t>Nettoinvestition ohne Darl./Bet. - Selbstfin.</t>
  </si>
  <si>
    <t>Finanzierungsergebnis ohne Darlehen und Beteiligungen der Investitionsrechnung</t>
  </si>
  <si>
    <t>HRM2-Tabelle 18.10</t>
  </si>
  <si>
    <t>Bruttoschulden</t>
  </si>
  <si>
    <t>HRM2-Tabelle 18.4</t>
  </si>
  <si>
    <t>Bruttoverschuldungsanteil</t>
  </si>
  <si>
    <t>HRM2-Tabelle 18.20</t>
  </si>
  <si>
    <t>Nettoschulden I</t>
  </si>
  <si>
    <t>HRM2-Tabelle 18.21</t>
  </si>
  <si>
    <t>Nettoschulden II</t>
  </si>
  <si>
    <t>HRM2-Tabelle 18.7</t>
  </si>
  <si>
    <t>Nettoschuld I in Fr. je Einwohner</t>
  </si>
  <si>
    <t>Nettoschuld II in Fr. je Einwohner</t>
  </si>
  <si>
    <t>HRM2-Tabelle 18.1</t>
  </si>
  <si>
    <t>Nettoverschuldungsquotient</t>
  </si>
  <si>
    <t>SG 29</t>
  </si>
  <si>
    <t>Eigenkapital (in 1000 Fr.)</t>
  </si>
  <si>
    <t>SG 299  in % Laufender Aufwand</t>
  </si>
  <si>
    <t>Eigenkapitaldeckungsgrad</t>
  </si>
  <si>
    <t>HRM2-Tabelle 18.5</t>
  </si>
  <si>
    <t>Kapitaldienstanteil</t>
  </si>
  <si>
    <t>SG 44 - SG 34</t>
  </si>
  <si>
    <t>Ertrag FV in % SG 10</t>
  </si>
  <si>
    <t>Bruttorendite des Finanzvermögens</t>
  </si>
  <si>
    <t>HRM2-Tabelle 18.22</t>
  </si>
  <si>
    <t>Nettozinsaufwand</t>
  </si>
  <si>
    <t>HRM2-Tabelle 18.3</t>
  </si>
  <si>
    <t>Zinsbelastungsanteil</t>
  </si>
  <si>
    <t>HRM2-Tabelle 18.9</t>
  </si>
  <si>
    <t>Bruttoinvestitionen</t>
  </si>
  <si>
    <t>HRM2-Tabelle 18.13</t>
  </si>
  <si>
    <t>Investitionseinnahmen</t>
  </si>
  <si>
    <t>Investitionsanteil</t>
  </si>
  <si>
    <t>STATISTIK</t>
  </si>
  <si>
    <t>HRM2-Tabelle 18.24</t>
  </si>
  <si>
    <t>Ständige Wohnbevölkerung am Jahresende</t>
  </si>
  <si>
    <t>Hilfsgrössen</t>
  </si>
  <si>
    <t>HRM2-Tabelle 18.18</t>
  </si>
  <si>
    <t>Laufender Ertrag</t>
  </si>
  <si>
    <t>HRM2-Tabelle 18.16</t>
  </si>
  <si>
    <t>Laufender Aufwand</t>
  </si>
  <si>
    <t>Gesamtaufwand</t>
  </si>
  <si>
    <t>HRM2-Tabelle 18.14</t>
  </si>
  <si>
    <t>Kapitaldienst</t>
  </si>
  <si>
    <r>
      <t xml:space="preserve">Finanzrechnung
</t>
    </r>
    <r>
      <rPr>
        <sz val="10"/>
        <rFont val="Arial Narrow"/>
        <family val="2"/>
      </rPr>
      <t>HRM2-Tabelle 18.17</t>
    </r>
  </si>
  <si>
    <t>Laufende Einnahmen</t>
  </si>
  <si>
    <t>HRM2-Tabelle 18.12</t>
  </si>
  <si>
    <t>Gesamteinnahmen</t>
  </si>
  <si>
    <t>HRM2-Tabelle 18.15</t>
  </si>
  <si>
    <t>Laufende Ausgaben</t>
  </si>
  <si>
    <t>HRM2-Tabelle 18.11</t>
  </si>
  <si>
    <t>Gesamtausgaben</t>
  </si>
  <si>
    <t>Ergebnis Finanzrechnung Laufende Zahlungen</t>
  </si>
  <si>
    <t>Ergebnis Finanzrechnung Gesamt</t>
  </si>
  <si>
    <t>ZG</t>
  </si>
  <si>
    <t>UR</t>
  </si>
  <si>
    <t>dvon 2016</t>
  </si>
  <si>
    <t>TG</t>
  </si>
  <si>
    <t>SO</t>
  </si>
  <si>
    <t>NW</t>
  </si>
  <si>
    <t>OW</t>
  </si>
  <si>
    <t xml:space="preserve">Ständige Wohnbevölkerung am Jahresende </t>
  </si>
  <si>
    <t>LU</t>
  </si>
  <si>
    <t>JU</t>
  </si>
  <si>
    <t>en 1000 frcs.</t>
  </si>
  <si>
    <t>Compte de résultats</t>
  </si>
  <si>
    <t>Charges de biens et services et autres charges d'exploitation</t>
  </si>
  <si>
    <t>Gros entretien et entretien courant</t>
  </si>
  <si>
    <t>de cela 3180</t>
  </si>
  <si>
    <t>Réévaluations sur créances</t>
  </si>
  <si>
    <t>Immobilisations corporelles du PA</t>
  </si>
  <si>
    <t>Amortissements des immobilisations incorporelles</t>
  </si>
  <si>
    <t>Remboursement du découvert du bilan</t>
  </si>
  <si>
    <t>Attributions aux fonds et financements spéciaux enregistrées sous capitaux de tiers</t>
  </si>
  <si>
    <t>Attributions aux fonds et financements spéciaux enregistrées sous Capital propre</t>
  </si>
  <si>
    <t>Charges de transfert</t>
  </si>
  <si>
    <t>de cela 3634</t>
  </si>
  <si>
    <t>Subventions accordées aux entreprises publiques</t>
  </si>
  <si>
    <t>de cela 3635</t>
  </si>
  <si>
    <t>Subventions accordées aux entreprises privées</t>
  </si>
  <si>
    <t>de cela 364, 365 et 366</t>
  </si>
  <si>
    <t>Réévaluations emprunts PA, participations PA et subventions d'investissements</t>
  </si>
  <si>
    <t>Subventions à redistribuer</t>
  </si>
  <si>
    <t>de cela 3704</t>
  </si>
  <si>
    <t>Subventions à redistribuer aux entreprises publiques</t>
  </si>
  <si>
    <t>de ceal 3705</t>
  </si>
  <si>
    <t>Subventions à redistribuer aux entreprises privées</t>
  </si>
  <si>
    <t>charges d'exploitation (sauf GN 39)</t>
  </si>
  <si>
    <t>Impôts directs Personnes physiques et personnes morales</t>
  </si>
  <si>
    <t>Autres impôts directs; Impôt sur la propriété et sur les charges</t>
  </si>
  <si>
    <t>Patentes et concessions</t>
  </si>
  <si>
    <t>Taxes</t>
  </si>
  <si>
    <t>Revenus d'exploitation di-vers</t>
  </si>
  <si>
    <t>Activation des prestations propres</t>
  </si>
  <si>
    <t>Variations de stocks</t>
  </si>
  <si>
    <t>Autres revenus</t>
  </si>
  <si>
    <t>Prélèvements sur les fonds et financements spéciaux enregistrés sous Capitaux de tiers</t>
  </si>
  <si>
    <t>Prélèvements sur les fonds et financements spéciaux enregistrés sous Capital propre</t>
  </si>
  <si>
    <t>Revenus de transferts</t>
  </si>
  <si>
    <t>de cela 466</t>
  </si>
  <si>
    <t>Dissolution des subventions d'investissements portées au passif</t>
  </si>
  <si>
    <t>Revenus d'exploitation (sauf GN 49)</t>
  </si>
  <si>
    <t>Résultat provenant des aktivités d'exploitation</t>
  </si>
  <si>
    <t>Charge d'intérêt</t>
  </si>
  <si>
    <t>Pertes de change réalisées</t>
  </si>
  <si>
    <t>Frais d'approvisionnement en capitaux et frais administratifs</t>
  </si>
  <si>
    <t>Charges de transfert extraordinaires (flux de trésorérie)</t>
  </si>
  <si>
    <t>Réévaluations, immobilisations PF</t>
  </si>
  <si>
    <t>Différentes charges financières</t>
  </si>
  <si>
    <t>Revenus des intérêts</t>
  </si>
  <si>
    <t>Gains réalisés</t>
  </si>
  <si>
    <t>Revenus de participations PF</t>
  </si>
  <si>
    <t>Produit des immeubles du PF</t>
  </si>
  <si>
    <t>Réévaluations, immobilistaions PF</t>
  </si>
  <si>
    <t>Revenus financiers de prêts et de participations du PA</t>
  </si>
  <si>
    <t>Revenus financiers d'entrepirse publiques</t>
  </si>
  <si>
    <t>Produit des immeubles PA</t>
  </si>
  <si>
    <t>Revenus des immeubles loués</t>
  </si>
  <si>
    <t>autres Revenus financiers</t>
  </si>
  <si>
    <t>de cela 4490</t>
  </si>
  <si>
    <t>Réévaluations PA</t>
  </si>
  <si>
    <t>Résultat provenant de financements</t>
  </si>
  <si>
    <t>Résultat opérationnel</t>
  </si>
  <si>
    <t>Charges de personnel e.o.</t>
  </si>
  <si>
    <t>Charges de biens, services et charges d'exploitation e.o.</t>
  </si>
  <si>
    <t>Amortissements supplémentaires des immobilisations corporelles et incorporelles PA</t>
  </si>
  <si>
    <t>Charges financières extraordinaires (flux de trésorérie)</t>
  </si>
  <si>
    <t>Charges financières extraordinaires, réévaluations extraordinaires (comptable)</t>
  </si>
  <si>
    <t>Charges de transfert ex-traordinaires (flux de trésorérie)</t>
  </si>
  <si>
    <t>Amortissements supplémentaires des prêts, participations et subventions d’investissements</t>
  </si>
  <si>
    <t>Impôts directs extraordinaires, personnes physiques et morales</t>
  </si>
  <si>
    <t>Autres impôts directs extraordinaires; Impôts extraordinaires sur la propriété et sur les charges</t>
  </si>
  <si>
    <t>Revenus extraordinaires de patentes, concessions</t>
  </si>
  <si>
    <t>Contributions extraordinaires</t>
  </si>
  <si>
    <t>Revenus divers extraordinaires</t>
  </si>
  <si>
    <t>Revenus financiers extraordinaires</t>
  </si>
  <si>
    <t>Prélèvements extraordinaires sur les fonds et financements spéciaux</t>
  </si>
  <si>
    <t xml:space="preserve">Parts aux revenus extraordinaires </t>
  </si>
  <si>
    <t>Dissolution supplémentaire des subventions d’investissements portées au passif</t>
  </si>
  <si>
    <t>de cela 4895</t>
  </si>
  <si>
    <t>Prélèvements sur réserve liée au retraitement</t>
  </si>
  <si>
    <t>Résultat extraordinaire</t>
  </si>
  <si>
    <t>Résultat total, compte de résultats</t>
  </si>
  <si>
    <t>Comptes des investissements</t>
  </si>
  <si>
    <t>Immobilisations corporelles</t>
  </si>
  <si>
    <t>Investissements pour le compte de tiers</t>
  </si>
  <si>
    <t>Immobilisations incorporelles</t>
  </si>
  <si>
    <t>Prêts</t>
  </si>
  <si>
    <t>Participations et capital social</t>
  </si>
  <si>
    <t>Propres subventions d'investissement</t>
  </si>
  <si>
    <t>Subventions d'investissements à redistribuer</t>
  </si>
  <si>
    <t>Investissements extraordinaires pour les immobilisations corporelles</t>
  </si>
  <si>
    <t>Investissements extraordinaires pour les immobilisations incorporelles</t>
  </si>
  <si>
    <t>Investissements extraordinaires pour les prêts</t>
  </si>
  <si>
    <t>Investissements extraordinaires pour les participations et le capital social</t>
  </si>
  <si>
    <t xml:space="preserve">Subventions d'investissements extraordinaires </t>
  </si>
  <si>
    <t>Autres investissements extraordinaires</t>
  </si>
  <si>
    <t>Dépenses d'investissements total</t>
  </si>
  <si>
    <t>Transfert d'immobilisations corporelles dans le patrimoine financier</t>
  </si>
  <si>
    <t>Remboursements pour les investissements sur le compte des tiers</t>
  </si>
  <si>
    <t>Vente d'immobilisations incorporelles</t>
  </si>
  <si>
    <t>Subventions d'investissements acquises</t>
  </si>
  <si>
    <t>Remboursement de prêts</t>
  </si>
  <si>
    <t>Transfert de participations</t>
  </si>
  <si>
    <t>Remboursement de propres subventions d'investissement</t>
  </si>
  <si>
    <t xml:space="preserve">Recettes d'investissement extraordinaires pour les immobilisations corporelles, pour les immobilisations incorporelles et autres recettes d'investissement </t>
  </si>
  <si>
    <t>683 à 686</t>
  </si>
  <si>
    <t>Subventions d'investissements extraordinaires acquises; Remboursement extraordinaire de prêts; Transfert extraordinaire de participations; Remboursement extraordinaire de propres subventions d'investissement</t>
  </si>
  <si>
    <t>Recettes d'investissements total</t>
  </si>
  <si>
    <t>Investissement net sauf prêts et participations</t>
  </si>
  <si>
    <t>Patrimoine Financier</t>
  </si>
  <si>
    <t>Actif circulant (Actif financier à court terme)</t>
  </si>
  <si>
    <t>Disponibilités et place-ments à court terme; Créances</t>
  </si>
  <si>
    <t>Placements financiers à court terme</t>
  </si>
  <si>
    <t xml:space="preserve">Actifs de régularisation </t>
  </si>
  <si>
    <t>Marchandises, fournitures et travaux en cours</t>
  </si>
  <si>
    <t>Actif immobilisée</t>
  </si>
  <si>
    <t>Placements financiers</t>
  </si>
  <si>
    <t>Immobilisations corporelles PF</t>
  </si>
  <si>
    <t>Créances envers les financements spéciaux et fonds des capitaux de tiers</t>
  </si>
  <si>
    <t>Patrimoine administratif</t>
  </si>
  <si>
    <t>Immobilisations corporelles et incorporelles du PA</t>
  </si>
  <si>
    <t>Participations, capital social</t>
  </si>
  <si>
    <t>Subventions d'investissements</t>
  </si>
  <si>
    <t>Amortissements supplémentaires cumulés, immobilisations corporelles et  immobilisations incorporelles (négativ)</t>
  </si>
  <si>
    <t>Amortissements supplémentaires cumulés sur prêts</t>
  </si>
  <si>
    <t>Amortissements supplémentaires cumulés sur participations</t>
  </si>
  <si>
    <t>Amortissements supplémentaires cumulés, Subventions d'investissements</t>
  </si>
  <si>
    <t xml:space="preserve">Amortissements supplémentaires cumulés non attribués </t>
  </si>
  <si>
    <t>Actif</t>
  </si>
  <si>
    <t>Capitaux de tiers</t>
  </si>
  <si>
    <t>Capitaux de tiers à court terme</t>
  </si>
  <si>
    <t>Engagements courants</t>
  </si>
  <si>
    <t>Engagements financiers à court terme</t>
  </si>
  <si>
    <t>de cela 2016</t>
  </si>
  <si>
    <t>Instruments financiers dérivés</t>
  </si>
  <si>
    <t>Passifs de régularisation</t>
  </si>
  <si>
    <t>Provisions à court terme</t>
  </si>
  <si>
    <t>Capitaux de tiers à long terme</t>
  </si>
  <si>
    <t>Engagements financiers à long terme</t>
  </si>
  <si>
    <t>de cela 2068</t>
  </si>
  <si>
    <t>Subventions d'investissements inscrites au passif</t>
  </si>
  <si>
    <t>Provisions à long terme</t>
  </si>
  <si>
    <t>Engagements envers les financements spéciaux et des fonds des Capitaux de tiers</t>
  </si>
  <si>
    <t>Capital propre</t>
  </si>
  <si>
    <t>de cela   299</t>
  </si>
  <si>
    <t>Excédent du bilan (- Découvert du bilan)</t>
  </si>
  <si>
    <t>Passif</t>
  </si>
  <si>
    <t>INDICATEURS FINANCIERS                                                              1000 frs.</t>
  </si>
  <si>
    <t>MCH2-Tableau 18.23</t>
  </si>
  <si>
    <t>MCH2-Tableau 18.8</t>
  </si>
  <si>
    <t>Taux d'autofinancement</t>
  </si>
  <si>
    <t>MCH2-Tableau 18.2</t>
  </si>
  <si>
    <t>Degré d'autofinancement incl. emprunts et participations de la compte des investissements</t>
  </si>
  <si>
    <t>Degré d'autofinancement sauf emprunts et participations de la compte des investissements</t>
  </si>
  <si>
    <t>Invest. net - Autofinancement</t>
  </si>
  <si>
    <t>Financement incl. emprunts et participations de la compte des investissements</t>
  </si>
  <si>
    <t>Invest. net sauf empr. &amp;particip.- Autofinanc.</t>
  </si>
  <si>
    <t>Financement sauf emprunts et participations de la compte des investissements</t>
  </si>
  <si>
    <t>MCH2-Tableau 18.10</t>
  </si>
  <si>
    <t>Dettes brutes</t>
  </si>
  <si>
    <t>MCH2-Tableau 18.4</t>
  </si>
  <si>
    <t>Dettes brutes par rapport aux revenus</t>
  </si>
  <si>
    <t>MCH2-Tableau 18.20</t>
  </si>
  <si>
    <t>Dette nette I</t>
  </si>
  <si>
    <t>MCH2-Tableau 18.21</t>
  </si>
  <si>
    <t>Dette nette II</t>
  </si>
  <si>
    <t>MCH2-Tableau 18.7</t>
  </si>
  <si>
    <t>Dette nette 1 en francs et par habitant</t>
  </si>
  <si>
    <t>Dette nette 2 en francs et par habitant</t>
  </si>
  <si>
    <t>MCH2-Tableau 18.1</t>
  </si>
  <si>
    <t>Taux d'endettement net</t>
  </si>
  <si>
    <t>GN 29</t>
  </si>
  <si>
    <t>capital propre</t>
  </si>
  <si>
    <t>GN 299  en % de charge courant</t>
  </si>
  <si>
    <t>Degré de couverture du capital propre</t>
  </si>
  <si>
    <t>MCH2-Tableau 18.5</t>
  </si>
  <si>
    <t>Part du service de la dette</t>
  </si>
  <si>
    <t>GN 44 - GN 34</t>
  </si>
  <si>
    <t>Resultat provenant de financement</t>
  </si>
  <si>
    <t>Revenus PF ein % du GN 10</t>
  </si>
  <si>
    <t>Rendements bruts du patrimoine financier</t>
  </si>
  <si>
    <t>MCH2-Tableau 18.22</t>
  </si>
  <si>
    <t>Charges d'intérêts nets</t>
  </si>
  <si>
    <t>MCH2-Tableau 18.3</t>
  </si>
  <si>
    <t>Part des charges d'intérêts</t>
  </si>
  <si>
    <t>MCH2-Tableau 18.9</t>
  </si>
  <si>
    <t>Investissements bruts</t>
  </si>
  <si>
    <t>MCH2-Tableau 18.13</t>
  </si>
  <si>
    <t>Resettes d'investissement</t>
  </si>
  <si>
    <t>Proportion des investissements</t>
  </si>
  <si>
    <t>STATISTIC</t>
  </si>
  <si>
    <t>MCH2-Tableau 18.24</t>
  </si>
  <si>
    <t>Population résident permanente à la fin de l'année</t>
  </si>
  <si>
    <t>Chiffres-clés</t>
  </si>
  <si>
    <t>MCH2-Tableau 18.18</t>
  </si>
  <si>
    <t>Revenus courants</t>
  </si>
  <si>
    <t>MCH2-Tableau 18.16</t>
  </si>
  <si>
    <t>Charges courantes</t>
  </si>
  <si>
    <t>Charges totales</t>
  </si>
  <si>
    <t>MCH2-Tableau 18.14</t>
  </si>
  <si>
    <t>Service de la dette</t>
  </si>
  <si>
    <r>
      <t>Compte financière</t>
    </r>
    <r>
      <rPr>
        <sz val="10"/>
        <rFont val="Arial Narrow"/>
        <family val="2"/>
      </rPr>
      <t xml:space="preserve">
MCH2-Tableau 18.17</t>
    </r>
  </si>
  <si>
    <t>Recettes courantes</t>
  </si>
  <si>
    <t>MCH2-Tableau 18.12</t>
  </si>
  <si>
    <t>Recettes totales</t>
  </si>
  <si>
    <t>MCH2-Tableau 18.15</t>
  </si>
  <si>
    <t>MCH2-Tableau 18.11</t>
  </si>
  <si>
    <t>Dépenses totales</t>
  </si>
  <si>
    <t>Résultat compte financière courante</t>
  </si>
  <si>
    <t>Résultat compte financière totales</t>
  </si>
  <si>
    <t>GR</t>
  </si>
  <si>
    <t>GL</t>
  </si>
  <si>
    <t>decela 2016</t>
  </si>
  <si>
    <t>FR</t>
  </si>
  <si>
    <t>en 1000 frs.</t>
  </si>
  <si>
    <t>Revenus d'exploitation divers</t>
  </si>
  <si>
    <t>Charges pour biensfonds, patrimoine financier</t>
  </si>
  <si>
    <t>BILAN</t>
  </si>
  <si>
    <t>BS</t>
  </si>
  <si>
    <t>Basel Stadt</t>
  </si>
  <si>
    <t>Bemerkungen:</t>
  </si>
  <si>
    <t>Budget 2013: Gemäss Bevölkerungsprognose Basel-Stadt 2012, Mittleres Szenario, Statistisches Amt des Kantons Basel-Stadt</t>
  </si>
  <si>
    <t>BL</t>
  </si>
  <si>
    <t>Basel Land</t>
  </si>
  <si>
    <t>AR</t>
  </si>
  <si>
    <t>Appenzell Ausserrhoden</t>
  </si>
  <si>
    <t>HRM2-Tabelle 18.6</t>
  </si>
  <si>
    <t>MCH2-Tableau 18.6</t>
  </si>
  <si>
    <t>Dépenses courantes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</si>
</sst>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 * #,##0.00_ ;_ * \-#,##0.00_ ;_ * &quot;-&quot;??_ ;_ @_ "/>
    <numFmt numFmtId="170" formatCode="General_)"/>
    <numFmt numFmtId="171" formatCode="0.0%"/>
    <numFmt numFmtId="172" formatCode="#,##0;\-\ #,##0"/>
    <numFmt numFmtId="173" formatCode="0.0%;[Red]\-0.0%"/>
    <numFmt numFmtId="174" formatCode="#"/>
    <numFmt numFmtId="175" formatCode="#,##0_ ;[Red]\-#,##0\ "/>
    <numFmt numFmtId="176" formatCode="_ * #,##0_ ;_ * \-#,##0_ ;_ * &quot;-&quot;??_ ;_ @_ "/>
    <numFmt numFmtId="177" formatCode="_ * #,##0_ ;[Red]_ * \-#,##0_ ;_ * &quot;-&quot;??_ ;_ @_ "/>
    <numFmt numFmtId="178" formatCode="0.0%;\ \-0.0%;\ * &quot;-&quot;??_;"/>
    <numFmt numFmtId="179" formatCode="#\ ###\ ##0"/>
  </numFmts>
  <fonts count="46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35">
    <xf numFmtId="170" fontId="0" fillId="0" borderId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4" fillId="12" borderId="1" applyNumberFormat="0" applyAlignment="0" applyProtection="0"/>
    <xf numFmtId="0" fontId="25" fillId="12" borderId="2" applyNumberFormat="0" applyAlignment="0" applyProtection="0"/>
    <xf numFmtId="40" fontId="1" fillId="0" borderId="0" applyFont="0" applyFill="0" applyBorder="0" applyAlignment="0" applyProtection="0"/>
    <xf numFmtId="0" fontId="26" fillId="3" borderId="2" applyNumberFormat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/>
    <xf numFmtId="43" fontId="2" fillId="0" borderId="0" applyFont="0" applyFill="0" applyBorder="0" applyAlignment="0" applyProtection="0"/>
    <xf numFmtId="0" fontId="30" fillId="4" borderId="0" applyNumberFormat="0" applyBorder="0" applyAlignment="0" applyProtection="0"/>
    <xf numFmtId="0" fontId="2" fillId="2" borderId="4" applyNumberFormat="0" applyFon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1" fillId="5" borderId="0" applyNumberFormat="0" applyBorder="0" applyAlignment="0" applyProtection="0"/>
    <xf numFmtId="0" fontId="17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179" fontId="19" fillId="0" borderId="5" applyBorder="0" applyAlignment="0">
      <alignment horizontal="center"/>
    </xf>
    <xf numFmtId="0" fontId="33" fillId="0" borderId="6" applyNumberFormat="0" applyFill="0" applyAlignment="0" applyProtection="0"/>
    <xf numFmtId="0" fontId="34" fillId="0" borderId="7" applyNumberFormat="0" applyFill="0" applyAlignment="0" applyProtection="0"/>
    <xf numFmtId="0" fontId="35" fillId="0" borderId="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9" fillId="14" borderId="10" applyNumberFormat="0" applyAlignment="0" applyProtection="0"/>
  </cellStyleXfs>
  <cellXfs count="616">
    <xf numFmtId="170" fontId="0" fillId="0" borderId="0" xfId="0"/>
    <xf numFmtId="170" fontId="0" fillId="0" borderId="0" xfId="0" applyAlignment="1">
      <alignment vertical="center"/>
    </xf>
    <xf numFmtId="170" fontId="2" fillId="0" borderId="0" xfId="0" applyFont="1" applyAlignment="1" applyProtection="1">
      <alignment horizontal="left" vertical="center"/>
    </xf>
    <xf numFmtId="170" fontId="2" fillId="0" borderId="0" xfId="0" applyFont="1" applyAlignment="1" applyProtection="1">
      <alignment horizontal="right" vertical="center"/>
    </xf>
    <xf numFmtId="170" fontId="2" fillId="0" borderId="0" xfId="0" applyFont="1" applyAlignment="1">
      <alignment vertical="center"/>
    </xf>
    <xf numFmtId="170" fontId="2" fillId="0" borderId="11" xfId="0" applyFont="1" applyBorder="1" applyAlignment="1" applyProtection="1">
      <alignment horizontal="left" vertical="center"/>
    </xf>
    <xf numFmtId="170" fontId="3" fillId="0" borderId="12" xfId="0" applyFont="1" applyBorder="1" applyAlignment="1" applyProtection="1">
      <alignment horizontal="left" vertical="center"/>
    </xf>
    <xf numFmtId="170" fontId="2" fillId="0" borderId="12" xfId="0" applyFont="1" applyBorder="1" applyAlignment="1" applyProtection="1">
      <alignment horizontal="right" vertical="center"/>
    </xf>
    <xf numFmtId="170" fontId="2" fillId="0" borderId="13" xfId="0" applyFont="1" applyBorder="1" applyAlignment="1">
      <alignment vertical="center"/>
    </xf>
    <xf numFmtId="170" fontId="2" fillId="0" borderId="12" xfId="0" applyFont="1" applyBorder="1" applyAlignment="1" applyProtection="1">
      <alignment horizontal="left" vertical="center"/>
    </xf>
    <xf numFmtId="172" fontId="2" fillId="0" borderId="12" xfId="0" applyNumberFormat="1" applyFont="1" applyBorder="1" applyAlignment="1" applyProtection="1">
      <alignment vertical="center"/>
    </xf>
    <xf numFmtId="171" fontId="2" fillId="0" borderId="12" xfId="0" applyNumberFormat="1" applyFont="1" applyBorder="1" applyAlignment="1" applyProtection="1">
      <alignment vertical="center"/>
    </xf>
    <xf numFmtId="172" fontId="2" fillId="0" borderId="14" xfId="0" applyNumberFormat="1" applyFont="1" applyBorder="1" applyAlignment="1" applyProtection="1">
      <alignment vertical="center"/>
    </xf>
    <xf numFmtId="170" fontId="2" fillId="0" borderId="13" xfId="0" applyFont="1" applyBorder="1" applyAlignment="1" applyProtection="1">
      <alignment horizontal="left" vertical="center"/>
    </xf>
    <xf numFmtId="170" fontId="2" fillId="0" borderId="0" xfId="0" applyFont="1" applyBorder="1" applyAlignment="1" applyProtection="1">
      <alignment horizontal="left" vertical="center"/>
    </xf>
    <xf numFmtId="172" fontId="2" fillId="0" borderId="0" xfId="0" applyNumberFormat="1" applyFont="1" applyBorder="1" applyAlignment="1" applyProtection="1">
      <alignment vertical="center"/>
    </xf>
    <xf numFmtId="171" fontId="2" fillId="0" borderId="0" xfId="0" applyNumberFormat="1" applyFont="1" applyBorder="1" applyAlignment="1" applyProtection="1">
      <alignment vertical="center"/>
    </xf>
    <xf numFmtId="172" fontId="2" fillId="0" borderId="15" xfId="0" applyNumberFormat="1" applyFont="1" applyBorder="1" applyAlignment="1" applyProtection="1">
      <alignment vertical="center"/>
    </xf>
    <xf numFmtId="170" fontId="2" fillId="0" borderId="16" xfId="0" applyFont="1" applyBorder="1" applyAlignment="1" applyProtection="1">
      <alignment horizontal="left" vertical="center"/>
    </xf>
    <xf numFmtId="170" fontId="2" fillId="0" borderId="17" xfId="0" applyFont="1" applyBorder="1" applyAlignment="1" applyProtection="1">
      <alignment horizontal="left" vertical="center"/>
    </xf>
    <xf numFmtId="172" fontId="2" fillId="0" borderId="17" xfId="0" applyNumberFormat="1" applyFont="1" applyBorder="1" applyAlignment="1" applyProtection="1">
      <alignment vertical="center"/>
    </xf>
    <xf numFmtId="172" fontId="2" fillId="0" borderId="18" xfId="0" applyNumberFormat="1" applyFont="1" applyBorder="1" applyAlignment="1" applyProtection="1">
      <alignment vertical="center"/>
    </xf>
    <xf numFmtId="170" fontId="3" fillId="0" borderId="19" xfId="0" applyFont="1" applyBorder="1" applyAlignment="1" applyProtection="1">
      <alignment horizontal="left" vertical="center"/>
    </xf>
    <xf numFmtId="170" fontId="3" fillId="0" borderId="20" xfId="0" applyFont="1" applyBorder="1" applyAlignment="1" applyProtection="1">
      <alignment horizontal="left" vertical="center"/>
    </xf>
    <xf numFmtId="172" fontId="3" fillId="0" borderId="20" xfId="0" applyNumberFormat="1" applyFont="1" applyBorder="1" applyAlignment="1" applyProtection="1">
      <alignment vertical="center"/>
    </xf>
    <xf numFmtId="171" fontId="2" fillId="0" borderId="20" xfId="0" applyNumberFormat="1" applyFont="1" applyBorder="1" applyAlignment="1" applyProtection="1">
      <alignment vertical="center"/>
    </xf>
    <xf numFmtId="172" fontId="3" fillId="0" borderId="21" xfId="0" applyNumberFormat="1" applyFont="1" applyBorder="1" applyAlignment="1" applyProtection="1">
      <alignment vertical="center"/>
    </xf>
    <xf numFmtId="170" fontId="2" fillId="0" borderId="11" xfId="0" applyFont="1" applyBorder="1" applyAlignment="1">
      <alignment vertical="center"/>
    </xf>
    <xf numFmtId="170" fontId="2" fillId="0" borderId="12" xfId="0" applyFont="1" applyBorder="1" applyAlignment="1">
      <alignment vertical="center"/>
    </xf>
    <xf numFmtId="170" fontId="2" fillId="0" borderId="0" xfId="0" applyFont="1" applyBorder="1" applyAlignment="1">
      <alignment vertical="center"/>
    </xf>
    <xf numFmtId="170" fontId="2" fillId="0" borderId="16" xfId="0" applyFont="1" applyBorder="1" applyAlignment="1">
      <alignment vertical="center"/>
    </xf>
    <xf numFmtId="170" fontId="2" fillId="0" borderId="17" xfId="0" applyFont="1" applyBorder="1" applyAlignment="1">
      <alignment vertical="center"/>
    </xf>
    <xf numFmtId="170" fontId="3" fillId="15" borderId="0" xfId="0" applyFont="1" applyFill="1" applyAlignment="1">
      <alignment vertical="center"/>
    </xf>
    <xf numFmtId="172" fontId="3" fillId="15" borderId="0" xfId="0" applyNumberFormat="1" applyFont="1" applyFill="1" applyAlignment="1" applyProtection="1">
      <alignment vertical="center"/>
    </xf>
    <xf numFmtId="172" fontId="3" fillId="15" borderId="0" xfId="0" applyNumberFormat="1" applyFont="1" applyFill="1" applyBorder="1" applyAlignment="1" applyProtection="1">
      <alignment vertical="center"/>
    </xf>
    <xf numFmtId="172" fontId="3" fillId="15" borderId="15" xfId="0" applyNumberFormat="1" applyFont="1" applyFill="1" applyBorder="1" applyAlignment="1" applyProtection="1">
      <alignment vertical="center"/>
    </xf>
    <xf numFmtId="170" fontId="3" fillId="15" borderId="16" xfId="0" applyFont="1" applyFill="1" applyBorder="1" applyAlignment="1">
      <alignment vertical="center"/>
    </xf>
    <xf numFmtId="170" fontId="3" fillId="15" borderId="17" xfId="0" applyFont="1" applyFill="1" applyBorder="1" applyAlignment="1">
      <alignment vertical="center"/>
    </xf>
    <xf numFmtId="172" fontId="3" fillId="15" borderId="17" xfId="0" applyNumberFormat="1" applyFont="1" applyFill="1" applyBorder="1" applyAlignment="1" applyProtection="1">
      <alignment vertical="center"/>
    </xf>
    <xf numFmtId="171" fontId="3" fillId="15" borderId="17" xfId="0" applyNumberFormat="1" applyFont="1" applyFill="1" applyBorder="1" applyAlignment="1" applyProtection="1">
      <alignment vertical="center"/>
    </xf>
    <xf numFmtId="172" fontId="3" fillId="15" borderId="18" xfId="0" applyNumberFormat="1" applyFont="1" applyFill="1" applyBorder="1" applyAlignment="1" applyProtection="1">
      <alignment vertical="center"/>
    </xf>
    <xf numFmtId="171" fontId="2" fillId="0" borderId="17" xfId="0" applyNumberFormat="1" applyFont="1" applyBorder="1" applyAlignment="1">
      <alignment vertical="center"/>
    </xf>
    <xf numFmtId="171" fontId="2" fillId="0" borderId="18" xfId="0" applyNumberFormat="1" applyFont="1" applyBorder="1" applyAlignment="1">
      <alignment vertical="center"/>
    </xf>
    <xf numFmtId="171" fontId="2" fillId="0" borderId="0" xfId="0" applyNumberFormat="1" applyFont="1" applyBorder="1" applyAlignment="1" applyProtection="1">
      <alignment horizontal="right" vertical="center"/>
    </xf>
    <xf numFmtId="170" fontId="4" fillId="0" borderId="0" xfId="0" applyFont="1" applyBorder="1" applyAlignment="1">
      <alignment horizontal="right" vertical="center"/>
    </xf>
    <xf numFmtId="170" fontId="4" fillId="0" borderId="17" xfId="0" applyFont="1" applyBorder="1" applyAlignment="1">
      <alignment horizontal="right" vertical="center"/>
    </xf>
    <xf numFmtId="37" fontId="5" fillId="0" borderId="0" xfId="0" applyNumberFormat="1" applyFont="1" applyBorder="1" applyAlignment="1">
      <alignment vertical="center"/>
    </xf>
    <xf numFmtId="170" fontId="5" fillId="0" borderId="0" xfId="0" applyFont="1" applyAlignment="1">
      <alignment vertical="center"/>
    </xf>
    <xf numFmtId="170" fontId="6" fillId="0" borderId="0" xfId="0" applyFont="1" applyAlignment="1">
      <alignment vertical="center"/>
    </xf>
    <xf numFmtId="170" fontId="2" fillId="0" borderId="0" xfId="0" applyFont="1" applyBorder="1" applyAlignment="1">
      <alignment horizontal="right" vertical="center"/>
    </xf>
    <xf numFmtId="170" fontId="3" fillId="15" borderId="13" xfId="0" quotePrefix="1" applyFont="1" applyFill="1" applyBorder="1" applyAlignment="1">
      <alignment vertical="center"/>
    </xf>
    <xf numFmtId="170" fontId="3" fillId="0" borderId="19" xfId="0" applyFont="1" applyBorder="1" applyAlignment="1">
      <alignment vertical="center"/>
    </xf>
    <xf numFmtId="170" fontId="3" fillId="0" borderId="20" xfId="0" applyFont="1" applyBorder="1" applyAlignment="1">
      <alignment vertical="center"/>
    </xf>
    <xf numFmtId="171" fontId="3" fillId="0" borderId="12" xfId="0" applyNumberFormat="1" applyFont="1" applyBorder="1" applyAlignment="1" applyProtection="1">
      <alignment vertical="center"/>
    </xf>
    <xf numFmtId="171" fontId="3" fillId="0" borderId="20" xfId="0" applyNumberFormat="1" applyFont="1" applyBorder="1" applyAlignment="1" applyProtection="1">
      <alignment vertical="center"/>
    </xf>
    <xf numFmtId="170" fontId="0" fillId="0" borderId="0" xfId="0" applyBorder="1"/>
    <xf numFmtId="170" fontId="0" fillId="0" borderId="0" xfId="0" applyAlignment="1">
      <alignment horizontal="right" vertical="center"/>
    </xf>
    <xf numFmtId="170" fontId="3" fillId="0" borderId="12" xfId="0" applyFont="1" applyBorder="1" applyAlignment="1" applyProtection="1">
      <alignment horizontal="right" vertical="center"/>
    </xf>
    <xf numFmtId="170" fontId="3" fillId="0" borderId="14" xfId="0" applyFont="1" applyBorder="1" applyAlignment="1" applyProtection="1">
      <alignment horizontal="right" vertical="center"/>
    </xf>
    <xf numFmtId="170" fontId="2" fillId="0" borderId="13" xfId="0" quotePrefix="1" applyFont="1" applyBorder="1" applyAlignment="1">
      <alignment vertical="center"/>
    </xf>
    <xf numFmtId="170" fontId="4" fillId="0" borderId="17" xfId="0" quotePrefix="1" applyFont="1" applyBorder="1" applyAlignment="1">
      <alignment horizontal="right" vertical="center"/>
    </xf>
    <xf numFmtId="170" fontId="4" fillId="0" borderId="12" xfId="0" applyFont="1" applyBorder="1" applyAlignment="1">
      <alignment horizontal="centerContinuous" vertical="center"/>
    </xf>
    <xf numFmtId="170" fontId="5" fillId="0" borderId="12" xfId="0" applyFont="1" applyBorder="1" applyAlignment="1">
      <alignment horizontal="centerContinuous" vertical="center"/>
    </xf>
    <xf numFmtId="37" fontId="5" fillId="0" borderId="12" xfId="0" applyNumberFormat="1" applyFont="1" applyBorder="1" applyAlignment="1">
      <alignment vertical="center"/>
    </xf>
    <xf numFmtId="171" fontId="5" fillId="0" borderId="0" xfId="0" quotePrefix="1" applyNumberFormat="1" applyFont="1" applyBorder="1" applyAlignment="1">
      <alignment horizontal="right" vertical="center"/>
    </xf>
    <xf numFmtId="38" fontId="2" fillId="0" borderId="0" xfId="9" applyNumberFormat="1" applyFont="1" applyAlignment="1">
      <alignment horizontal="right" vertical="center"/>
    </xf>
    <xf numFmtId="171" fontId="2" fillId="0" borderId="17" xfId="0" applyNumberFormat="1" applyFont="1" applyBorder="1" applyAlignment="1">
      <alignment horizontal="right" vertical="center"/>
    </xf>
    <xf numFmtId="171" fontId="5" fillId="0" borderId="0" xfId="0" applyNumberFormat="1" applyFont="1" applyBorder="1" applyAlignment="1">
      <alignment horizontal="right" vertical="center"/>
    </xf>
    <xf numFmtId="170" fontId="12" fillId="0" borderId="0" xfId="0" applyFont="1" applyAlignment="1" applyProtection="1">
      <alignment horizontal="right" vertical="center"/>
    </xf>
    <xf numFmtId="170" fontId="12" fillId="0" borderId="0" xfId="0" applyFont="1" applyBorder="1" applyAlignment="1" applyProtection="1">
      <alignment horizontal="right" vertical="center"/>
    </xf>
    <xf numFmtId="170" fontId="12" fillId="0" borderId="15" xfId="0" applyFont="1" applyBorder="1" applyAlignment="1" applyProtection="1">
      <alignment horizontal="right" vertical="center"/>
    </xf>
    <xf numFmtId="170" fontId="0" fillId="0" borderId="0" xfId="0" applyAlignment="1">
      <alignment horizontal="right"/>
    </xf>
    <xf numFmtId="170" fontId="11" fillId="0" borderId="0" xfId="0" applyFont="1" applyAlignment="1">
      <alignment horizontal="right"/>
    </xf>
    <xf numFmtId="170" fontId="11" fillId="0" borderId="0" xfId="0" applyFont="1" applyBorder="1" applyAlignment="1">
      <alignment horizontal="right"/>
    </xf>
    <xf numFmtId="170" fontId="11" fillId="0" borderId="0" xfId="0" applyFont="1" applyBorder="1"/>
    <xf numFmtId="170" fontId="11" fillId="0" borderId="0" xfId="0" applyFont="1"/>
    <xf numFmtId="38" fontId="12" fillId="0" borderId="22" xfId="0" applyNumberFormat="1" applyFont="1" applyBorder="1" applyAlignment="1">
      <alignment horizontal="right" vertical="center"/>
    </xf>
    <xf numFmtId="170" fontId="0" fillId="0" borderId="0" xfId="0" applyBorder="1" applyAlignment="1">
      <alignment horizontal="right"/>
    </xf>
    <xf numFmtId="170" fontId="14" fillId="0" borderId="23" xfId="0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38" fontId="12" fillId="0" borderId="24" xfId="0" applyNumberFormat="1" applyFont="1" applyBorder="1" applyAlignment="1">
      <alignment horizontal="right" vertical="center"/>
    </xf>
    <xf numFmtId="170" fontId="5" fillId="0" borderId="0" xfId="0" applyFont="1" applyBorder="1" applyAlignment="1">
      <alignment horizontal="right" vertical="center"/>
    </xf>
    <xf numFmtId="170" fontId="7" fillId="0" borderId="0" xfId="0" applyFont="1" applyBorder="1" applyAlignment="1">
      <alignment horizontal="right" vertical="center"/>
    </xf>
    <xf numFmtId="170" fontId="0" fillId="0" borderId="0" xfId="0" applyBorder="1" applyAlignment="1">
      <alignment horizontal="right" vertical="center"/>
    </xf>
    <xf numFmtId="170" fontId="0" fillId="0" borderId="0" xfId="0" applyBorder="1" applyAlignment="1">
      <alignment horizontal="center" vertical="center"/>
    </xf>
    <xf numFmtId="170" fontId="0" fillId="0" borderId="0" xfId="0" applyAlignment="1">
      <alignment horizontal="center" vertical="center"/>
    </xf>
    <xf numFmtId="38" fontId="5" fillId="0" borderId="0" xfId="0" applyNumberFormat="1" applyFont="1" applyBorder="1" applyAlignment="1">
      <alignment horizontal="right" vertical="center"/>
    </xf>
    <xf numFmtId="38" fontId="5" fillId="0" borderId="0" xfId="9" applyNumberFormat="1" applyFont="1" applyBorder="1" applyAlignment="1">
      <alignment horizontal="right" vertical="center"/>
    </xf>
    <xf numFmtId="37" fontId="5" fillId="0" borderId="0" xfId="0" applyNumberFormat="1" applyFont="1" applyBorder="1" applyAlignment="1">
      <alignment horizontal="right" vertical="center"/>
    </xf>
    <xf numFmtId="170" fontId="9" fillId="0" borderId="0" xfId="0" applyFont="1" applyBorder="1" applyAlignment="1">
      <alignment horizontal="right" vertical="center"/>
    </xf>
    <xf numFmtId="170" fontId="0" fillId="0" borderId="0" xfId="0" applyAlignment="1">
      <alignment horizontal="left"/>
    </xf>
    <xf numFmtId="38" fontId="5" fillId="0" borderId="0" xfId="0" applyNumberFormat="1" applyFont="1" applyAlignment="1">
      <alignment horizontal="right" vertical="center"/>
    </xf>
    <xf numFmtId="38" fontId="2" fillId="0" borderId="0" xfId="0" applyNumberFormat="1" applyFont="1" applyAlignment="1">
      <alignment horizontal="right" vertical="center"/>
    </xf>
    <xf numFmtId="170" fontId="2" fillId="0" borderId="0" xfId="0" applyFont="1" applyAlignment="1">
      <alignment horizontal="left" vertical="center"/>
    </xf>
    <xf numFmtId="38" fontId="0" fillId="0" borderId="0" xfId="0" applyNumberFormat="1" applyAlignment="1">
      <alignment horizontal="right"/>
    </xf>
    <xf numFmtId="38" fontId="11" fillId="0" borderId="0" xfId="0" applyNumberFormat="1" applyFont="1" applyBorder="1" applyAlignment="1">
      <alignment horizontal="right"/>
    </xf>
    <xf numFmtId="38" fontId="9" fillId="0" borderId="0" xfId="0" applyNumberFormat="1" applyFont="1" applyBorder="1" applyAlignment="1">
      <alignment horizontal="right" vertical="center"/>
    </xf>
    <xf numFmtId="38" fontId="5" fillId="0" borderId="0" xfId="9" applyNumberFormat="1" applyFont="1" applyAlignment="1">
      <alignment horizontal="right" vertical="center"/>
    </xf>
    <xf numFmtId="38" fontId="0" fillId="0" borderId="0" xfId="0" applyNumberFormat="1" applyBorder="1" applyAlignment="1">
      <alignment horizontal="right"/>
    </xf>
    <xf numFmtId="38" fontId="2" fillId="0" borderId="0" xfId="0" applyNumberFormat="1" applyFont="1" applyBorder="1" applyAlignment="1">
      <alignment horizontal="right" vertical="center"/>
    </xf>
    <xf numFmtId="38" fontId="2" fillId="0" borderId="0" xfId="9" applyNumberFormat="1" applyFont="1" applyAlignment="1">
      <alignment horizontal="right"/>
    </xf>
    <xf numFmtId="38" fontId="11" fillId="0" borderId="0" xfId="0" applyNumberFormat="1" applyFont="1" applyAlignment="1">
      <alignment horizontal="right" vertical="center"/>
    </xf>
    <xf numFmtId="38" fontId="11" fillId="0" borderId="0" xfId="0" applyNumberFormat="1" applyFont="1" applyAlignment="1">
      <alignment horizontal="right"/>
    </xf>
    <xf numFmtId="170" fontId="5" fillId="0" borderId="25" xfId="0" applyFont="1" applyBorder="1" applyAlignment="1">
      <alignment horizontal="left" vertical="center"/>
    </xf>
    <xf numFmtId="38" fontId="5" fillId="0" borderId="26" xfId="0" applyNumberFormat="1" applyFont="1" applyBorder="1" applyAlignment="1">
      <alignment horizontal="right" vertical="center"/>
    </xf>
    <xf numFmtId="170" fontId="9" fillId="0" borderId="27" xfId="0" applyFont="1" applyBorder="1" applyAlignment="1">
      <alignment horizontal="left" vertical="center"/>
    </xf>
    <xf numFmtId="38" fontId="5" fillId="0" borderId="28" xfId="0" applyNumberFormat="1" applyFont="1" applyBorder="1" applyAlignment="1">
      <alignment horizontal="right" vertical="center"/>
    </xf>
    <xf numFmtId="38" fontId="7" fillId="0" borderId="29" xfId="0" applyNumberFormat="1" applyFont="1" applyBorder="1" applyAlignment="1">
      <alignment horizontal="right" vertical="center"/>
    </xf>
    <xf numFmtId="170" fontId="5" fillId="0" borderId="30" xfId="0" applyFont="1" applyBorder="1" applyAlignment="1">
      <alignment horizontal="left" vertical="center"/>
    </xf>
    <xf numFmtId="38" fontId="5" fillId="0" borderId="31" xfId="0" applyNumberFormat="1" applyFont="1" applyBorder="1" applyAlignment="1">
      <alignment horizontal="right" vertical="center"/>
    </xf>
    <xf numFmtId="38" fontId="5" fillId="0" borderId="31" xfId="9" applyNumberFormat="1" applyFont="1" applyBorder="1" applyAlignment="1">
      <alignment horizontal="right" vertical="center"/>
    </xf>
    <xf numFmtId="38" fontId="11" fillId="0" borderId="32" xfId="0" applyNumberFormat="1" applyFont="1" applyBorder="1" applyAlignment="1">
      <alignment horizontal="right" vertical="center"/>
    </xf>
    <xf numFmtId="38" fontId="5" fillId="0" borderId="28" xfId="9" applyNumberFormat="1" applyFont="1" applyBorder="1" applyAlignment="1">
      <alignment horizontal="right" vertical="center"/>
    </xf>
    <xf numFmtId="38" fontId="8" fillId="0" borderId="28" xfId="0" quotePrefix="1" applyNumberFormat="1" applyFont="1" applyBorder="1" applyAlignment="1">
      <alignment horizontal="left" vertical="center"/>
    </xf>
    <xf numFmtId="170" fontId="8" fillId="0" borderId="27" xfId="0" quotePrefix="1" applyFont="1" applyBorder="1" applyAlignment="1">
      <alignment horizontal="left" vertical="center"/>
    </xf>
    <xf numFmtId="170" fontId="10" fillId="0" borderId="15" xfId="0" applyFont="1" applyBorder="1" applyAlignment="1">
      <alignment horizontal="right" vertical="center"/>
    </xf>
    <xf numFmtId="0" fontId="12" fillId="0" borderId="0" xfId="0" applyNumberFormat="1" applyFont="1" applyBorder="1" applyAlignment="1">
      <alignment horizontal="right" vertical="center"/>
    </xf>
    <xf numFmtId="38" fontId="5" fillId="0" borderId="33" xfId="0" quotePrefix="1" applyNumberFormat="1" applyFont="1" applyBorder="1" applyAlignment="1">
      <alignment horizontal="right" vertical="center"/>
    </xf>
    <xf numFmtId="38" fontId="5" fillId="0" borderId="33" xfId="0" applyNumberFormat="1" applyFont="1" applyBorder="1" applyAlignment="1">
      <alignment horizontal="right" vertical="center"/>
    </xf>
    <xf numFmtId="38" fontId="11" fillId="0" borderId="34" xfId="0" applyNumberFormat="1" applyFont="1" applyBorder="1" applyAlignment="1">
      <alignment horizontal="right" vertical="center"/>
    </xf>
    <xf numFmtId="38" fontId="11" fillId="0" borderId="35" xfId="0" applyNumberFormat="1" applyFont="1" applyBorder="1" applyAlignment="1">
      <alignment horizontal="right" vertical="center"/>
    </xf>
    <xf numFmtId="38" fontId="11" fillId="0" borderId="36" xfId="0" applyNumberFormat="1" applyFont="1" applyBorder="1" applyAlignment="1">
      <alignment horizontal="right" vertical="center"/>
    </xf>
    <xf numFmtId="173" fontId="5" fillId="0" borderId="37" xfId="0" applyNumberFormat="1" applyFont="1" applyBorder="1" applyAlignment="1">
      <alignment horizontal="right" vertical="center"/>
    </xf>
    <xf numFmtId="173" fontId="5" fillId="0" borderId="26" xfId="0" applyNumberFormat="1" applyFont="1" applyBorder="1" applyAlignment="1">
      <alignment horizontal="right" vertical="center"/>
    </xf>
    <xf numFmtId="173" fontId="5" fillId="0" borderId="26" xfId="0" quotePrefix="1" applyNumberFormat="1" applyFont="1" applyBorder="1" applyAlignment="1">
      <alignment horizontal="right" vertical="center"/>
    </xf>
    <xf numFmtId="170" fontId="5" fillId="0" borderId="38" xfId="0" applyFont="1" applyBorder="1" applyAlignment="1">
      <alignment horizontal="left" vertical="center"/>
    </xf>
    <xf numFmtId="38" fontId="15" fillId="0" borderId="0" xfId="0" applyNumberFormat="1" applyFont="1" applyBorder="1" applyAlignment="1">
      <alignment horizontal="right" vertical="center"/>
    </xf>
    <xf numFmtId="0" fontId="12" fillId="0" borderId="17" xfId="0" applyNumberFormat="1" applyFont="1" applyBorder="1" applyAlignment="1">
      <alignment horizontal="right" vertical="center"/>
    </xf>
    <xf numFmtId="38" fontId="12" fillId="0" borderId="39" xfId="0" applyNumberFormat="1" applyFont="1" applyBorder="1" applyAlignment="1">
      <alignment horizontal="right" vertical="center"/>
    </xf>
    <xf numFmtId="171" fontId="2" fillId="0" borderId="17" xfId="0" applyNumberFormat="1" applyFont="1" applyBorder="1" applyAlignment="1" applyProtection="1">
      <alignment vertical="center"/>
    </xf>
    <xf numFmtId="38" fontId="8" fillId="0" borderId="20" xfId="0" applyNumberFormat="1" applyFont="1" applyBorder="1" applyAlignment="1">
      <alignment horizontal="center" vertical="center" wrapText="1"/>
    </xf>
    <xf numFmtId="174" fontId="2" fillId="0" borderId="13" xfId="0" applyNumberFormat="1" applyFont="1" applyBorder="1" applyAlignment="1">
      <alignment vertical="center"/>
    </xf>
    <xf numFmtId="174" fontId="2" fillId="0" borderId="0" xfId="0" applyNumberFormat="1" applyFont="1" applyAlignment="1">
      <alignment horizontal="right" vertical="center"/>
    </xf>
    <xf numFmtId="174" fontId="10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vertical="center"/>
    </xf>
    <xf numFmtId="174" fontId="10" fillId="0" borderId="0" xfId="0" applyNumberFormat="1" applyFont="1" applyBorder="1" applyAlignment="1">
      <alignment horizontal="right" vertical="center"/>
    </xf>
    <xf numFmtId="174" fontId="3" fillId="15" borderId="20" xfId="0" applyNumberFormat="1" applyFont="1" applyFill="1" applyBorder="1" applyAlignment="1" applyProtection="1">
      <alignment horizontal="right" vertical="center"/>
    </xf>
    <xf numFmtId="174" fontId="3" fillId="15" borderId="0" xfId="0" applyNumberFormat="1" applyFont="1" applyFill="1" applyBorder="1" applyAlignment="1" applyProtection="1">
      <alignment vertical="center"/>
    </xf>
    <xf numFmtId="174" fontId="2" fillId="0" borderId="12" xfId="0" applyNumberFormat="1" applyFont="1" applyBorder="1" applyAlignment="1" applyProtection="1">
      <alignment vertical="center"/>
    </xf>
    <xf numFmtId="174" fontId="2" fillId="0" borderId="14" xfId="0" applyNumberFormat="1" applyFont="1" applyBorder="1" applyAlignment="1" applyProtection="1">
      <alignment vertical="center"/>
    </xf>
    <xf numFmtId="174" fontId="2" fillId="0" borderId="11" xfId="0" applyNumberFormat="1" applyFont="1" applyBorder="1" applyAlignment="1">
      <alignment vertical="center"/>
    </xf>
    <xf numFmtId="174" fontId="2" fillId="0" borderId="16" xfId="0" applyNumberFormat="1" applyFont="1" applyBorder="1" applyAlignment="1">
      <alignment vertical="center"/>
    </xf>
    <xf numFmtId="174" fontId="2" fillId="0" borderId="17" xfId="0" applyNumberFormat="1" applyFont="1" applyBorder="1" applyAlignment="1">
      <alignment vertical="center"/>
    </xf>
    <xf numFmtId="174" fontId="2" fillId="0" borderId="0" xfId="0" applyNumberFormat="1" applyFont="1" applyBorder="1" applyAlignment="1" applyProtection="1">
      <alignment vertical="center"/>
    </xf>
    <xf numFmtId="174" fontId="0" fillId="0" borderId="0" xfId="0" applyNumberFormat="1"/>
    <xf numFmtId="170" fontId="5" fillId="0" borderId="12" xfId="0" applyFont="1" applyBorder="1" applyAlignment="1">
      <alignment vertical="center"/>
    </xf>
    <xf numFmtId="171" fontId="5" fillId="0" borderId="0" xfId="0" applyNumberFormat="1" applyFont="1" applyBorder="1" applyAlignment="1">
      <alignment vertical="center"/>
    </xf>
    <xf numFmtId="171" fontId="5" fillId="0" borderId="17" xfId="0" applyNumberFormat="1" applyFont="1" applyBorder="1" applyAlignment="1">
      <alignment vertical="center"/>
    </xf>
    <xf numFmtId="171" fontId="5" fillId="0" borderId="12" xfId="0" applyNumberFormat="1" applyFont="1" applyBorder="1" applyAlignment="1">
      <alignment vertical="center"/>
    </xf>
    <xf numFmtId="170" fontId="0" fillId="0" borderId="0" xfId="0" quotePrefix="1" applyAlignment="1">
      <alignment horizontal="left" vertical="center"/>
    </xf>
    <xf numFmtId="170" fontId="0" fillId="0" borderId="0" xfId="0" applyAlignment="1">
      <alignment horizontal="left" vertical="center"/>
    </xf>
    <xf numFmtId="170" fontId="0" fillId="0" borderId="0" xfId="0" quotePrefix="1" applyAlignment="1">
      <alignment horizontal="left" vertical="center" wrapText="1"/>
    </xf>
    <xf numFmtId="170" fontId="14" fillId="0" borderId="40" xfId="0" applyFont="1" applyBorder="1" applyAlignment="1">
      <alignment horizontal="left" vertical="center"/>
    </xf>
    <xf numFmtId="170" fontId="9" fillId="0" borderId="41" xfId="0" applyFont="1" applyBorder="1" applyAlignment="1">
      <alignment horizontal="left" vertical="center"/>
    </xf>
    <xf numFmtId="170" fontId="9" fillId="0" borderId="0" xfId="0" applyFont="1" applyBorder="1" applyAlignment="1">
      <alignment horizontal="left" vertical="center"/>
    </xf>
    <xf numFmtId="38" fontId="7" fillId="0" borderId="0" xfId="0" applyNumberFormat="1" applyFont="1" applyBorder="1" applyAlignment="1">
      <alignment horizontal="right" vertical="center"/>
    </xf>
    <xf numFmtId="170" fontId="9" fillId="0" borderId="42" xfId="0" applyFont="1" applyBorder="1" applyAlignment="1">
      <alignment vertical="center"/>
    </xf>
    <xf numFmtId="174" fontId="4" fillId="0" borderId="43" xfId="0" applyNumberFormat="1" applyFont="1" applyBorder="1" applyAlignment="1">
      <alignment horizontal="left" vertical="center"/>
    </xf>
    <xf numFmtId="174" fontId="16" fillId="0" borderId="20" xfId="0" applyNumberFormat="1" applyFont="1" applyBorder="1" applyAlignment="1">
      <alignment horizontal="center" vertical="center" wrapText="1" readingOrder="1"/>
    </xf>
    <xf numFmtId="174" fontId="16" fillId="0" borderId="20" xfId="0" quotePrefix="1" applyNumberFormat="1" applyFont="1" applyBorder="1" applyAlignment="1">
      <alignment horizontal="center" vertical="center" wrapText="1"/>
    </xf>
    <xf numFmtId="174" fontId="14" fillId="0" borderId="20" xfId="0" applyNumberFormat="1" applyFont="1" applyBorder="1" applyAlignment="1">
      <alignment horizontal="center" vertical="center"/>
    </xf>
    <xf numFmtId="174" fontId="8" fillId="0" borderId="44" xfId="0" quotePrefix="1" applyNumberFormat="1" applyFont="1" applyBorder="1" applyAlignment="1">
      <alignment horizontal="center" vertical="center" wrapText="1"/>
    </xf>
    <xf numFmtId="174" fontId="12" fillId="0" borderId="17" xfId="0" applyNumberFormat="1" applyFont="1" applyBorder="1" applyAlignment="1">
      <alignment horizontal="right" vertical="center"/>
    </xf>
    <xf numFmtId="174" fontId="16" fillId="0" borderId="20" xfId="0" applyNumberFormat="1" applyFont="1" applyBorder="1" applyAlignment="1">
      <alignment horizontal="center" vertical="center" wrapText="1"/>
    </xf>
    <xf numFmtId="174" fontId="8" fillId="0" borderId="20" xfId="0" applyNumberFormat="1" applyFont="1" applyBorder="1" applyAlignment="1">
      <alignment horizontal="center" vertical="center" wrapText="1"/>
    </xf>
    <xf numFmtId="174" fontId="12" fillId="0" borderId="45" xfId="0" applyNumberFormat="1" applyFont="1" applyBorder="1" applyAlignment="1">
      <alignment horizontal="right" vertical="center"/>
    </xf>
    <xf numFmtId="175" fontId="5" fillId="0" borderId="0" xfId="0" applyNumberFormat="1" applyFont="1" applyBorder="1" applyAlignment="1">
      <alignment vertical="center"/>
    </xf>
    <xf numFmtId="175" fontId="5" fillId="0" borderId="17" xfId="0" applyNumberFormat="1" applyFont="1" applyBorder="1" applyAlignment="1">
      <alignment vertical="center"/>
    </xf>
    <xf numFmtId="170" fontId="4" fillId="0" borderId="22" xfId="0" applyFont="1" applyBorder="1" applyAlignment="1">
      <alignment horizontal="right" vertical="center"/>
    </xf>
    <xf numFmtId="170" fontId="4" fillId="0" borderId="40" xfId="0" applyFont="1" applyBorder="1" applyAlignment="1">
      <alignment vertical="center"/>
    </xf>
    <xf numFmtId="170" fontId="4" fillId="0" borderId="23" xfId="0" applyFont="1" applyBorder="1" applyAlignment="1">
      <alignment vertical="center"/>
    </xf>
    <xf numFmtId="170" fontId="4" fillId="0" borderId="43" xfId="0" applyFont="1" applyBorder="1" applyAlignment="1">
      <alignment vertical="center"/>
    </xf>
    <xf numFmtId="170" fontId="5" fillId="0" borderId="41" xfId="0" applyFont="1" applyBorder="1" applyAlignment="1">
      <alignment vertical="center"/>
    </xf>
    <xf numFmtId="170" fontId="5" fillId="0" borderId="23" xfId="0" applyFont="1" applyBorder="1" applyAlignment="1">
      <alignment vertical="center"/>
    </xf>
    <xf numFmtId="170" fontId="4" fillId="0" borderId="39" xfId="0" applyFont="1" applyBorder="1" applyAlignment="1">
      <alignment horizontal="right" vertical="center"/>
    </xf>
    <xf numFmtId="170" fontId="4" fillId="0" borderId="24" xfId="0" applyFont="1" applyBorder="1" applyAlignment="1">
      <alignment horizontal="right" vertical="center"/>
    </xf>
    <xf numFmtId="170" fontId="4" fillId="0" borderId="45" xfId="0" applyFont="1" applyBorder="1" applyAlignment="1">
      <alignment horizontal="right" vertical="center"/>
    </xf>
    <xf numFmtId="170" fontId="5" fillId="0" borderId="46" xfId="0" applyFont="1" applyBorder="1" applyAlignment="1">
      <alignment vertical="center"/>
    </xf>
    <xf numFmtId="171" fontId="5" fillId="0" borderId="24" xfId="0" applyNumberFormat="1" applyFont="1" applyBorder="1" applyAlignment="1">
      <alignment vertical="center"/>
    </xf>
    <xf numFmtId="171" fontId="5" fillId="0" borderId="24" xfId="0" quotePrefix="1" applyNumberFormat="1" applyFont="1" applyBorder="1" applyAlignment="1">
      <alignment horizontal="right" vertical="center"/>
    </xf>
    <xf numFmtId="171" fontId="5" fillId="0" borderId="24" xfId="0" applyNumberFormat="1" applyFont="1" applyBorder="1" applyAlignment="1">
      <alignment horizontal="right" vertical="center"/>
    </xf>
    <xf numFmtId="171" fontId="5" fillId="0" borderId="24" xfId="17" applyNumberFormat="1" applyFont="1" applyBorder="1" applyAlignment="1">
      <alignment horizontal="right" vertical="center"/>
    </xf>
    <xf numFmtId="171" fontId="5" fillId="0" borderId="45" xfId="0" applyNumberFormat="1" applyFont="1" applyBorder="1" applyAlignment="1">
      <alignment vertical="center"/>
    </xf>
    <xf numFmtId="171" fontId="5" fillId="0" borderId="46" xfId="0" applyNumberFormat="1" applyFont="1" applyBorder="1" applyAlignment="1">
      <alignment vertical="center"/>
    </xf>
    <xf numFmtId="174" fontId="9" fillId="0" borderId="47" xfId="0" applyNumberFormat="1" applyFont="1" applyBorder="1" applyAlignment="1">
      <alignment vertical="center"/>
    </xf>
    <xf numFmtId="170" fontId="5" fillId="0" borderId="48" xfId="0" applyFont="1" applyBorder="1" applyAlignment="1">
      <alignment vertical="center"/>
    </xf>
    <xf numFmtId="170" fontId="5" fillId="0" borderId="49" xfId="0" applyFont="1" applyBorder="1" applyAlignment="1">
      <alignment vertical="center"/>
    </xf>
    <xf numFmtId="174" fontId="11" fillId="0" borderId="47" xfId="0" applyNumberFormat="1" applyFont="1" applyBorder="1" applyAlignment="1">
      <alignment vertical="center"/>
    </xf>
    <xf numFmtId="170" fontId="0" fillId="0" borderId="39" xfId="0" applyBorder="1"/>
    <xf numFmtId="170" fontId="4" fillId="0" borderId="24" xfId="0" applyFont="1" applyBorder="1" applyAlignment="1">
      <alignment vertical="center"/>
    </xf>
    <xf numFmtId="170" fontId="7" fillId="0" borderId="46" xfId="0" applyFont="1" applyBorder="1" applyAlignment="1">
      <alignment horizontal="left" vertical="center"/>
    </xf>
    <xf numFmtId="170" fontId="7" fillId="0" borderId="24" xfId="0" applyFont="1" applyBorder="1" applyAlignment="1">
      <alignment horizontal="left" vertical="center"/>
    </xf>
    <xf numFmtId="170" fontId="0" fillId="0" borderId="24" xfId="0" applyBorder="1"/>
    <xf numFmtId="170" fontId="7" fillId="0" borderId="45" xfId="0" applyFont="1" applyBorder="1" applyAlignment="1">
      <alignment horizontal="left" vertical="center"/>
    </xf>
    <xf numFmtId="170" fontId="7" fillId="0" borderId="49" xfId="0" applyFont="1" applyBorder="1" applyAlignment="1">
      <alignment horizontal="left" vertical="center"/>
    </xf>
    <xf numFmtId="170" fontId="2" fillId="0" borderId="13" xfId="0" quotePrefix="1" applyFont="1" applyBorder="1" applyAlignment="1">
      <alignment horizontal="left" vertical="center"/>
    </xf>
    <xf numFmtId="38" fontId="13" fillId="0" borderId="31" xfId="0" applyNumberFormat="1" applyFont="1" applyBorder="1" applyAlignment="1">
      <alignment horizontal="right" vertical="center"/>
    </xf>
    <xf numFmtId="38" fontId="11" fillId="0" borderId="31" xfId="0" applyNumberFormat="1" applyFont="1" applyBorder="1" applyAlignment="1">
      <alignment horizontal="right" vertical="center"/>
    </xf>
    <xf numFmtId="38" fontId="13" fillId="0" borderId="50" xfId="9" applyNumberFormat="1" applyFont="1" applyBorder="1" applyAlignment="1">
      <alignment horizontal="right" vertical="center"/>
    </xf>
    <xf numFmtId="38" fontId="11" fillId="0" borderId="51" xfId="0" applyNumberFormat="1" applyFont="1" applyBorder="1" applyAlignment="1">
      <alignment horizontal="right" vertical="center"/>
    </xf>
    <xf numFmtId="38" fontId="11" fillId="0" borderId="52" xfId="0" applyNumberFormat="1" applyFont="1" applyBorder="1" applyAlignment="1">
      <alignment horizontal="right" vertical="center"/>
    </xf>
    <xf numFmtId="38" fontId="13" fillId="0" borderId="33" xfId="0" applyNumberFormat="1" applyFont="1" applyBorder="1" applyAlignment="1">
      <alignment horizontal="right" vertical="center"/>
    </xf>
    <xf numFmtId="38" fontId="11" fillId="0" borderId="53" xfId="0" applyNumberFormat="1" applyFont="1" applyBorder="1" applyAlignment="1">
      <alignment horizontal="right" vertical="center"/>
    </xf>
    <xf numFmtId="38" fontId="13" fillId="0" borderId="26" xfId="0" applyNumberFormat="1" applyFont="1" applyBorder="1" applyAlignment="1">
      <alignment horizontal="right" vertical="center"/>
    </xf>
    <xf numFmtId="38" fontId="13" fillId="0" borderId="33" xfId="0" quotePrefix="1" applyNumberFormat="1" applyFont="1" applyBorder="1" applyAlignment="1">
      <alignment horizontal="right" vertical="center"/>
    </xf>
    <xf numFmtId="38" fontId="5" fillId="0" borderId="54" xfId="0" applyNumberFormat="1" applyFont="1" applyBorder="1" applyAlignment="1">
      <alignment horizontal="right" vertical="center"/>
    </xf>
    <xf numFmtId="38" fontId="11" fillId="0" borderId="55" xfId="0" applyNumberFormat="1" applyFont="1" applyBorder="1" applyAlignment="1">
      <alignment horizontal="right" vertical="center"/>
    </xf>
    <xf numFmtId="170" fontId="12" fillId="0" borderId="0" xfId="0" applyFont="1" applyBorder="1" applyAlignment="1">
      <alignment horizontal="left" vertical="center"/>
    </xf>
    <xf numFmtId="170" fontId="12" fillId="0" borderId="0" xfId="0" applyFont="1" applyAlignment="1">
      <alignment horizontal="left"/>
    </xf>
    <xf numFmtId="173" fontId="13" fillId="0" borderId="37" xfId="0" applyNumberFormat="1" applyFont="1" applyBorder="1" applyAlignment="1">
      <alignment horizontal="right" vertical="center"/>
    </xf>
    <xf numFmtId="173" fontId="11" fillId="0" borderId="53" xfId="0" applyNumberFormat="1" applyFont="1" applyBorder="1" applyAlignment="1">
      <alignment horizontal="right" vertical="center"/>
    </xf>
    <xf numFmtId="173" fontId="11" fillId="0" borderId="52" xfId="0" applyNumberFormat="1" applyFont="1" applyBorder="1" applyAlignment="1">
      <alignment horizontal="right" vertical="center"/>
    </xf>
    <xf numFmtId="173" fontId="13" fillId="0" borderId="26" xfId="0" applyNumberFormat="1" applyFont="1" applyBorder="1" applyAlignment="1">
      <alignment horizontal="right" vertical="center"/>
    </xf>
    <xf numFmtId="173" fontId="11" fillId="0" borderId="52" xfId="0" quotePrefix="1" applyNumberFormat="1" applyFont="1" applyBorder="1" applyAlignment="1">
      <alignment horizontal="right" vertical="center"/>
    </xf>
    <xf numFmtId="173" fontId="13" fillId="0" borderId="26" xfId="0" quotePrefix="1" applyNumberFormat="1" applyFont="1" applyBorder="1" applyAlignment="1">
      <alignment horizontal="right" vertical="center"/>
    </xf>
    <xf numFmtId="173" fontId="11" fillId="0" borderId="53" xfId="0" quotePrefix="1" applyNumberFormat="1" applyFont="1" applyBorder="1" applyAlignment="1">
      <alignment horizontal="right" vertical="center"/>
    </xf>
    <xf numFmtId="173" fontId="5" fillId="0" borderId="56" xfId="0" applyNumberFormat="1" applyFont="1" applyBorder="1" applyAlignment="1">
      <alignment horizontal="right" vertical="center"/>
    </xf>
    <xf numFmtId="173" fontId="13" fillId="0" borderId="56" xfId="0" applyNumberFormat="1" applyFont="1" applyBorder="1" applyAlignment="1">
      <alignment horizontal="right" vertical="center"/>
    </xf>
    <xf numFmtId="173" fontId="11" fillId="0" borderId="57" xfId="0" applyNumberFormat="1" applyFont="1" applyBorder="1" applyAlignment="1">
      <alignment horizontal="right" vertical="center"/>
    </xf>
    <xf numFmtId="170" fontId="14" fillId="0" borderId="11" xfId="0" applyFont="1" applyBorder="1" applyAlignment="1">
      <alignment horizontal="left" vertical="center"/>
    </xf>
    <xf numFmtId="38" fontId="12" fillId="0" borderId="12" xfId="0" applyNumberFormat="1" applyFont="1" applyBorder="1" applyAlignment="1">
      <alignment horizontal="right" vertical="center"/>
    </xf>
    <xf numFmtId="38" fontId="12" fillId="0" borderId="14" xfId="0" applyNumberFormat="1" applyFont="1" applyBorder="1" applyAlignment="1">
      <alignment horizontal="right" vertical="center"/>
    </xf>
    <xf numFmtId="170" fontId="14" fillId="0" borderId="13" xfId="0" applyFont="1" applyBorder="1" applyAlignment="1">
      <alignment horizontal="left" vertical="center"/>
    </xf>
    <xf numFmtId="38" fontId="12" fillId="0" borderId="15" xfId="0" applyNumberFormat="1" applyFont="1" applyBorder="1" applyAlignment="1">
      <alignment horizontal="right" vertical="center"/>
    </xf>
    <xf numFmtId="170" fontId="9" fillId="0" borderId="19" xfId="0" applyFont="1" applyBorder="1" applyAlignment="1">
      <alignment horizontal="left" vertical="center"/>
    </xf>
    <xf numFmtId="174" fontId="4" fillId="0" borderId="16" xfId="0" applyNumberFormat="1" applyFont="1" applyBorder="1" applyAlignment="1">
      <alignment horizontal="left" vertical="center"/>
    </xf>
    <xf numFmtId="174" fontId="8" fillId="0" borderId="21" xfId="0" applyNumberFormat="1" applyFont="1" applyBorder="1" applyAlignment="1">
      <alignment horizontal="center" vertical="center" wrapText="1"/>
    </xf>
    <xf numFmtId="170" fontId="5" fillId="0" borderId="58" xfId="0" applyFont="1" applyBorder="1" applyAlignment="1">
      <alignment horizontal="left" vertical="center"/>
    </xf>
    <xf numFmtId="170" fontId="5" fillId="0" borderId="59" xfId="0" applyFont="1" applyBorder="1" applyAlignment="1">
      <alignment horizontal="left" vertical="center"/>
    </xf>
    <xf numFmtId="171" fontId="11" fillId="0" borderId="0" xfId="0" applyNumberFormat="1" applyFont="1" applyBorder="1" applyAlignment="1">
      <alignment horizontal="right" vertical="center"/>
    </xf>
    <xf numFmtId="171" fontId="5" fillId="0" borderId="54" xfId="0" applyNumberFormat="1" applyFont="1" applyBorder="1" applyAlignment="1">
      <alignment horizontal="right" vertical="center"/>
    </xf>
    <xf numFmtId="173" fontId="5" fillId="0" borderId="54" xfId="0" applyNumberFormat="1" applyFont="1" applyBorder="1" applyAlignment="1">
      <alignment horizontal="right" vertical="center"/>
    </xf>
    <xf numFmtId="173" fontId="11" fillId="0" borderId="55" xfId="0" applyNumberFormat="1" applyFont="1" applyBorder="1" applyAlignment="1">
      <alignment horizontal="right" vertical="center"/>
    </xf>
    <xf numFmtId="170" fontId="12" fillId="0" borderId="0" xfId="0" applyFont="1" applyAlignment="1">
      <alignment horizontal="left" vertical="center"/>
    </xf>
    <xf numFmtId="174" fontId="2" fillId="0" borderId="17" xfId="0" applyNumberFormat="1" applyFont="1" applyBorder="1" applyAlignment="1">
      <alignment horizontal="right" vertical="center"/>
    </xf>
    <xf numFmtId="171" fontId="2" fillId="0" borderId="18" xfId="0" applyNumberFormat="1" applyFont="1" applyBorder="1" applyAlignment="1">
      <alignment horizontal="right" vertical="center"/>
    </xf>
    <xf numFmtId="174" fontId="12" fillId="0" borderId="18" xfId="0" applyNumberFormat="1" applyFont="1" applyBorder="1" applyAlignment="1">
      <alignment horizontal="right" vertical="center"/>
    </xf>
    <xf numFmtId="0" fontId="18" fillId="16" borderId="11" xfId="20" applyFont="1" applyFill="1" applyBorder="1" applyAlignment="1" applyProtection="1">
      <alignment horizontal="centerContinuous"/>
    </xf>
    <xf numFmtId="0" fontId="18" fillId="16" borderId="12" xfId="20" applyFont="1" applyFill="1" applyBorder="1" applyAlignment="1" applyProtection="1">
      <alignment horizontal="center"/>
    </xf>
    <xf numFmtId="0" fontId="18" fillId="16" borderId="14" xfId="20" applyFont="1" applyFill="1" applyBorder="1" applyAlignment="1" applyProtection="1">
      <alignment horizontal="left"/>
    </xf>
    <xf numFmtId="0" fontId="19" fillId="16" borderId="21" xfId="20" applyFont="1" applyFill="1" applyBorder="1" applyAlignment="1" applyProtection="1">
      <alignment horizontal="centerContinuous" vertical="center"/>
    </xf>
    <xf numFmtId="0" fontId="19" fillId="17" borderId="21" xfId="20" applyFont="1" applyFill="1" applyBorder="1" applyAlignment="1" applyProtection="1">
      <alignment horizontal="center" vertical="center"/>
    </xf>
    <xf numFmtId="0" fontId="19" fillId="0" borderId="0" xfId="20" applyFont="1" applyAlignment="1" applyProtection="1">
      <alignment vertical="center"/>
    </xf>
    <xf numFmtId="0" fontId="19" fillId="0" borderId="0" xfId="20" applyFont="1" applyAlignment="1" applyProtection="1">
      <alignment horizontal="centerContinuous" vertical="center"/>
    </xf>
    <xf numFmtId="0" fontId="19" fillId="16" borderId="16" xfId="20" applyFont="1" applyFill="1" applyBorder="1" applyAlignment="1" applyProtection="1">
      <alignment horizontal="center" vertical="center"/>
    </xf>
    <xf numFmtId="0" fontId="19" fillId="16" borderId="17" xfId="20" applyFont="1" applyFill="1" applyBorder="1" applyAlignment="1" applyProtection="1">
      <alignment horizontal="center" vertical="center"/>
    </xf>
    <xf numFmtId="0" fontId="19" fillId="16" borderId="18" xfId="20" applyFont="1" applyFill="1" applyBorder="1" applyAlignment="1" applyProtection="1">
      <alignment horizontal="right" vertical="center"/>
    </xf>
    <xf numFmtId="0" fontId="19" fillId="16" borderId="18" xfId="20" applyFont="1" applyFill="1" applyBorder="1" applyAlignment="1" applyProtection="1">
      <alignment horizontal="center" vertical="center"/>
    </xf>
    <xf numFmtId="0" fontId="19" fillId="17" borderId="18" xfId="20" applyFont="1" applyFill="1" applyBorder="1" applyAlignment="1" applyProtection="1">
      <alignment horizontal="center" vertical="center"/>
    </xf>
    <xf numFmtId="0" fontId="19" fillId="0" borderId="0" xfId="20" applyFont="1" applyAlignment="1" applyProtection="1">
      <alignment horizontal="center" vertical="center"/>
    </xf>
    <xf numFmtId="0" fontId="20" fillId="0" borderId="0" xfId="20" applyFont="1" applyFill="1" applyProtection="1"/>
    <xf numFmtId="0" fontId="20" fillId="0" borderId="0" xfId="20" applyFont="1" applyFill="1" applyAlignment="1" applyProtection="1">
      <alignment horizontal="right"/>
    </xf>
    <xf numFmtId="0" fontId="20" fillId="0" borderId="0" xfId="20" applyFont="1" applyProtection="1"/>
    <xf numFmtId="0" fontId="19" fillId="23" borderId="0" xfId="20" applyFont="1" applyFill="1" applyAlignment="1" applyProtection="1">
      <alignment horizontal="center"/>
    </xf>
    <xf numFmtId="1" fontId="20" fillId="18" borderId="60" xfId="20" applyNumberFormat="1" applyFont="1" applyFill="1" applyBorder="1" applyAlignment="1" applyProtection="1"/>
    <xf numFmtId="1" fontId="20" fillId="18" borderId="31" xfId="20" applyNumberFormat="1" applyFont="1" applyFill="1" applyBorder="1" applyAlignment="1" applyProtection="1"/>
    <xf numFmtId="0" fontId="20" fillId="18" borderId="31" xfId="20" applyFont="1" applyFill="1" applyBorder="1" applyProtection="1"/>
    <xf numFmtId="176" fontId="20" fillId="0" borderId="31" xfId="14" applyNumberFormat="1" applyFont="1" applyBorder="1" applyProtection="1">
      <protection locked="0"/>
    </xf>
    <xf numFmtId="176" fontId="20" fillId="0" borderId="31" xfId="14" applyNumberFormat="1" applyFont="1" applyBorder="1" applyProtection="1"/>
    <xf numFmtId="176" fontId="20" fillId="0" borderId="50" xfId="14" applyNumberFormat="1" applyFont="1" applyBorder="1" applyProtection="1"/>
    <xf numFmtId="0" fontId="20" fillId="0" borderId="0" xfId="20" applyFont="1" applyProtection="1">
      <protection locked="0"/>
    </xf>
    <xf numFmtId="1" fontId="20" fillId="18" borderId="61" xfId="20" applyNumberFormat="1" applyFont="1" applyFill="1" applyBorder="1" applyProtection="1"/>
    <xf numFmtId="1" fontId="20" fillId="18" borderId="26" xfId="20" applyNumberFormat="1" applyFont="1" applyFill="1" applyBorder="1" applyProtection="1"/>
    <xf numFmtId="0" fontId="20" fillId="18" borderId="26" xfId="20" applyFont="1" applyFill="1" applyBorder="1" applyProtection="1"/>
    <xf numFmtId="176" fontId="20" fillId="0" borderId="26" xfId="14" applyNumberFormat="1" applyFont="1" applyBorder="1" applyProtection="1">
      <protection locked="0"/>
    </xf>
    <xf numFmtId="176" fontId="20" fillId="0" borderId="26" xfId="14" applyNumberFormat="1" applyFont="1" applyFill="1" applyBorder="1" applyAlignment="1" applyProtection="1">
      <alignment wrapText="1"/>
      <protection locked="0"/>
    </xf>
    <xf numFmtId="176" fontId="20" fillId="0" borderId="26" xfId="14" applyNumberFormat="1" applyFont="1" applyFill="1" applyBorder="1" applyProtection="1"/>
    <xf numFmtId="176" fontId="20" fillId="0" borderId="33" xfId="14" applyNumberFormat="1" applyFont="1" applyBorder="1" applyProtection="1"/>
    <xf numFmtId="1" fontId="21" fillId="18" borderId="61" xfId="20" applyNumberFormat="1" applyFont="1" applyFill="1" applyBorder="1" applyAlignment="1" applyProtection="1">
      <alignment horizontal="right" vertical="center"/>
    </xf>
    <xf numFmtId="1" fontId="21" fillId="18" borderId="26" xfId="20" applyNumberFormat="1" applyFont="1" applyFill="1" applyBorder="1" applyProtection="1"/>
    <xf numFmtId="0" fontId="21" fillId="18" borderId="26" xfId="20" applyFont="1" applyFill="1" applyBorder="1" applyProtection="1"/>
    <xf numFmtId="176" fontId="21" fillId="0" borderId="26" xfId="14" applyNumberFormat="1" applyFont="1" applyFill="1" applyBorder="1" applyProtection="1">
      <protection locked="0"/>
    </xf>
    <xf numFmtId="176" fontId="21" fillId="0" borderId="26" xfId="14" applyNumberFormat="1" applyFont="1" applyFill="1" applyBorder="1" applyProtection="1"/>
    <xf numFmtId="176" fontId="21" fillId="0" borderId="33" xfId="14" applyNumberFormat="1" applyFont="1" applyFill="1" applyBorder="1" applyProtection="1"/>
    <xf numFmtId="1" fontId="20" fillId="18" borderId="61" xfId="20" applyNumberFormat="1" applyFont="1" applyFill="1" applyBorder="1" applyAlignment="1" applyProtection="1">
      <alignment horizontal="right"/>
    </xf>
    <xf numFmtId="176" fontId="20" fillId="0" borderId="26" xfId="14" applyNumberFormat="1" applyFont="1" applyFill="1" applyBorder="1" applyProtection="1">
      <protection locked="0"/>
    </xf>
    <xf numFmtId="176" fontId="20" fillId="0" borderId="33" xfId="14" applyNumberFormat="1" applyFont="1" applyFill="1" applyBorder="1" applyProtection="1"/>
    <xf numFmtId="176" fontId="20" fillId="0" borderId="33" xfId="14" applyNumberFormat="1" applyFont="1" applyFill="1" applyBorder="1" applyProtection="1">
      <protection locked="0"/>
    </xf>
    <xf numFmtId="1" fontId="20" fillId="18" borderId="61" xfId="20" applyNumberFormat="1" applyFont="1" applyFill="1" applyBorder="1" applyAlignment="1" applyProtection="1">
      <alignment horizontal="right" vertical="top" wrapText="1"/>
    </xf>
    <xf numFmtId="1" fontId="20" fillId="18" borderId="26" xfId="20" applyNumberFormat="1" applyFont="1" applyFill="1" applyBorder="1" applyAlignment="1" applyProtection="1">
      <alignment horizontal="right" vertical="top" wrapText="1"/>
    </xf>
    <xf numFmtId="0" fontId="20" fillId="18" borderId="26" xfId="20" applyFont="1" applyFill="1" applyBorder="1" applyAlignment="1" applyProtection="1">
      <alignment vertical="top" wrapText="1"/>
    </xf>
    <xf numFmtId="176" fontId="20" fillId="0" borderId="26" xfId="14" applyNumberFormat="1" applyFont="1" applyFill="1" applyBorder="1" applyAlignment="1" applyProtection="1">
      <alignment vertical="top" wrapText="1"/>
      <protection locked="0"/>
    </xf>
    <xf numFmtId="176" fontId="20" fillId="0" borderId="26" xfId="14" applyNumberFormat="1" applyFont="1" applyFill="1" applyBorder="1" applyAlignment="1" applyProtection="1">
      <alignment horizontal="right" vertical="top" wrapText="1"/>
      <protection locked="0"/>
    </xf>
    <xf numFmtId="176" fontId="20" fillId="0" borderId="26" xfId="14" applyNumberFormat="1" applyFont="1" applyFill="1" applyBorder="1" applyAlignment="1" applyProtection="1">
      <alignment horizontal="right" vertical="top" wrapText="1"/>
    </xf>
    <xf numFmtId="176" fontId="20" fillId="0" borderId="33" xfId="14" applyNumberFormat="1" applyFont="1" applyFill="1" applyBorder="1" applyAlignment="1" applyProtection="1">
      <alignment horizontal="right" vertical="top" wrapText="1"/>
    </xf>
    <xf numFmtId="0" fontId="21" fillId="0" borderId="0" xfId="20" applyFont="1" applyProtection="1">
      <protection locked="0"/>
    </xf>
    <xf numFmtId="176" fontId="20" fillId="0" borderId="26" xfId="14" applyNumberFormat="1" applyFont="1" applyBorder="1" applyProtection="1"/>
    <xf numFmtId="1" fontId="21" fillId="18" borderId="61" xfId="20" applyNumberFormat="1" applyFont="1" applyFill="1" applyBorder="1" applyAlignment="1" applyProtection="1">
      <alignment horizontal="right" vertical="top" wrapText="1"/>
    </xf>
    <xf numFmtId="0" fontId="21" fillId="18" borderId="26" xfId="20" applyFont="1" applyFill="1" applyBorder="1" applyAlignment="1" applyProtection="1">
      <alignment vertical="top" wrapText="1"/>
    </xf>
    <xf numFmtId="176" fontId="21" fillId="0" borderId="26" xfId="14" applyNumberFormat="1" applyFont="1" applyBorder="1" applyAlignment="1" applyProtection="1">
      <alignment vertical="top" wrapText="1"/>
      <protection locked="0"/>
    </xf>
    <xf numFmtId="176" fontId="21" fillId="0" borderId="26" xfId="14" applyNumberFormat="1" applyFont="1" applyFill="1" applyBorder="1" applyAlignment="1" applyProtection="1">
      <alignment vertical="top" wrapText="1"/>
      <protection locked="0"/>
    </xf>
    <xf numFmtId="176" fontId="21" fillId="0" borderId="26" xfId="14" applyNumberFormat="1" applyFont="1" applyBorder="1" applyProtection="1"/>
    <xf numFmtId="1" fontId="21" fillId="18" borderId="26" xfId="20" applyNumberFormat="1" applyFont="1" applyFill="1" applyBorder="1" applyAlignment="1" applyProtection="1">
      <alignment horizontal="left" vertical="top" wrapText="1"/>
    </xf>
    <xf numFmtId="176" fontId="21" fillId="0" borderId="26" xfId="14" applyNumberFormat="1" applyFont="1" applyFill="1" applyBorder="1" applyAlignment="1" applyProtection="1">
      <alignment horizontal="right" vertical="top" wrapText="1"/>
      <protection locked="0"/>
    </xf>
    <xf numFmtId="176" fontId="21" fillId="0" borderId="26" xfId="14" applyNumberFormat="1" applyFont="1" applyBorder="1" applyAlignment="1" applyProtection="1">
      <alignment horizontal="right" vertical="top" wrapText="1"/>
      <protection locked="0"/>
    </xf>
    <xf numFmtId="176" fontId="21" fillId="0" borderId="26" xfId="14" applyNumberFormat="1" applyFont="1" applyBorder="1" applyAlignment="1" applyProtection="1">
      <alignment horizontal="right" vertical="top" wrapText="1"/>
    </xf>
    <xf numFmtId="176" fontId="21" fillId="0" borderId="33" xfId="14" applyNumberFormat="1" applyFont="1" applyBorder="1" applyAlignment="1" applyProtection="1">
      <alignment horizontal="right" vertical="top" wrapText="1"/>
    </xf>
    <xf numFmtId="0" fontId="21" fillId="0" borderId="0" xfId="20" applyFont="1" applyAlignment="1" applyProtection="1">
      <alignment vertical="top" wrapText="1"/>
      <protection locked="0"/>
    </xf>
    <xf numFmtId="176" fontId="20" fillId="0" borderId="33" xfId="14" applyNumberFormat="1" applyFont="1" applyFill="1" applyBorder="1" applyAlignment="1" applyProtection="1">
      <alignment vertical="center"/>
    </xf>
    <xf numFmtId="0" fontId="19" fillId="0" borderId="0" xfId="20" applyFont="1" applyAlignment="1" applyProtection="1">
      <alignment vertical="center"/>
      <protection locked="0"/>
    </xf>
    <xf numFmtId="176" fontId="21" fillId="0" borderId="33" xfId="14" applyNumberFormat="1" applyFont="1" applyFill="1" applyBorder="1" applyAlignment="1" applyProtection="1">
      <alignment vertical="center"/>
    </xf>
    <xf numFmtId="1" fontId="20" fillId="18" borderId="62" xfId="20" applyNumberFormat="1" applyFont="1" applyFill="1" applyBorder="1" applyProtection="1"/>
    <xf numFmtId="1" fontId="20" fillId="18" borderId="56" xfId="20" applyNumberFormat="1" applyFont="1" applyFill="1" applyBorder="1" applyProtection="1"/>
    <xf numFmtId="0" fontId="20" fillId="18" borderId="56" xfId="20" applyFont="1" applyFill="1" applyBorder="1" applyProtection="1"/>
    <xf numFmtId="176" fontId="20" fillId="0" borderId="56" xfId="14" applyNumberFormat="1" applyFont="1" applyBorder="1" applyProtection="1">
      <protection locked="0"/>
    </xf>
    <xf numFmtId="176" fontId="20" fillId="0" borderId="56" xfId="14" applyNumberFormat="1" applyFont="1" applyFill="1" applyBorder="1" applyAlignment="1" applyProtection="1">
      <alignment wrapText="1"/>
      <protection locked="0"/>
    </xf>
    <xf numFmtId="176" fontId="20" fillId="0" borderId="56" xfId="14" applyNumberFormat="1" applyFont="1" applyFill="1" applyBorder="1" applyProtection="1">
      <protection locked="0"/>
    </xf>
    <xf numFmtId="176" fontId="20" fillId="0" borderId="56" xfId="14" applyNumberFormat="1" applyFont="1" applyBorder="1" applyProtection="1"/>
    <xf numFmtId="176" fontId="20" fillId="0" borderId="63" xfId="14" applyNumberFormat="1" applyFont="1" applyFill="1" applyBorder="1" applyProtection="1"/>
    <xf numFmtId="1" fontId="19" fillId="18" borderId="20" xfId="20" applyNumberFormat="1" applyFont="1" applyFill="1" applyBorder="1" applyProtection="1"/>
    <xf numFmtId="0" fontId="19" fillId="18" borderId="20" xfId="20" applyFont="1" applyFill="1" applyBorder="1" applyProtection="1"/>
    <xf numFmtId="176" fontId="19" fillId="18" borderId="20" xfId="14" applyNumberFormat="1" applyFont="1" applyFill="1" applyBorder="1" applyProtection="1"/>
    <xf numFmtId="176" fontId="20" fillId="0" borderId="26" xfId="14" applyNumberFormat="1" applyFont="1" applyFill="1" applyBorder="1" applyAlignment="1" applyProtection="1">
      <alignment vertical="top"/>
    </xf>
    <xf numFmtId="0" fontId="19" fillId="0" borderId="0" xfId="20" applyFont="1" applyProtection="1">
      <protection locked="0"/>
    </xf>
    <xf numFmtId="1" fontId="20" fillId="18" borderId="61" xfId="20" applyNumberFormat="1" applyFont="1" applyFill="1" applyBorder="1" applyAlignment="1" applyProtection="1">
      <alignment vertical="center"/>
    </xf>
    <xf numFmtId="1" fontId="20" fillId="18" borderId="26" xfId="20" applyNumberFormat="1" applyFont="1" applyFill="1" applyBorder="1" applyAlignment="1" applyProtection="1">
      <alignment vertical="center"/>
    </xf>
    <xf numFmtId="176" fontId="20" fillId="0" borderId="26" xfId="14" applyNumberFormat="1" applyFont="1" applyFill="1" applyBorder="1" applyAlignment="1" applyProtection="1">
      <alignment vertical="center"/>
      <protection locked="0"/>
    </xf>
    <xf numFmtId="176" fontId="20" fillId="0" borderId="26" xfId="14" applyNumberFormat="1" applyFont="1" applyFill="1" applyBorder="1" applyAlignment="1" applyProtection="1">
      <alignment vertical="center"/>
    </xf>
    <xf numFmtId="0" fontId="20" fillId="0" borderId="0" xfId="20" applyFont="1" applyAlignment="1" applyProtection="1">
      <alignment vertical="center"/>
      <protection locked="0"/>
    </xf>
    <xf numFmtId="176" fontId="20" fillId="0" borderId="33" xfId="14" applyNumberFormat="1" applyFont="1" applyBorder="1" applyProtection="1">
      <protection locked="0"/>
    </xf>
    <xf numFmtId="176" fontId="20" fillId="0" borderId="26" xfId="14" applyNumberFormat="1" applyFont="1" applyFill="1" applyBorder="1" applyAlignment="1" applyProtection="1">
      <alignment vertical="top" wrapText="1"/>
    </xf>
    <xf numFmtId="176" fontId="20" fillId="0" borderId="33" xfId="14" applyNumberFormat="1" applyFont="1" applyFill="1" applyBorder="1" applyAlignment="1" applyProtection="1">
      <alignment vertical="top"/>
    </xf>
    <xf numFmtId="1" fontId="21" fillId="18" borderId="61" xfId="20" applyNumberFormat="1" applyFont="1" applyFill="1" applyBorder="1" applyAlignment="1" applyProtection="1">
      <alignment horizontal="right"/>
    </xf>
    <xf numFmtId="176" fontId="21" fillId="0" borderId="26" xfId="14" applyNumberFormat="1" applyFont="1" applyBorder="1" applyProtection="1">
      <protection locked="0"/>
    </xf>
    <xf numFmtId="1" fontId="19" fillId="18" borderId="20" xfId="20" applyNumberFormat="1" applyFont="1" applyFill="1" applyBorder="1" applyAlignment="1" applyProtection="1">
      <alignment vertical="center"/>
    </xf>
    <xf numFmtId="1" fontId="20" fillId="18" borderId="20" xfId="20" applyNumberFormat="1" applyFont="1" applyFill="1" applyBorder="1" applyAlignment="1" applyProtection="1">
      <alignment vertical="center"/>
    </xf>
    <xf numFmtId="0" fontId="19" fillId="18" borderId="20" xfId="20" applyFont="1" applyFill="1" applyBorder="1" applyAlignment="1" applyProtection="1">
      <alignment vertical="center"/>
    </xf>
    <xf numFmtId="176" fontId="19" fillId="18" borderId="20" xfId="14" applyNumberFormat="1" applyFont="1" applyFill="1" applyBorder="1" applyAlignment="1" applyProtection="1">
      <alignment vertical="center"/>
    </xf>
    <xf numFmtId="0" fontId="20" fillId="0" borderId="0" xfId="20" applyFont="1" applyAlignment="1" applyProtection="1">
      <alignment vertical="center"/>
    </xf>
    <xf numFmtId="0" fontId="21" fillId="18" borderId="62" xfId="20" applyFont="1" applyFill="1" applyBorder="1" applyAlignment="1" applyProtection="1">
      <alignment horizontal="right"/>
    </xf>
    <xf numFmtId="0" fontId="21" fillId="18" borderId="56" xfId="20" applyFont="1" applyFill="1" applyBorder="1" applyProtection="1"/>
    <xf numFmtId="176" fontId="21" fillId="0" borderId="56" xfId="14" applyNumberFormat="1" applyFont="1" applyBorder="1" applyProtection="1">
      <protection locked="0"/>
    </xf>
    <xf numFmtId="176" fontId="21" fillId="0" borderId="56" xfId="14" applyNumberFormat="1" applyFont="1" applyFill="1" applyBorder="1" applyProtection="1">
      <protection locked="0"/>
    </xf>
    <xf numFmtId="176" fontId="21" fillId="0" borderId="56" xfId="14" applyNumberFormat="1" applyFont="1" applyBorder="1" applyProtection="1"/>
    <xf numFmtId="176" fontId="21" fillId="0" borderId="63" xfId="14" applyNumberFormat="1" applyFont="1" applyFill="1" applyBorder="1" applyProtection="1"/>
    <xf numFmtId="1" fontId="20" fillId="18" borderId="20" xfId="20" applyNumberFormat="1" applyFont="1" applyFill="1" applyBorder="1" applyProtection="1"/>
    <xf numFmtId="1" fontId="20" fillId="18" borderId="64" xfId="20" applyNumberFormat="1" applyFont="1" applyFill="1" applyBorder="1" applyAlignment="1" applyProtection="1">
      <alignment vertical="center"/>
    </xf>
    <xf numFmtId="1" fontId="20" fillId="18" borderId="37" xfId="20" applyNumberFormat="1" applyFont="1" applyFill="1" applyBorder="1" applyAlignment="1" applyProtection="1">
      <alignment vertical="center"/>
    </xf>
    <xf numFmtId="0" fontId="20" fillId="18" borderId="37" xfId="20" applyFont="1" applyFill="1" applyBorder="1" applyProtection="1"/>
    <xf numFmtId="176" fontId="20" fillId="0" borderId="37" xfId="14" applyNumberFormat="1" applyFont="1" applyBorder="1" applyProtection="1">
      <protection locked="0"/>
    </xf>
    <xf numFmtId="176" fontId="20" fillId="0" borderId="37" xfId="14" applyNumberFormat="1" applyFont="1" applyFill="1" applyBorder="1" applyProtection="1">
      <protection locked="0"/>
    </xf>
    <xf numFmtId="176" fontId="20" fillId="0" borderId="37" xfId="14" applyNumberFormat="1" applyFont="1" applyBorder="1" applyProtection="1"/>
    <xf numFmtId="176" fontId="20" fillId="0" borderId="65" xfId="14" applyNumberFormat="1" applyFont="1" applyFill="1" applyBorder="1" applyProtection="1"/>
    <xf numFmtId="176" fontId="20" fillId="0" borderId="26" xfId="14" applyNumberFormat="1" applyFont="1" applyBorder="1" applyAlignment="1" applyProtection="1">
      <alignment vertical="top"/>
      <protection locked="0"/>
    </xf>
    <xf numFmtId="176" fontId="20" fillId="0" borderId="26" xfId="14" applyNumberFormat="1" applyFont="1" applyFill="1" applyBorder="1" applyAlignment="1" applyProtection="1">
      <alignment vertical="top"/>
      <protection locked="0"/>
    </xf>
    <xf numFmtId="176" fontId="20" fillId="0" borderId="26" xfId="14" applyNumberFormat="1" applyFont="1" applyBorder="1" applyAlignment="1" applyProtection="1">
      <alignment vertical="top"/>
    </xf>
    <xf numFmtId="176" fontId="20" fillId="0" borderId="26" xfId="14" applyNumberFormat="1" applyFont="1" applyFill="1" applyBorder="1" applyAlignment="1" applyProtection="1">
      <alignment horizontal="right" vertical="top"/>
      <protection locked="0"/>
    </xf>
    <xf numFmtId="176" fontId="20" fillId="0" borderId="26" xfId="14" applyNumberFormat="1" applyFont="1" applyFill="1" applyBorder="1" applyAlignment="1" applyProtection="1">
      <alignment horizontal="right"/>
    </xf>
    <xf numFmtId="176" fontId="20" fillId="0" borderId="33" xfId="14" applyNumberFormat="1" applyFont="1" applyFill="1" applyBorder="1" applyAlignment="1" applyProtection="1">
      <alignment horizontal="right"/>
    </xf>
    <xf numFmtId="1" fontId="20" fillId="18" borderId="61" xfId="20" applyNumberFormat="1" applyFont="1" applyFill="1" applyBorder="1" applyAlignment="1" applyProtection="1">
      <alignment horizontal="right" vertical="center" wrapText="1"/>
    </xf>
    <xf numFmtId="1" fontId="20" fillId="18" borderId="26" xfId="20" applyNumberFormat="1" applyFont="1" applyFill="1" applyBorder="1" applyAlignment="1" applyProtection="1">
      <alignment horizontal="right" vertical="center" wrapText="1"/>
    </xf>
    <xf numFmtId="0" fontId="20" fillId="18" borderId="26" xfId="20" applyFont="1" applyFill="1" applyBorder="1" applyAlignment="1" applyProtection="1">
      <alignment vertical="center" wrapText="1"/>
    </xf>
    <xf numFmtId="1" fontId="20" fillId="18" borderId="26" xfId="20" applyNumberFormat="1" applyFont="1" applyFill="1" applyBorder="1" applyAlignment="1" applyProtection="1">
      <alignment horizontal="right"/>
    </xf>
    <xf numFmtId="1" fontId="20" fillId="18" borderId="61" xfId="20" applyNumberFormat="1" applyFont="1" applyFill="1" applyBorder="1" applyAlignment="1" applyProtection="1">
      <alignment vertical="top"/>
    </xf>
    <xf numFmtId="1" fontId="20" fillId="18" borderId="26" xfId="20" applyNumberFormat="1" applyFont="1" applyFill="1" applyBorder="1" applyAlignment="1" applyProtection="1">
      <alignment vertical="top"/>
    </xf>
    <xf numFmtId="0" fontId="20" fillId="0" borderId="0" xfId="20" applyFont="1" applyAlignment="1" applyProtection="1">
      <alignment vertical="top"/>
      <protection locked="0"/>
    </xf>
    <xf numFmtId="1" fontId="21" fillId="18" borderId="56" xfId="20" applyNumberFormat="1" applyFont="1" applyFill="1" applyBorder="1" applyProtection="1"/>
    <xf numFmtId="1" fontId="21" fillId="18" borderId="62" xfId="20" applyNumberFormat="1" applyFont="1" applyFill="1" applyBorder="1" applyAlignment="1" applyProtection="1">
      <alignment horizontal="right"/>
    </xf>
    <xf numFmtId="0" fontId="20" fillId="18" borderId="20" xfId="20" applyFont="1" applyFill="1" applyBorder="1" applyProtection="1"/>
    <xf numFmtId="0" fontId="20" fillId="18" borderId="0" xfId="20" applyFont="1" applyFill="1" applyBorder="1" applyProtection="1"/>
    <xf numFmtId="0" fontId="19" fillId="18" borderId="0" xfId="20" applyFont="1" applyFill="1" applyBorder="1" applyProtection="1"/>
    <xf numFmtId="176" fontId="19" fillId="18" borderId="0" xfId="14" applyNumberFormat="1" applyFont="1" applyFill="1" applyBorder="1" applyProtection="1"/>
    <xf numFmtId="0" fontId="20" fillId="0" borderId="0" xfId="20" applyFont="1" applyFill="1" applyBorder="1" applyProtection="1"/>
    <xf numFmtId="0" fontId="19" fillId="0" borderId="0" xfId="20" applyFont="1" applyFill="1" applyBorder="1" applyProtection="1"/>
    <xf numFmtId="176" fontId="19" fillId="0" borderId="0" xfId="14" applyNumberFormat="1" applyFont="1" applyFill="1" applyBorder="1" applyProtection="1"/>
    <xf numFmtId="176" fontId="20" fillId="0" borderId="17" xfId="14" applyNumberFormat="1" applyFont="1" applyBorder="1" applyProtection="1"/>
    <xf numFmtId="176" fontId="20" fillId="0" borderId="17" xfId="14" applyNumberFormat="1" applyFont="1" applyFill="1" applyBorder="1" applyProtection="1"/>
    <xf numFmtId="0" fontId="20" fillId="19" borderId="61" xfId="20" applyFont="1" applyFill="1" applyBorder="1" applyAlignment="1" applyProtection="1">
      <alignment horizontal="right"/>
    </xf>
    <xf numFmtId="0" fontId="20" fillId="19" borderId="26" xfId="20" applyFont="1" applyFill="1" applyBorder="1" applyProtection="1"/>
    <xf numFmtId="0" fontId="21" fillId="19" borderId="61" xfId="20" applyFont="1" applyFill="1" applyBorder="1" applyAlignment="1" applyProtection="1">
      <alignment horizontal="right"/>
    </xf>
    <xf numFmtId="0" fontId="21" fillId="19" borderId="26" xfId="20" applyFont="1" applyFill="1" applyBorder="1" applyProtection="1"/>
    <xf numFmtId="0" fontId="20" fillId="19" borderId="62" xfId="20" applyFont="1" applyFill="1" applyBorder="1" applyAlignment="1" applyProtection="1">
      <alignment horizontal="right"/>
    </xf>
    <xf numFmtId="0" fontId="20" fillId="19" borderId="56" xfId="20" applyFont="1" applyFill="1" applyBorder="1" applyProtection="1"/>
    <xf numFmtId="176" fontId="20" fillId="0" borderId="56" xfId="14" applyNumberFormat="1" applyFont="1" applyFill="1" applyBorder="1" applyProtection="1"/>
    <xf numFmtId="0" fontId="19" fillId="19" borderId="20" xfId="20" applyFont="1" applyFill="1" applyBorder="1" applyAlignment="1" applyProtection="1">
      <alignment horizontal="right"/>
    </xf>
    <xf numFmtId="0" fontId="19" fillId="19" borderId="20" xfId="20" applyFont="1" applyFill="1" applyBorder="1" applyProtection="1"/>
    <xf numFmtId="176" fontId="19" fillId="19" borderId="20" xfId="14" applyNumberFormat="1" applyFont="1" applyFill="1" applyBorder="1" applyProtection="1"/>
    <xf numFmtId="0" fontId="20" fillId="19" borderId="61" xfId="20" applyFont="1" applyFill="1" applyBorder="1" applyAlignment="1" applyProtection="1">
      <alignment horizontal="right" vertical="top" wrapText="1"/>
    </xf>
    <xf numFmtId="0" fontId="20" fillId="19" borderId="26" xfId="20" applyFont="1" applyFill="1" applyBorder="1" applyAlignment="1" applyProtection="1">
      <alignment vertical="top" wrapText="1"/>
    </xf>
    <xf numFmtId="176" fontId="20" fillId="0" borderId="26" xfId="14" applyNumberFormat="1" applyFont="1" applyBorder="1" applyAlignment="1" applyProtection="1">
      <alignment vertical="top" wrapText="1"/>
      <protection locked="0"/>
    </xf>
    <xf numFmtId="176" fontId="20" fillId="0" borderId="33" xfId="14" applyNumberFormat="1" applyFont="1" applyBorder="1" applyAlignment="1" applyProtection="1">
      <alignment vertical="top"/>
    </xf>
    <xf numFmtId="0" fontId="20" fillId="19" borderId="62" xfId="20" applyFont="1" applyFill="1" applyBorder="1" applyAlignment="1" applyProtection="1">
      <alignment horizontal="right" vertical="top"/>
    </xf>
    <xf numFmtId="0" fontId="20" fillId="19" borderId="56" xfId="20" applyFont="1" applyFill="1" applyBorder="1" applyAlignment="1" applyProtection="1">
      <alignment vertical="top" wrapText="1"/>
    </xf>
    <xf numFmtId="176" fontId="20" fillId="0" borderId="56" xfId="14" applyNumberFormat="1" applyFont="1" applyBorder="1" applyAlignment="1" applyProtection="1">
      <alignment vertical="top"/>
      <protection locked="0"/>
    </xf>
    <xf numFmtId="176" fontId="20" fillId="0" borderId="56" xfId="14" applyNumberFormat="1" applyFont="1" applyBorder="1" applyAlignment="1" applyProtection="1">
      <alignment vertical="top"/>
    </xf>
    <xf numFmtId="176" fontId="20" fillId="0" borderId="63" xfId="14" applyNumberFormat="1" applyFont="1" applyBorder="1" applyAlignment="1" applyProtection="1">
      <alignment vertical="top"/>
    </xf>
    <xf numFmtId="0" fontId="20" fillId="19" borderId="20" xfId="20" applyFont="1" applyFill="1" applyBorder="1" applyProtection="1"/>
    <xf numFmtId="0" fontId="20" fillId="19" borderId="0" xfId="20" applyFont="1" applyFill="1" applyBorder="1" applyProtection="1"/>
    <xf numFmtId="0" fontId="19" fillId="19" borderId="0" xfId="20" applyFont="1" applyFill="1" applyBorder="1" applyProtection="1"/>
    <xf numFmtId="176" fontId="19" fillId="19" borderId="0" xfId="14" applyNumberFormat="1" applyFont="1" applyFill="1" applyBorder="1" applyProtection="1"/>
    <xf numFmtId="0" fontId="19" fillId="20" borderId="0" xfId="20" applyFont="1" applyFill="1" applyBorder="1" applyProtection="1"/>
    <xf numFmtId="0" fontId="20" fillId="20" borderId="0" xfId="20" applyFont="1" applyFill="1" applyBorder="1" applyProtection="1"/>
    <xf numFmtId="0" fontId="19" fillId="20" borderId="64" xfId="20" applyFont="1" applyFill="1" applyBorder="1" applyProtection="1"/>
    <xf numFmtId="0" fontId="19" fillId="20" borderId="37" xfId="20" applyFont="1" applyFill="1" applyBorder="1" applyProtection="1"/>
    <xf numFmtId="176" fontId="19" fillId="24" borderId="26" xfId="14" applyNumberFormat="1" applyFont="1" applyFill="1" applyBorder="1" applyProtection="1">
      <protection locked="0"/>
    </xf>
    <xf numFmtId="176" fontId="19" fillId="24" borderId="33" xfId="14" applyNumberFormat="1" applyFont="1" applyFill="1" applyBorder="1" applyProtection="1">
      <protection locked="0"/>
    </xf>
    <xf numFmtId="0" fontId="20" fillId="0" borderId="0" xfId="20" applyFont="1" applyFill="1" applyProtection="1">
      <protection locked="0"/>
    </xf>
    <xf numFmtId="0" fontId="19" fillId="20" borderId="61" xfId="20" applyFont="1" applyFill="1" applyBorder="1" applyAlignment="1" applyProtection="1">
      <alignment horizontal="right" vertical="top"/>
    </xf>
    <xf numFmtId="0" fontId="19" fillId="20" borderId="26" xfId="20" applyFont="1" applyFill="1" applyBorder="1" applyProtection="1"/>
    <xf numFmtId="0" fontId="21" fillId="20" borderId="61" xfId="20" applyFont="1" applyFill="1" applyBorder="1" applyAlignment="1" applyProtection="1">
      <alignment horizontal="right" vertical="top"/>
    </xf>
    <xf numFmtId="0" fontId="21" fillId="20" borderId="26" xfId="20" applyFont="1" applyFill="1" applyBorder="1" applyProtection="1"/>
    <xf numFmtId="176" fontId="21" fillId="0" borderId="33" xfId="14" applyNumberFormat="1" applyFont="1" applyFill="1" applyBorder="1" applyProtection="1">
      <protection locked="0"/>
    </xf>
    <xf numFmtId="0" fontId="21" fillId="20" borderId="61" xfId="20" applyFont="1" applyFill="1" applyBorder="1" applyAlignment="1" applyProtection="1">
      <alignment horizontal="right" vertical="top" wrapText="1"/>
    </xf>
    <xf numFmtId="0" fontId="21" fillId="20" borderId="26" xfId="20" applyFont="1" applyFill="1" applyBorder="1" applyAlignment="1" applyProtection="1">
      <alignment vertical="top"/>
    </xf>
    <xf numFmtId="176" fontId="21" fillId="0" borderId="26" xfId="14" applyNumberFormat="1" applyFont="1" applyFill="1" applyBorder="1" applyAlignment="1" applyProtection="1">
      <alignment vertical="top"/>
      <protection locked="0"/>
    </xf>
    <xf numFmtId="176" fontId="21" fillId="0" borderId="33" xfId="14" applyNumberFormat="1" applyFont="1" applyFill="1" applyBorder="1" applyAlignment="1" applyProtection="1">
      <alignment vertical="top"/>
      <protection locked="0"/>
    </xf>
    <xf numFmtId="0" fontId="20" fillId="0" borderId="0" xfId="20" applyFont="1" applyFill="1" applyAlignment="1" applyProtection="1">
      <alignment vertical="top"/>
      <protection locked="0"/>
    </xf>
    <xf numFmtId="0" fontId="21" fillId="20" borderId="26" xfId="20" applyFont="1" applyFill="1" applyBorder="1" applyAlignment="1" applyProtection="1">
      <alignment vertical="top" wrapText="1"/>
    </xf>
    <xf numFmtId="176" fontId="21" fillId="0" borderId="33" xfId="14" applyNumberFormat="1" applyFont="1" applyFill="1" applyBorder="1" applyAlignment="1" applyProtection="1">
      <alignment vertical="top" wrapText="1"/>
      <protection locked="0"/>
    </xf>
    <xf numFmtId="0" fontId="20" fillId="0" borderId="0" xfId="20" applyFont="1" applyFill="1" applyAlignment="1" applyProtection="1">
      <alignment vertical="top" wrapText="1"/>
      <protection locked="0"/>
    </xf>
    <xf numFmtId="0" fontId="20" fillId="20" borderId="61" xfId="20" applyFont="1" applyFill="1" applyBorder="1" applyAlignment="1" applyProtection="1">
      <alignment horizontal="right" vertical="top"/>
    </xf>
    <xf numFmtId="0" fontId="20" fillId="20" borderId="26" xfId="20" applyFont="1" applyFill="1" applyBorder="1" applyProtection="1"/>
    <xf numFmtId="176" fontId="19" fillId="0" borderId="26" xfId="14" applyNumberFormat="1" applyFont="1" applyFill="1" applyBorder="1" applyProtection="1">
      <protection locked="0"/>
    </xf>
    <xf numFmtId="176" fontId="19" fillId="0" borderId="33" xfId="14" applyNumberFormat="1" applyFont="1" applyFill="1" applyBorder="1" applyProtection="1">
      <protection locked="0"/>
    </xf>
    <xf numFmtId="0" fontId="20" fillId="20" borderId="61" xfId="20" applyFont="1" applyFill="1" applyBorder="1" applyAlignment="1" applyProtection="1">
      <alignment horizontal="right" vertical="top" wrapText="1"/>
    </xf>
    <xf numFmtId="0" fontId="20" fillId="20" borderId="26" xfId="20" applyFont="1" applyFill="1" applyBorder="1" applyAlignment="1" applyProtection="1">
      <alignment vertical="top" wrapText="1"/>
    </xf>
    <xf numFmtId="176" fontId="19" fillId="0" borderId="26" xfId="14" applyNumberFormat="1" applyFont="1" applyFill="1" applyBorder="1" applyAlignment="1" applyProtection="1">
      <alignment vertical="top" wrapText="1"/>
      <protection locked="0"/>
    </xf>
    <xf numFmtId="176" fontId="19" fillId="0" borderId="33" xfId="14" applyNumberFormat="1" applyFont="1" applyFill="1" applyBorder="1" applyAlignment="1" applyProtection="1">
      <alignment vertical="top" wrapText="1"/>
      <protection locked="0"/>
    </xf>
    <xf numFmtId="0" fontId="20" fillId="20" borderId="62" xfId="20" applyFont="1" applyFill="1" applyBorder="1" applyAlignment="1" applyProtection="1">
      <alignment horizontal="right" vertical="top"/>
    </xf>
    <xf numFmtId="0" fontId="20" fillId="20" borderId="56" xfId="20" applyFont="1" applyFill="1" applyBorder="1" applyProtection="1"/>
    <xf numFmtId="176" fontId="19" fillId="0" borderId="56" xfId="14" applyNumberFormat="1" applyFont="1" applyFill="1" applyBorder="1" applyProtection="1">
      <protection locked="0"/>
    </xf>
    <xf numFmtId="176" fontId="19" fillId="0" borderId="63" xfId="14" applyNumberFormat="1" applyFont="1" applyFill="1" applyBorder="1" applyProtection="1">
      <protection locked="0"/>
    </xf>
    <xf numFmtId="0" fontId="19" fillId="20" borderId="20" xfId="20" applyFont="1" applyFill="1" applyBorder="1" applyProtection="1"/>
    <xf numFmtId="0" fontId="20" fillId="20" borderId="20" xfId="20" applyFont="1" applyFill="1" applyBorder="1" applyProtection="1"/>
    <xf numFmtId="176" fontId="19" fillId="20" borderId="20" xfId="14" applyNumberFormat="1" applyFont="1" applyFill="1" applyBorder="1" applyProtection="1"/>
    <xf numFmtId="176" fontId="19" fillId="0" borderId="37" xfId="14" applyNumberFormat="1" applyFont="1" applyFill="1" applyBorder="1" applyProtection="1">
      <protection locked="0"/>
    </xf>
    <xf numFmtId="176" fontId="19" fillId="0" borderId="65" xfId="14" applyNumberFormat="1" applyFont="1" applyFill="1" applyBorder="1" applyProtection="1">
      <protection locked="0"/>
    </xf>
    <xf numFmtId="0" fontId="19" fillId="20" borderId="61" xfId="20" applyFont="1" applyFill="1" applyBorder="1" applyAlignment="1" applyProtection="1">
      <alignment horizontal="right"/>
    </xf>
    <xf numFmtId="0" fontId="20" fillId="20" borderId="61" xfId="20" applyFont="1" applyFill="1" applyBorder="1" applyAlignment="1" applyProtection="1">
      <alignment horizontal="right"/>
    </xf>
    <xf numFmtId="0" fontId="21" fillId="0" borderId="0" xfId="20" applyFont="1" applyFill="1" applyProtection="1">
      <protection locked="0"/>
    </xf>
    <xf numFmtId="0" fontId="21" fillId="20" borderId="61" xfId="20" applyFont="1" applyFill="1" applyBorder="1" applyAlignment="1" applyProtection="1">
      <alignment horizontal="right"/>
    </xf>
    <xf numFmtId="176" fontId="22" fillId="0" borderId="26" xfId="14" applyNumberFormat="1" applyFont="1" applyFill="1" applyBorder="1" applyProtection="1">
      <protection locked="0"/>
    </xf>
    <xf numFmtId="176" fontId="22" fillId="0" borderId="33" xfId="14" applyNumberFormat="1" applyFont="1" applyFill="1" applyBorder="1" applyProtection="1">
      <protection locked="0"/>
    </xf>
    <xf numFmtId="0" fontId="21" fillId="0" borderId="0" xfId="20" applyFont="1" applyFill="1" applyAlignment="1" applyProtection="1">
      <alignment vertical="top" wrapText="1"/>
      <protection locked="0"/>
    </xf>
    <xf numFmtId="0" fontId="21" fillId="20" borderId="62" xfId="20" applyFont="1" applyFill="1" applyBorder="1" applyAlignment="1" applyProtection="1">
      <alignment horizontal="right"/>
    </xf>
    <xf numFmtId="0" fontId="21" fillId="20" borderId="56" xfId="20" applyFont="1" applyFill="1" applyBorder="1" applyProtection="1"/>
    <xf numFmtId="176" fontId="21" fillId="0" borderId="63" xfId="14" applyNumberFormat="1" applyFont="1" applyFill="1" applyBorder="1" applyProtection="1">
      <protection locked="0"/>
    </xf>
    <xf numFmtId="0" fontId="19" fillId="21" borderId="0" xfId="20" applyFont="1" applyFill="1" applyProtection="1"/>
    <xf numFmtId="0" fontId="20" fillId="21" borderId="0" xfId="20" applyFont="1" applyFill="1" applyProtection="1"/>
    <xf numFmtId="0" fontId="20" fillId="21" borderId="0" xfId="20" applyFont="1" applyFill="1" applyAlignment="1" applyProtection="1">
      <alignment horizontal="right"/>
    </xf>
    <xf numFmtId="0" fontId="20" fillId="21" borderId="12" xfId="20" applyFont="1" applyFill="1" applyBorder="1" applyAlignment="1" applyProtection="1">
      <alignment horizontal="right"/>
    </xf>
    <xf numFmtId="0" fontId="20" fillId="21" borderId="12" xfId="20" applyFont="1" applyFill="1" applyBorder="1" applyProtection="1"/>
    <xf numFmtId="177" fontId="20" fillId="21" borderId="12" xfId="14" applyNumberFormat="1" applyFont="1" applyFill="1" applyBorder="1" applyProtection="1"/>
    <xf numFmtId="0" fontId="20" fillId="21" borderId="0" xfId="20" applyFont="1" applyFill="1" applyBorder="1" applyAlignment="1" applyProtection="1">
      <alignment horizontal="right"/>
    </xf>
    <xf numFmtId="0" fontId="20" fillId="21" borderId="0" xfId="20" applyFont="1" applyFill="1" applyBorder="1" applyProtection="1"/>
    <xf numFmtId="178" fontId="20" fillId="21" borderId="0" xfId="18" applyNumberFormat="1" applyFont="1" applyFill="1" applyBorder="1" applyProtection="1"/>
    <xf numFmtId="0" fontId="20" fillId="21" borderId="0" xfId="20" applyFont="1" applyFill="1" applyBorder="1" applyAlignment="1" applyProtection="1">
      <alignment horizontal="right" vertical="top" wrapText="1"/>
    </xf>
    <xf numFmtId="0" fontId="20" fillId="21" borderId="0" xfId="20" applyFont="1" applyFill="1" applyBorder="1" applyAlignment="1" applyProtection="1">
      <alignment vertical="top" wrapText="1"/>
    </xf>
    <xf numFmtId="178" fontId="20" fillId="21" borderId="0" xfId="18" applyNumberFormat="1" applyFont="1" applyFill="1" applyBorder="1" applyAlignment="1" applyProtection="1">
      <alignment vertical="top"/>
    </xf>
    <xf numFmtId="0" fontId="20" fillId="0" borderId="0" xfId="20" applyFont="1" applyAlignment="1" applyProtection="1">
      <alignment vertical="top"/>
    </xf>
    <xf numFmtId="0" fontId="20" fillId="21" borderId="17" xfId="20" applyFont="1" applyFill="1" applyBorder="1" applyAlignment="1" applyProtection="1">
      <alignment horizontal="right" vertical="top" wrapText="1"/>
    </xf>
    <xf numFmtId="0" fontId="20" fillId="21" borderId="17" xfId="20" applyFont="1" applyFill="1" applyBorder="1" applyAlignment="1" applyProtection="1">
      <alignment vertical="top" wrapText="1"/>
    </xf>
    <xf numFmtId="178" fontId="20" fillId="21" borderId="17" xfId="18" applyNumberFormat="1" applyFont="1" applyFill="1" applyBorder="1" applyAlignment="1" applyProtection="1">
      <alignment vertical="top"/>
    </xf>
    <xf numFmtId="0" fontId="20" fillId="21" borderId="12" xfId="20" applyFont="1" applyFill="1" applyBorder="1" applyAlignment="1" applyProtection="1">
      <alignment horizontal="right" vertical="top" wrapText="1"/>
    </xf>
    <xf numFmtId="0" fontId="20" fillId="21" borderId="12" xfId="20" applyFont="1" applyFill="1" applyBorder="1" applyAlignment="1" applyProtection="1">
      <alignment vertical="top" wrapText="1"/>
    </xf>
    <xf numFmtId="177" fontId="20" fillId="21" borderId="12" xfId="14" applyNumberFormat="1" applyFont="1" applyFill="1" applyBorder="1" applyAlignment="1" applyProtection="1">
      <alignment vertical="top"/>
    </xf>
    <xf numFmtId="177" fontId="20" fillId="21" borderId="0" xfId="14" applyNumberFormat="1" applyFont="1" applyFill="1" applyBorder="1" applyAlignment="1" applyProtection="1">
      <alignment vertical="top"/>
    </xf>
    <xf numFmtId="176" fontId="20" fillId="21" borderId="12" xfId="14" applyNumberFormat="1" applyFont="1" applyFill="1" applyBorder="1" applyProtection="1"/>
    <xf numFmtId="0" fontId="20" fillId="21" borderId="17" xfId="20" applyFont="1" applyFill="1" applyBorder="1" applyAlignment="1" applyProtection="1">
      <alignment horizontal="right"/>
    </xf>
    <xf numFmtId="0" fontId="20" fillId="21" borderId="17" xfId="20" applyFont="1" applyFill="1" applyBorder="1" applyProtection="1"/>
    <xf numFmtId="178" fontId="20" fillId="21" borderId="17" xfId="18" applyNumberFormat="1" applyFont="1" applyFill="1" applyBorder="1" applyProtection="1"/>
    <xf numFmtId="176" fontId="20" fillId="21" borderId="0" xfId="14" applyNumberFormat="1" applyFont="1" applyFill="1" applyBorder="1" applyProtection="1"/>
    <xf numFmtId="176" fontId="20" fillId="21" borderId="0" xfId="14" applyNumberFormat="1" applyFont="1" applyFill="1" applyBorder="1" applyAlignment="1" applyProtection="1">
      <alignment horizontal="right"/>
    </xf>
    <xf numFmtId="0" fontId="20" fillId="21" borderId="17" xfId="20" applyFont="1" applyFill="1" applyBorder="1" applyAlignment="1" applyProtection="1">
      <alignment vertical="top"/>
    </xf>
    <xf numFmtId="0" fontId="20" fillId="21" borderId="20" xfId="20" applyFont="1" applyFill="1" applyBorder="1" applyProtection="1"/>
    <xf numFmtId="178" fontId="20" fillId="21" borderId="20" xfId="18" applyNumberFormat="1" applyFont="1" applyFill="1" applyBorder="1" applyProtection="1"/>
    <xf numFmtId="0" fontId="20" fillId="21" borderId="20" xfId="20" applyFont="1" applyFill="1" applyBorder="1" applyAlignment="1" applyProtection="1">
      <alignment horizontal="right"/>
    </xf>
    <xf numFmtId="0" fontId="19" fillId="22" borderId="0" xfId="20" applyFont="1" applyFill="1" applyBorder="1" applyProtection="1"/>
    <xf numFmtId="0" fontId="20" fillId="22" borderId="0" xfId="20" applyFont="1" applyFill="1" applyBorder="1" applyProtection="1"/>
    <xf numFmtId="176" fontId="20" fillId="22" borderId="0" xfId="14" applyNumberFormat="1" applyFont="1" applyFill="1" applyBorder="1" applyProtection="1"/>
    <xf numFmtId="176" fontId="20" fillId="22" borderId="0" xfId="14" applyNumberFormat="1" applyFont="1" applyFill="1" applyBorder="1" applyProtection="1">
      <protection locked="0"/>
    </xf>
    <xf numFmtId="176" fontId="20" fillId="22" borderId="0" xfId="21" applyNumberFormat="1" applyFont="1" applyFill="1" applyBorder="1" applyProtection="1"/>
    <xf numFmtId="176" fontId="20" fillId="22" borderId="0" xfId="20" applyNumberFormat="1" applyFont="1" applyFill="1" applyBorder="1" applyProtection="1"/>
    <xf numFmtId="0" fontId="19" fillId="16" borderId="0" xfId="20" applyFont="1" applyFill="1" applyAlignment="1" applyProtection="1">
      <alignment wrapText="1"/>
    </xf>
    <xf numFmtId="0" fontId="20" fillId="16" borderId="0" xfId="20" applyFont="1" applyFill="1" applyProtection="1"/>
    <xf numFmtId="176" fontId="20" fillId="16" borderId="0" xfId="14" applyNumberFormat="1" applyFont="1" applyFill="1" applyProtection="1"/>
    <xf numFmtId="0" fontId="40" fillId="16" borderId="0" xfId="20" applyFont="1" applyFill="1" applyBorder="1" applyAlignment="1" applyProtection="1">
      <alignment vertical="center"/>
    </xf>
    <xf numFmtId="0" fontId="41" fillId="25" borderId="0" xfId="20" applyFont="1" applyFill="1" applyBorder="1" applyAlignment="1" applyProtection="1">
      <alignment vertical="center"/>
      <protection locked="0"/>
    </xf>
    <xf numFmtId="0" fontId="20" fillId="0" borderId="0" xfId="20" applyFont="1" applyAlignment="1" applyProtection="1">
      <alignment horizontal="right"/>
    </xf>
    <xf numFmtId="1" fontId="20" fillId="18" borderId="60" xfId="20" applyNumberFormat="1" applyFont="1" applyFill="1" applyBorder="1" applyProtection="1"/>
    <xf numFmtId="1" fontId="20" fillId="18" borderId="31" xfId="20" applyNumberFormat="1" applyFont="1" applyFill="1" applyBorder="1" applyProtection="1"/>
    <xf numFmtId="176" fontId="20" fillId="0" borderId="31" xfId="14" applyNumberFormat="1" applyFont="1" applyFill="1" applyBorder="1" applyProtection="1">
      <protection locked="0"/>
    </xf>
    <xf numFmtId="176" fontId="20" fillId="0" borderId="33" xfId="14" applyNumberFormat="1" applyFont="1" applyFill="1" applyBorder="1" applyAlignment="1" applyProtection="1">
      <alignment horizontal="right" vertical="top"/>
    </xf>
    <xf numFmtId="1" fontId="21" fillId="18" borderId="26" xfId="20" applyNumberFormat="1" applyFont="1" applyFill="1" applyBorder="1" applyAlignment="1" applyProtection="1">
      <alignment horizontal="right" vertical="top" wrapText="1"/>
    </xf>
    <xf numFmtId="176" fontId="20" fillId="0" borderId="33" xfId="14" applyNumberFormat="1" applyFont="1" applyBorder="1" applyAlignment="1" applyProtection="1">
      <alignment horizontal="right"/>
    </xf>
    <xf numFmtId="176" fontId="21" fillId="0" borderId="26" xfId="14" applyNumberFormat="1" applyFont="1" applyFill="1" applyBorder="1" applyAlignment="1" applyProtection="1">
      <alignment vertical="center"/>
      <protection locked="0"/>
    </xf>
    <xf numFmtId="176" fontId="20" fillId="0" borderId="63" xfId="14" applyNumberFormat="1" applyFont="1" applyBorder="1" applyProtection="1"/>
    <xf numFmtId="0" fontId="19" fillId="0" borderId="0" xfId="20" applyFont="1" applyProtection="1"/>
    <xf numFmtId="176" fontId="21" fillId="0" borderId="56" xfId="14" applyNumberFormat="1" applyFont="1" applyFill="1" applyBorder="1" applyAlignment="1" applyProtection="1">
      <alignment vertical="center"/>
      <protection locked="0"/>
    </xf>
    <xf numFmtId="176" fontId="20" fillId="0" borderId="65" xfId="14" applyNumberFormat="1" applyFont="1" applyBorder="1" applyProtection="1"/>
    <xf numFmtId="0" fontId="21" fillId="0" borderId="0" xfId="20" applyFont="1" applyAlignment="1" applyProtection="1">
      <alignment vertical="top"/>
      <protection locked="0"/>
    </xf>
    <xf numFmtId="176" fontId="20" fillId="0" borderId="26" xfId="14" applyNumberFormat="1" applyFont="1" applyFill="1" applyBorder="1" applyAlignment="1" applyProtection="1">
      <alignment horizontal="right"/>
      <protection locked="0"/>
    </xf>
    <xf numFmtId="1" fontId="20" fillId="18" borderId="61" xfId="20" applyNumberFormat="1" applyFont="1" applyFill="1" applyBorder="1" applyAlignment="1" applyProtection="1">
      <alignment horizontal="right" vertical="top"/>
    </xf>
    <xf numFmtId="176" fontId="19" fillId="24" borderId="26" xfId="14" applyNumberFormat="1" applyFont="1" applyFill="1" applyBorder="1" applyAlignment="1" applyProtection="1">
      <alignment vertical="center"/>
      <protection locked="0"/>
    </xf>
    <xf numFmtId="0" fontId="20" fillId="20" borderId="26" xfId="20" applyFont="1" applyFill="1" applyBorder="1" applyAlignment="1" applyProtection="1">
      <alignment vertical="top"/>
    </xf>
    <xf numFmtId="176" fontId="20" fillId="0" borderId="33" xfId="14" applyNumberFormat="1" applyFont="1" applyFill="1" applyBorder="1" applyAlignment="1" applyProtection="1">
      <alignment vertical="top"/>
      <protection locked="0"/>
    </xf>
    <xf numFmtId="176" fontId="20" fillId="0" borderId="33" xfId="14" applyNumberFormat="1" applyFont="1" applyFill="1" applyBorder="1" applyAlignment="1" applyProtection="1">
      <alignment vertical="top" wrapText="1"/>
      <protection locked="0"/>
    </xf>
    <xf numFmtId="176" fontId="20" fillId="0" borderId="56" xfId="14" applyNumberFormat="1" applyFont="1" applyFill="1" applyBorder="1" applyAlignment="1" applyProtection="1">
      <alignment vertical="center"/>
      <protection locked="0"/>
    </xf>
    <xf numFmtId="176" fontId="20" fillId="0" borderId="0" xfId="14" applyNumberFormat="1" applyFont="1" applyFill="1" applyBorder="1" applyProtection="1">
      <protection locked="0"/>
    </xf>
    <xf numFmtId="176" fontId="20" fillId="0" borderId="65" xfId="14" applyNumberFormat="1" applyFont="1" applyBorder="1" applyProtection="1">
      <protection locked="0"/>
    </xf>
    <xf numFmtId="176" fontId="20" fillId="0" borderId="33" xfId="14" applyNumberFormat="1" applyFont="1" applyBorder="1" applyAlignment="1" applyProtection="1">
      <alignment vertical="top"/>
      <protection locked="0"/>
    </xf>
    <xf numFmtId="176" fontId="20" fillId="0" borderId="33" xfId="14" applyNumberFormat="1" applyFont="1" applyFill="1" applyBorder="1" applyAlignment="1" applyProtection="1">
      <alignment horizontal="right" vertical="top"/>
      <protection locked="0"/>
    </xf>
    <xf numFmtId="0" fontId="20" fillId="21" borderId="0" xfId="20" applyFont="1" applyFill="1" applyBorder="1" applyAlignment="1" applyProtection="1">
      <alignment horizontal="right" vertical="center" wrapText="1"/>
    </xf>
    <xf numFmtId="0" fontId="20" fillId="21" borderId="0" xfId="20" applyFont="1" applyFill="1" applyBorder="1" applyAlignment="1" applyProtection="1">
      <alignment vertical="center" wrapText="1"/>
    </xf>
    <xf numFmtId="178" fontId="20" fillId="21" borderId="0" xfId="18" applyNumberFormat="1" applyFont="1" applyFill="1" applyBorder="1" applyAlignment="1" applyProtection="1">
      <alignment vertical="center"/>
    </xf>
    <xf numFmtId="0" fontId="20" fillId="21" borderId="17" xfId="20" applyFont="1" applyFill="1" applyBorder="1" applyAlignment="1" applyProtection="1">
      <alignment horizontal="right" vertical="center" wrapText="1"/>
    </xf>
    <xf numFmtId="0" fontId="20" fillId="21" borderId="17" xfId="20" applyFont="1" applyFill="1" applyBorder="1" applyAlignment="1" applyProtection="1">
      <alignment vertical="center" wrapText="1"/>
    </xf>
    <xf numFmtId="178" fontId="20" fillId="21" borderId="17" xfId="18" applyNumberFormat="1" applyFont="1" applyFill="1" applyBorder="1" applyAlignment="1" applyProtection="1">
      <alignment vertical="center"/>
    </xf>
    <xf numFmtId="176" fontId="20" fillId="0" borderId="26" xfId="14" applyNumberFormat="1" applyFont="1" applyFill="1" applyBorder="1" applyAlignment="1" applyProtection="1">
      <alignment horizontal="right" vertical="top"/>
    </xf>
    <xf numFmtId="0" fontId="20" fillId="21" borderId="12" xfId="20" applyFont="1" applyFill="1" applyBorder="1" applyAlignment="1" applyProtection="1">
      <alignment horizontal="left" vertical="top"/>
    </xf>
    <xf numFmtId="0" fontId="20" fillId="21" borderId="0" xfId="20" applyFont="1" applyFill="1" applyBorder="1" applyAlignment="1" applyProtection="1">
      <alignment horizontal="left" vertical="top"/>
    </xf>
    <xf numFmtId="0" fontId="20" fillId="21" borderId="0" xfId="20" applyFont="1" applyFill="1" applyBorder="1" applyAlignment="1" applyProtection="1">
      <alignment horizontal="left" vertical="top" wrapText="1"/>
    </xf>
    <xf numFmtId="0" fontId="20" fillId="21" borderId="17" xfId="20" applyFont="1" applyFill="1" applyBorder="1" applyAlignment="1" applyProtection="1">
      <alignment horizontal="left" vertical="top" wrapText="1"/>
    </xf>
    <xf numFmtId="0" fontId="20" fillId="21" borderId="12" xfId="20" applyFont="1" applyFill="1" applyBorder="1" applyAlignment="1" applyProtection="1">
      <alignment horizontal="left" vertical="top" wrapText="1"/>
    </xf>
    <xf numFmtId="0" fontId="20" fillId="21" borderId="17" xfId="20" applyFont="1" applyFill="1" applyBorder="1" applyAlignment="1" applyProtection="1">
      <alignment horizontal="left" vertical="top"/>
    </xf>
    <xf numFmtId="0" fontId="20" fillId="21" borderId="20" xfId="20" applyFont="1" applyFill="1" applyBorder="1" applyAlignment="1" applyProtection="1">
      <alignment horizontal="left" vertical="top"/>
    </xf>
    <xf numFmtId="0" fontId="20" fillId="21" borderId="12" xfId="20" applyFont="1" applyFill="1" applyBorder="1" applyAlignment="1" applyProtection="1">
      <alignment horizontal="left"/>
    </xf>
    <xf numFmtId="0" fontId="20" fillId="21" borderId="0" xfId="20" applyFont="1" applyFill="1" applyBorder="1" applyAlignment="1" applyProtection="1">
      <alignment horizontal="left"/>
    </xf>
    <xf numFmtId="0" fontId="20" fillId="21" borderId="17" xfId="20" applyFont="1" applyFill="1" applyBorder="1" applyAlignment="1" applyProtection="1">
      <alignment horizontal="left"/>
    </xf>
    <xf numFmtId="0" fontId="20" fillId="21" borderId="20" xfId="20" applyFont="1" applyFill="1" applyBorder="1" applyAlignment="1" applyProtection="1">
      <alignment horizontal="left"/>
    </xf>
    <xf numFmtId="43" fontId="20" fillId="16" borderId="0" xfId="14" applyFont="1" applyFill="1" applyProtection="1"/>
    <xf numFmtId="176" fontId="20" fillId="0" borderId="33" xfId="14" applyNumberFormat="1" applyFont="1" applyFill="1" applyBorder="1" applyAlignment="1" applyProtection="1"/>
    <xf numFmtId="176" fontId="20" fillId="0" borderId="26" xfId="14" applyNumberFormat="1" applyFont="1" applyFill="1" applyBorder="1" applyAlignment="1" applyProtection="1"/>
    <xf numFmtId="0" fontId="20" fillId="18" borderId="26" xfId="20" applyFont="1" applyFill="1" applyBorder="1" applyAlignment="1" applyProtection="1">
      <alignment wrapText="1"/>
    </xf>
    <xf numFmtId="1" fontId="20" fillId="18" borderId="26" xfId="20" applyNumberFormat="1" applyFont="1" applyFill="1" applyBorder="1" applyAlignment="1" applyProtection="1">
      <alignment horizontal="right" wrapText="1"/>
    </xf>
    <xf numFmtId="1" fontId="20" fillId="18" borderId="61" xfId="20" applyNumberFormat="1" applyFont="1" applyFill="1" applyBorder="1" applyAlignment="1" applyProtection="1">
      <alignment horizontal="right" wrapText="1"/>
    </xf>
    <xf numFmtId="176" fontId="20" fillId="0" borderId="33" xfId="14" applyNumberFormat="1" applyFont="1" applyBorder="1" applyAlignment="1" applyProtection="1">
      <protection locked="0"/>
    </xf>
    <xf numFmtId="176" fontId="20" fillId="0" borderId="26" xfId="14" applyNumberFormat="1" applyFont="1" applyBorder="1" applyAlignment="1" applyProtection="1">
      <protection locked="0"/>
    </xf>
    <xf numFmtId="176" fontId="20" fillId="0" borderId="26" xfId="14" applyNumberFormat="1" applyFont="1" applyFill="1" applyBorder="1" applyAlignment="1" applyProtection="1">
      <protection locked="0"/>
    </xf>
    <xf numFmtId="176" fontId="21" fillId="0" borderId="26" xfId="14" applyNumberFormat="1" applyFont="1" applyFill="1" applyBorder="1" applyAlignment="1" applyProtection="1">
      <alignment horizontal="right" vertical="top" wrapText="1"/>
    </xf>
    <xf numFmtId="176" fontId="21" fillId="0" borderId="26" xfId="14" applyNumberFormat="1" applyFont="1" applyBorder="1" applyAlignment="1" applyProtection="1">
      <alignment vertical="top"/>
      <protection locked="0"/>
    </xf>
    <xf numFmtId="176" fontId="20" fillId="0" borderId="31" xfId="14" applyNumberFormat="1" applyFont="1" applyFill="1" applyBorder="1" applyProtection="1"/>
    <xf numFmtId="0" fontId="18" fillId="16" borderId="12" xfId="20" applyFont="1" applyFill="1" applyBorder="1" applyAlignment="1" applyProtection="1">
      <alignment horizontal="left"/>
    </xf>
    <xf numFmtId="1" fontId="21" fillId="18" borderId="26" xfId="20" applyNumberFormat="1" applyFont="1" applyFill="1" applyBorder="1" applyAlignment="1" applyProtection="1">
      <alignment horizontal="right"/>
    </xf>
    <xf numFmtId="0" fontId="20" fillId="21" borderId="20" xfId="20" applyFont="1" applyFill="1" applyBorder="1" applyAlignment="1" applyProtection="1">
      <alignment horizontal="left" vertical="top" wrapText="1"/>
    </xf>
    <xf numFmtId="0" fontId="41" fillId="25" borderId="0" xfId="20" applyFont="1" applyFill="1" applyBorder="1" applyAlignment="1" applyProtection="1">
      <alignment vertical="center"/>
    </xf>
    <xf numFmtId="1" fontId="20" fillId="18" borderId="61" xfId="20" applyNumberFormat="1" applyFont="1" applyFill="1" applyBorder="1" applyAlignment="1" applyProtection="1">
      <alignment vertical="top" wrapText="1"/>
    </xf>
    <xf numFmtId="1" fontId="20" fillId="18" borderId="26" xfId="20" applyNumberFormat="1" applyFont="1" applyFill="1" applyBorder="1" applyAlignment="1" applyProtection="1">
      <alignment vertical="top" wrapText="1"/>
    </xf>
    <xf numFmtId="0" fontId="20" fillId="0" borderId="0" xfId="20" applyFont="1" applyAlignment="1" applyProtection="1">
      <alignment vertical="top" wrapText="1"/>
      <protection locked="0"/>
    </xf>
    <xf numFmtId="0" fontId="21" fillId="0" borderId="0" xfId="20" applyFont="1" applyAlignment="1" applyProtection="1">
      <alignment vertical="top" wrapText="1"/>
    </xf>
    <xf numFmtId="176" fontId="20" fillId="0" borderId="26" xfId="14" applyNumberFormat="1" applyFont="1" applyFill="1" applyBorder="1" applyAlignment="1" applyProtection="1">
      <alignment horizontal="left" vertical="top" wrapText="1"/>
    </xf>
    <xf numFmtId="176" fontId="20" fillId="0" borderId="33" xfId="14" applyNumberFormat="1" applyFont="1" applyFill="1" applyBorder="1" applyAlignment="1" applyProtection="1">
      <alignment horizontal="left" vertical="top"/>
    </xf>
    <xf numFmtId="1" fontId="21" fillId="18" borderId="26" xfId="20" applyNumberFormat="1" applyFont="1" applyFill="1" applyBorder="1" applyAlignment="1" applyProtection="1">
      <alignment horizontal="right" vertical="top"/>
    </xf>
    <xf numFmtId="0" fontId="20" fillId="19" borderId="56" xfId="20" applyFont="1" applyFill="1" applyBorder="1" applyAlignment="1" applyProtection="1">
      <alignment vertical="top"/>
    </xf>
    <xf numFmtId="0" fontId="20" fillId="20" borderId="62" xfId="20" applyFont="1" applyFill="1" applyBorder="1" applyAlignment="1" applyProtection="1">
      <alignment horizontal="right" vertical="top" wrapText="1"/>
    </xf>
    <xf numFmtId="0" fontId="20" fillId="20" borderId="56" xfId="20" applyFont="1" applyFill="1" applyBorder="1" applyAlignment="1" applyProtection="1">
      <alignment vertical="top" wrapText="1"/>
    </xf>
    <xf numFmtId="176" fontId="19" fillId="0" borderId="56" xfId="14" applyNumberFormat="1" applyFont="1" applyFill="1" applyBorder="1" applyAlignment="1" applyProtection="1">
      <alignment vertical="top" wrapText="1"/>
      <protection locked="0"/>
    </xf>
    <xf numFmtId="176" fontId="20" fillId="0" borderId="56" xfId="14" applyNumberFormat="1" applyFont="1" applyFill="1" applyBorder="1" applyAlignment="1" applyProtection="1">
      <alignment vertical="top" wrapText="1"/>
      <protection locked="0"/>
    </xf>
    <xf numFmtId="176" fontId="19" fillId="0" borderId="63" xfId="14" applyNumberFormat="1" applyFont="1" applyFill="1" applyBorder="1" applyAlignment="1" applyProtection="1">
      <alignment vertical="top" wrapText="1"/>
      <protection locked="0"/>
    </xf>
    <xf numFmtId="0" fontId="20" fillId="19" borderId="26" xfId="20" applyFont="1" applyFill="1" applyBorder="1" applyAlignment="1" applyProtection="1">
      <alignment vertical="top"/>
    </xf>
    <xf numFmtId="176" fontId="20" fillId="0" borderId="56" xfId="14" applyNumberFormat="1" applyFont="1" applyFill="1" applyBorder="1" applyAlignment="1" applyProtection="1">
      <alignment vertical="top"/>
      <protection locked="0"/>
    </xf>
    <xf numFmtId="176" fontId="20" fillId="0" borderId="56" xfId="14" applyNumberFormat="1" applyFont="1" applyFill="1" applyBorder="1" applyAlignment="1" applyProtection="1">
      <alignment vertical="top"/>
    </xf>
    <xf numFmtId="176" fontId="20" fillId="0" borderId="63" xfId="14" applyNumberFormat="1" applyFont="1" applyFill="1" applyBorder="1" applyAlignment="1" applyProtection="1">
      <alignment vertical="top"/>
    </xf>
    <xf numFmtId="0" fontId="18" fillId="16" borderId="11" xfId="20" applyFont="1" applyFill="1" applyBorder="1" applyAlignment="1" applyProtection="1">
      <alignment horizontal="right"/>
    </xf>
    <xf numFmtId="0" fontId="19" fillId="16" borderId="16" xfId="20" applyFont="1" applyFill="1" applyBorder="1" applyAlignment="1" applyProtection="1">
      <alignment horizontal="right" vertical="center"/>
    </xf>
    <xf numFmtId="1" fontId="20" fillId="18" borderId="60" xfId="20" applyNumberFormat="1" applyFont="1" applyFill="1" applyBorder="1" applyAlignment="1" applyProtection="1">
      <alignment horizontal="right"/>
    </xf>
    <xf numFmtId="1" fontId="20" fillId="18" borderId="62" xfId="20" applyNumberFormat="1" applyFont="1" applyFill="1" applyBorder="1" applyAlignment="1" applyProtection="1">
      <alignment horizontal="right"/>
    </xf>
    <xf numFmtId="1" fontId="19" fillId="18" borderId="20" xfId="20" applyNumberFormat="1" applyFont="1" applyFill="1" applyBorder="1" applyAlignment="1" applyProtection="1">
      <alignment horizontal="right"/>
    </xf>
    <xf numFmtId="176" fontId="20" fillId="0" borderId="33" xfId="14" applyNumberFormat="1" applyFont="1" applyFill="1" applyBorder="1" applyAlignment="1" applyProtection="1">
      <alignment vertical="top" wrapText="1"/>
    </xf>
    <xf numFmtId="1" fontId="20" fillId="18" borderId="61" xfId="20" applyNumberFormat="1" applyFont="1" applyFill="1" applyBorder="1" applyAlignment="1" applyProtection="1">
      <alignment horizontal="right" vertical="center"/>
    </xf>
    <xf numFmtId="1" fontId="21" fillId="18" borderId="26" xfId="20" applyNumberFormat="1" applyFont="1" applyFill="1" applyBorder="1" applyAlignment="1" applyProtection="1">
      <alignment vertical="top" wrapText="1"/>
    </xf>
    <xf numFmtId="176" fontId="21" fillId="0" borderId="33" xfId="14" applyNumberFormat="1" applyFont="1" applyFill="1" applyBorder="1" applyAlignment="1" applyProtection="1">
      <alignment horizontal="right" vertical="top" wrapText="1"/>
    </xf>
    <xf numFmtId="0" fontId="21" fillId="0" borderId="0" xfId="20" applyFont="1" applyAlignment="1" applyProtection="1">
      <alignment wrapText="1"/>
      <protection locked="0"/>
    </xf>
    <xf numFmtId="176" fontId="21" fillId="0" borderId="63" xfId="14" applyNumberFormat="1" applyFont="1" applyFill="1" applyBorder="1" applyAlignment="1" applyProtection="1">
      <alignment horizontal="right"/>
    </xf>
    <xf numFmtId="1" fontId="20" fillId="18" borderId="20" xfId="20" applyNumberFormat="1" applyFont="1" applyFill="1" applyBorder="1" applyAlignment="1" applyProtection="1">
      <alignment horizontal="right"/>
    </xf>
    <xf numFmtId="1" fontId="20" fillId="18" borderId="64" xfId="20" applyNumberFormat="1" applyFont="1" applyFill="1" applyBorder="1" applyAlignment="1" applyProtection="1">
      <alignment horizontal="right" vertical="center"/>
    </xf>
    <xf numFmtId="0" fontId="20" fillId="18" borderId="20" xfId="20" applyFont="1" applyFill="1" applyBorder="1" applyAlignment="1" applyProtection="1">
      <alignment horizontal="right"/>
    </xf>
    <xf numFmtId="0" fontId="20" fillId="18" borderId="0" xfId="20" applyFont="1" applyFill="1" applyBorder="1" applyAlignment="1" applyProtection="1">
      <alignment horizontal="right"/>
    </xf>
    <xf numFmtId="0" fontId="20" fillId="0" borderId="0" xfId="20" applyFont="1" applyFill="1" applyBorder="1" applyAlignment="1" applyProtection="1">
      <alignment horizontal="right"/>
    </xf>
    <xf numFmtId="0" fontId="20" fillId="0" borderId="0" xfId="20" applyFont="1" applyAlignment="1" applyProtection="1">
      <alignment wrapText="1"/>
      <protection locked="0"/>
    </xf>
    <xf numFmtId="0" fontId="20" fillId="19" borderId="20" xfId="20" applyFont="1" applyFill="1" applyBorder="1" applyAlignment="1" applyProtection="1">
      <alignment horizontal="right"/>
    </xf>
    <xf numFmtId="0" fontId="20" fillId="19" borderId="0" xfId="20" applyFont="1" applyFill="1" applyBorder="1" applyAlignment="1" applyProtection="1">
      <alignment horizontal="right"/>
    </xf>
    <xf numFmtId="0" fontId="19" fillId="20" borderId="0" xfId="20" applyFont="1" applyFill="1" applyBorder="1" applyAlignment="1" applyProtection="1">
      <alignment horizontal="right"/>
    </xf>
    <xf numFmtId="0" fontId="19" fillId="20" borderId="64" xfId="20" applyFont="1" applyFill="1" applyBorder="1" applyAlignment="1" applyProtection="1">
      <alignment horizontal="right"/>
    </xf>
    <xf numFmtId="0" fontId="19" fillId="20" borderId="20" xfId="20" applyFont="1" applyFill="1" applyBorder="1" applyAlignment="1" applyProtection="1">
      <alignment horizontal="right"/>
    </xf>
    <xf numFmtId="0" fontId="19" fillId="21" borderId="0" xfId="20" applyFont="1" applyFill="1" applyAlignment="1" applyProtection="1">
      <alignment horizontal="right"/>
    </xf>
    <xf numFmtId="0" fontId="19" fillId="22" borderId="0" xfId="20" applyFont="1" applyFill="1" applyBorder="1" applyAlignment="1" applyProtection="1">
      <alignment horizontal="right"/>
    </xf>
    <xf numFmtId="0" fontId="20" fillId="22" borderId="0" xfId="20" applyFont="1" applyFill="1" applyBorder="1" applyAlignment="1" applyProtection="1">
      <alignment horizontal="right"/>
    </xf>
    <xf numFmtId="0" fontId="19" fillId="16" borderId="0" xfId="20" applyFont="1" applyFill="1" applyAlignment="1" applyProtection="1">
      <alignment horizontal="right" wrapText="1"/>
    </xf>
    <xf numFmtId="0" fontId="20" fillId="16" borderId="0" xfId="20" applyFont="1" applyFill="1" applyAlignment="1" applyProtection="1">
      <alignment horizontal="right"/>
    </xf>
    <xf numFmtId="1" fontId="20" fillId="18" borderId="60" xfId="20" applyNumberFormat="1" applyFont="1" applyFill="1" applyBorder="1" applyAlignment="1" applyProtection="1">
      <alignment vertical="center"/>
    </xf>
    <xf numFmtId="1" fontId="20" fillId="18" borderId="31" xfId="20" applyNumberFormat="1" applyFont="1" applyFill="1" applyBorder="1" applyAlignment="1" applyProtection="1">
      <alignment vertical="center"/>
    </xf>
    <xf numFmtId="176" fontId="20" fillId="0" borderId="50" xfId="14" applyNumberFormat="1" applyFont="1" applyFill="1" applyBorder="1" applyProtection="1"/>
    <xf numFmtId="176" fontId="20" fillId="0" borderId="50" xfId="14" applyNumberFormat="1" applyFont="1" applyBorder="1" applyProtection="1">
      <protection locked="0"/>
    </xf>
    <xf numFmtId="176" fontId="20" fillId="0" borderId="33" xfId="14" applyNumberFormat="1" applyFont="1" applyFill="1" applyBorder="1" applyAlignment="1" applyProtection="1">
      <alignment horizontal="right" vertical="top" wrapText="1"/>
      <protection locked="0"/>
    </xf>
    <xf numFmtId="176" fontId="21" fillId="0" borderId="33" xfId="14" applyNumberFormat="1" applyFont="1" applyFill="1" applyBorder="1" applyAlignment="1" applyProtection="1">
      <alignment horizontal="right" vertical="top" wrapText="1"/>
      <protection locked="0"/>
    </xf>
    <xf numFmtId="176" fontId="20" fillId="0" borderId="33" xfId="14" applyNumberFormat="1" applyFont="1" applyFill="1" applyBorder="1" applyAlignment="1" applyProtection="1">
      <alignment vertical="center"/>
      <protection locked="0"/>
    </xf>
    <xf numFmtId="176" fontId="21" fillId="0" borderId="33" xfId="14" applyNumberFormat="1" applyFont="1" applyFill="1" applyBorder="1" applyAlignment="1" applyProtection="1">
      <alignment vertical="center"/>
      <protection locked="0"/>
    </xf>
    <xf numFmtId="176" fontId="20" fillId="0" borderId="63" xfId="14" applyNumberFormat="1" applyFont="1" applyFill="1" applyBorder="1" applyProtection="1">
      <protection locked="0"/>
    </xf>
    <xf numFmtId="0" fontId="20" fillId="0" borderId="0" xfId="20" applyFont="1" applyAlignment="1" applyProtection="1">
      <alignment horizontal="left" vertical="top"/>
    </xf>
    <xf numFmtId="176" fontId="20" fillId="22" borderId="0" xfId="20" applyNumberFormat="1" applyFont="1" applyFill="1" applyBorder="1" applyAlignment="1" applyProtection="1">
      <alignment horizontal="right"/>
    </xf>
    <xf numFmtId="178" fontId="20" fillId="21" borderId="0" xfId="18" applyNumberFormat="1" applyFont="1" applyFill="1" applyBorder="1" applyAlignment="1" applyProtection="1">
      <alignment horizontal="right" vertical="top"/>
    </xf>
    <xf numFmtId="178" fontId="20" fillId="21" borderId="17" xfId="18" applyNumberFormat="1" applyFont="1" applyFill="1" applyBorder="1" applyAlignment="1" applyProtection="1">
      <alignment horizontal="right" vertical="top"/>
    </xf>
    <xf numFmtId="178" fontId="20" fillId="21" borderId="17" xfId="18" applyNumberFormat="1" applyFont="1" applyFill="1" applyBorder="1" applyAlignment="1" applyProtection="1">
      <alignment horizontal="right" vertical="center"/>
    </xf>
    <xf numFmtId="178" fontId="20" fillId="21" borderId="0" xfId="18" applyNumberFormat="1" applyFont="1" applyFill="1" applyBorder="1" applyAlignment="1" applyProtection="1">
      <alignment horizontal="right" vertical="center"/>
    </xf>
    <xf numFmtId="0" fontId="19" fillId="21" borderId="0" xfId="20" applyFont="1" applyFill="1" applyAlignment="1" applyProtection="1">
      <alignment horizontal="left"/>
    </xf>
    <xf numFmtId="0" fontId="20" fillId="0" borderId="0" xfId="20" applyFont="1" applyAlignment="1" applyProtection="1"/>
    <xf numFmtId="0" fontId="17" fillId="0" borderId="0" xfId="20" applyAlignment="1"/>
    <xf numFmtId="173" fontId="5" fillId="0" borderId="52" xfId="0" applyNumberFormat="1" applyFont="1" applyBorder="1" applyAlignment="1">
      <alignment horizontal="right" vertical="center"/>
    </xf>
    <xf numFmtId="170" fontId="2" fillId="0" borderId="0" xfId="0" applyFont="1" applyFill="1" applyBorder="1" applyAlignment="1">
      <alignment vertical="center"/>
    </xf>
    <xf numFmtId="38" fontId="2" fillId="0" borderId="14" xfId="9" quotePrefix="1" applyNumberFormat="1" applyFont="1" applyBorder="1"/>
    <xf numFmtId="172" fontId="2" fillId="0" borderId="0" xfId="0" quotePrefix="1" applyNumberFormat="1" applyFont="1" applyBorder="1" applyAlignment="1" applyProtection="1">
      <alignment vertical="center"/>
    </xf>
    <xf numFmtId="171" fontId="0" fillId="0" borderId="0" xfId="17" applyNumberFormat="1" applyFont="1"/>
    <xf numFmtId="170" fontId="3" fillId="0" borderId="0" xfId="0" applyFont="1" applyAlignment="1" applyProtection="1">
      <alignment horizontal="right" vertical="center"/>
    </xf>
    <xf numFmtId="170" fontId="3" fillId="0" borderId="0" xfId="0" applyFont="1" applyBorder="1" applyAlignment="1" applyProtection="1">
      <alignment horizontal="right" vertical="center"/>
    </xf>
    <xf numFmtId="170" fontId="3" fillId="0" borderId="15" xfId="0" applyFont="1" applyBorder="1" applyAlignment="1" applyProtection="1">
      <alignment horizontal="right" vertical="center"/>
    </xf>
    <xf numFmtId="174" fontId="7" fillId="0" borderId="0" xfId="0" applyNumberFormat="1" applyFont="1" applyAlignment="1">
      <alignment horizontal="right" vertical="center"/>
    </xf>
    <xf numFmtId="174" fontId="7" fillId="0" borderId="0" xfId="0" applyNumberFormat="1" applyFont="1" applyBorder="1" applyAlignment="1">
      <alignment horizontal="right" vertical="center"/>
    </xf>
    <xf numFmtId="170" fontId="7" fillId="0" borderId="15" xfId="0" applyFont="1" applyBorder="1" applyAlignment="1">
      <alignment horizontal="right" vertical="center"/>
    </xf>
    <xf numFmtId="0" fontId="19" fillId="18" borderId="12" xfId="20" applyFont="1" applyFill="1" applyBorder="1" applyAlignment="1" applyProtection="1">
      <alignment horizontal="left" vertical="center"/>
    </xf>
    <xf numFmtId="0" fontId="17" fillId="18" borderId="12" xfId="20" applyFill="1" applyBorder="1" applyAlignment="1">
      <alignment horizontal="left" vertical="center"/>
    </xf>
    <xf numFmtId="0" fontId="19" fillId="19" borderId="20" xfId="20" applyFont="1" applyFill="1" applyBorder="1" applyAlignment="1" applyProtection="1">
      <alignment horizontal="left" vertical="center"/>
    </xf>
    <xf numFmtId="0" fontId="17" fillId="19" borderId="20" xfId="20" applyFill="1" applyBorder="1" applyAlignment="1">
      <alignment horizontal="left" vertical="center"/>
    </xf>
    <xf numFmtId="170" fontId="13" fillId="0" borderId="48" xfId="0" applyFont="1" applyBorder="1" applyAlignment="1">
      <alignment horizontal="center" vertical="top" wrapText="1"/>
    </xf>
    <xf numFmtId="170" fontId="13" fillId="0" borderId="0" xfId="0" applyFont="1" applyBorder="1" applyAlignment="1">
      <alignment horizontal="center" vertical="top" wrapText="1"/>
    </xf>
    <xf numFmtId="170" fontId="0" fillId="0" borderId="0" xfId="0" applyBorder="1" applyAlignment="1">
      <alignment horizontal="center" vertical="top"/>
    </xf>
  </cellXfs>
  <cellStyles count="35">
    <cellStyle name="Akzent1 2" xfId="1"/>
    <cellStyle name="Akzent2 2" xfId="2"/>
    <cellStyle name="Akzent3 2" xfId="3"/>
    <cellStyle name="Akzent4 2" xfId="4"/>
    <cellStyle name="Akzent5 2" xfId="5"/>
    <cellStyle name="Akzent6 2" xfId="6"/>
    <cellStyle name="Ausgabe 2" xfId="7"/>
    <cellStyle name="Berechnung 2" xfId="8"/>
    <cellStyle name="Comma" xfId="9" builtinId="3"/>
    <cellStyle name="Eingabe 2" xfId="10"/>
    <cellStyle name="Ergebnis 2" xfId="11"/>
    <cellStyle name="Erklärender Text 2" xfId="12"/>
    <cellStyle name="Gut 2" xfId="13"/>
    <cellStyle name="Komma 2" xfId="14"/>
    <cellStyle name="Neutral 2" xfId="15"/>
    <cellStyle name="Normal" xfId="0" builtinId="0"/>
    <cellStyle name="Notiz 2" xfId="16"/>
    <cellStyle name="Per cent" xfId="17" builtinId="5"/>
    <cellStyle name="Prozent 2" xfId="18"/>
    <cellStyle name="Schlecht 2" xfId="19"/>
    <cellStyle name="Standard 2" xfId="20"/>
    <cellStyle name="Standard 2 2" xfId="21"/>
    <cellStyle name="Standard 3" xfId="22"/>
    <cellStyle name="Standard 3 2" xfId="23"/>
    <cellStyle name="Standard 4" xfId="24"/>
    <cellStyle name="Standard 5" xfId="25"/>
    <cellStyle name="Titel3" xfId="26"/>
    <cellStyle name="Überschrift 1 2" xfId="27"/>
    <cellStyle name="Überschrift 2 2" xfId="28"/>
    <cellStyle name="Überschrift 3 2" xfId="29"/>
    <cellStyle name="Überschrift 4 2" xfId="30"/>
    <cellStyle name="Überschrift 5" xfId="31"/>
    <cellStyle name="Verknüpfte Zelle 2" xfId="32"/>
    <cellStyle name="Warnender Text 2" xfId="33"/>
    <cellStyle name="Zelle überprüfen 2" xfId="3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tabSelected="1" zoomScale="115" zoomScaleNormal="115" workbookViewId="0">
      <selection activeCell="F8" sqref="F8"/>
    </sheetView>
  </sheetViews>
  <sheetFormatPr baseColWidth="10" defaultColWidth="11.5" defaultRowHeight="13"/>
  <cols>
    <col min="1" max="1" width="16.6640625" style="252" customWidth="1"/>
    <col min="2" max="2" width="4.332031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237" t="s">
        <v>220</v>
      </c>
      <c r="B1" s="238" t="s">
        <v>221</v>
      </c>
      <c r="C1" s="239" t="s">
        <v>21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1"/>
      <c r="F3" s="250"/>
      <c r="G3" s="253" t="s">
        <v>103</v>
      </c>
    </row>
    <row r="4" spans="1:55" s="260" customFormat="1" ht="12.75" customHeight="1">
      <c r="A4" s="254">
        <v>30</v>
      </c>
      <c r="B4" s="255"/>
      <c r="C4" s="256" t="s">
        <v>29</v>
      </c>
      <c r="D4" s="257">
        <v>7369400.9000000004</v>
      </c>
      <c r="E4" s="257">
        <v>4663146.9400000004</v>
      </c>
      <c r="F4" s="258">
        <v>4782409.41</v>
      </c>
      <c r="G4" s="259">
        <v>4827007.1900000004</v>
      </c>
    </row>
    <row r="5" spans="1:55" s="260" customFormat="1" ht="12.75" customHeight="1">
      <c r="A5" s="261">
        <v>31</v>
      </c>
      <c r="B5" s="262"/>
      <c r="C5" s="263" t="s">
        <v>224</v>
      </c>
      <c r="D5" s="264">
        <v>2693614.8</v>
      </c>
      <c r="E5" s="264">
        <v>2513591.77</v>
      </c>
      <c r="F5" s="266">
        <v>2742025.9</v>
      </c>
      <c r="G5" s="267">
        <v>2633519.2799999998</v>
      </c>
    </row>
    <row r="6" spans="1:55" s="260" customFormat="1" ht="12.75" customHeight="1">
      <c r="A6" s="268" t="s">
        <v>32</v>
      </c>
      <c r="B6" s="269"/>
      <c r="C6" s="270" t="s">
        <v>225</v>
      </c>
      <c r="D6" s="271">
        <v>192707</v>
      </c>
      <c r="E6" s="271">
        <v>202022</v>
      </c>
      <c r="F6" s="272">
        <v>194592.14</v>
      </c>
      <c r="G6" s="273">
        <v>202593.45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>
        <v>6103</v>
      </c>
      <c r="E7" s="271">
        <v>2475</v>
      </c>
      <c r="F7" s="272">
        <v>-15285</v>
      </c>
      <c r="G7" s="273">
        <v>3557.7</v>
      </c>
    </row>
    <row r="8" spans="1:55" s="260" customFormat="1" ht="12.75" customHeight="1">
      <c r="A8" s="274">
        <v>330</v>
      </c>
      <c r="B8" s="262"/>
      <c r="C8" s="263" t="s">
        <v>228</v>
      </c>
      <c r="D8" s="275">
        <v>477900.9</v>
      </c>
      <c r="E8" s="275">
        <v>437221.1</v>
      </c>
      <c r="F8" s="266">
        <v>454103.66</v>
      </c>
      <c r="G8" s="276">
        <v>457275.69</v>
      </c>
    </row>
    <row r="9" spans="1:55" s="260" customFormat="1" ht="12.75" customHeight="1">
      <c r="A9" s="274">
        <v>332</v>
      </c>
      <c r="B9" s="262"/>
      <c r="C9" s="263" t="s">
        <v>229</v>
      </c>
      <c r="D9" s="275">
        <v>23168.47</v>
      </c>
      <c r="E9" s="275">
        <v>25574.9</v>
      </c>
      <c r="F9" s="266">
        <v>28316.63</v>
      </c>
      <c r="G9" s="276">
        <v>25766.37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55473.700000000004</v>
      </c>
      <c r="E11" s="275">
        <v>3854.2000000000007</v>
      </c>
      <c r="F11" s="275">
        <v>38305.53</v>
      </c>
      <c r="G11" s="277">
        <v>6133.82</v>
      </c>
    </row>
    <row r="12" spans="1:55" s="285" customFormat="1" ht="14">
      <c r="A12" s="278">
        <v>351</v>
      </c>
      <c r="B12" s="279"/>
      <c r="C12" s="280" t="s">
        <v>232</v>
      </c>
      <c r="D12" s="282">
        <v>15652.4</v>
      </c>
      <c r="E12" s="282">
        <v>16629</v>
      </c>
      <c r="F12" s="283">
        <v>27451</v>
      </c>
      <c r="G12" s="284">
        <v>32186</v>
      </c>
    </row>
    <row r="13" spans="1:55" s="260" customFormat="1" ht="12.75" customHeight="1">
      <c r="A13" s="261">
        <v>36</v>
      </c>
      <c r="B13" s="262"/>
      <c r="C13" s="263" t="s">
        <v>233</v>
      </c>
      <c r="D13" s="275">
        <v>4197364.68</v>
      </c>
      <c r="E13" s="264">
        <v>5286441.8</v>
      </c>
      <c r="F13" s="286">
        <v>5213950.72</v>
      </c>
      <c r="G13" s="276">
        <v>5435767.7199999997</v>
      </c>
    </row>
    <row r="14" spans="1:55" s="260" customFormat="1" ht="14">
      <c r="A14" s="287" t="s">
        <v>234</v>
      </c>
      <c r="B14" s="262"/>
      <c r="C14" s="288" t="s">
        <v>235</v>
      </c>
      <c r="D14" s="289">
        <v>291299</v>
      </c>
      <c r="E14" s="289">
        <v>622088.9</v>
      </c>
      <c r="F14" s="291">
        <v>582912.71730999998</v>
      </c>
      <c r="G14" s="273">
        <v>541380.30000000005</v>
      </c>
    </row>
    <row r="15" spans="1:55" s="260" customFormat="1" ht="14">
      <c r="A15" s="287" t="s">
        <v>236</v>
      </c>
      <c r="B15" s="262"/>
      <c r="C15" s="288" t="s">
        <v>237</v>
      </c>
      <c r="D15" s="289">
        <v>30897.483029999999</v>
      </c>
      <c r="E15" s="289">
        <v>171842.3</v>
      </c>
      <c r="F15" s="291">
        <v>174866.70465999999</v>
      </c>
      <c r="G15" s="273">
        <v>197732.7</v>
      </c>
    </row>
    <row r="16" spans="1:55" s="297" customFormat="1" ht="26.25" customHeight="1">
      <c r="A16" s="287" t="s">
        <v>238</v>
      </c>
      <c r="B16" s="292"/>
      <c r="C16" s="288" t="s">
        <v>239</v>
      </c>
      <c r="D16" s="293">
        <f>-99.79+0+235349.6</f>
        <v>235249.81</v>
      </c>
      <c r="E16" s="294">
        <f>100+0+168559.3</f>
        <v>168659.3</v>
      </c>
      <c r="F16" s="295">
        <f>147.45+8.16+232757.23</f>
        <v>232912.84</v>
      </c>
      <c r="G16" s="296">
        <v>161967.883</v>
      </c>
    </row>
    <row r="17" spans="1:7" s="299" customFormat="1">
      <c r="A17" s="261">
        <v>37</v>
      </c>
      <c r="B17" s="262"/>
      <c r="C17" s="263" t="s">
        <v>240</v>
      </c>
      <c r="D17" s="290">
        <v>628148.30000000005</v>
      </c>
      <c r="E17" s="289">
        <v>627812</v>
      </c>
      <c r="F17" s="286">
        <v>653620.4</v>
      </c>
      <c r="G17" s="298">
        <v>644945</v>
      </c>
    </row>
    <row r="18" spans="1:7" s="299" customFormat="1">
      <c r="A18" s="274" t="s">
        <v>241</v>
      </c>
      <c r="B18" s="262"/>
      <c r="C18" s="263" t="s">
        <v>242</v>
      </c>
      <c r="D18" s="289">
        <v>351126.48596000002</v>
      </c>
      <c r="E18" s="289">
        <v>358653</v>
      </c>
      <c r="F18" s="291">
        <v>374798.07747000002</v>
      </c>
      <c r="G18" s="300">
        <v>376330</v>
      </c>
    </row>
    <row r="19" spans="1:7" s="299" customFormat="1">
      <c r="A19" s="274" t="s">
        <v>243</v>
      </c>
      <c r="B19" s="262"/>
      <c r="C19" s="263" t="s">
        <v>244</v>
      </c>
      <c r="D19" s="289">
        <v>193631.80381000001</v>
      </c>
      <c r="E19" s="289">
        <v>194195</v>
      </c>
      <c r="F19" s="291">
        <v>202763.38550999999</v>
      </c>
      <c r="G19" s="300">
        <v>203840</v>
      </c>
    </row>
    <row r="20" spans="1:7" s="260" customFormat="1" ht="12.75" customHeight="1">
      <c r="A20" s="301">
        <v>39</v>
      </c>
      <c r="B20" s="302"/>
      <c r="C20" s="303" t="s">
        <v>245</v>
      </c>
      <c r="D20" s="306">
        <v>0</v>
      </c>
      <c r="E20" s="304">
        <v>0</v>
      </c>
      <c r="F20" s="307">
        <v>0</v>
      </c>
      <c r="G20" s="308">
        <v>0</v>
      </c>
    </row>
    <row r="21" spans="1:7" ht="12.75" customHeight="1">
      <c r="A21" s="309"/>
      <c r="B21" s="309"/>
      <c r="C21" s="310" t="s">
        <v>246</v>
      </c>
      <c r="D21" s="311">
        <f>D4+D5+SUM(D8:D13)+D17</f>
        <v>15460724.149999999</v>
      </c>
      <c r="E21" s="311">
        <f>E4+E5+SUM(E8:E13)+E17</f>
        <v>13574271.710000001</v>
      </c>
      <c r="F21" s="311">
        <f>F4+F5+SUM(F8:F13)+F17</f>
        <v>13940183.250000002</v>
      </c>
      <c r="G21" s="311">
        <f>G4+G5+SUM(G8:G13)+G17</f>
        <v>14062601.07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>
        <f>4714297+1256898</f>
        <v>5971195</v>
      </c>
      <c r="E22" s="275">
        <f>4394108+1141800</f>
        <v>5535908</v>
      </c>
      <c r="F22" s="312">
        <f>4640219.5+1130845.8</f>
        <v>5771065.2999999998</v>
      </c>
      <c r="G22" s="276">
        <f>4740000+1204400</f>
        <v>5944400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>
        <f>197815+302366</f>
        <v>500181</v>
      </c>
      <c r="E23" s="275">
        <f>200600+299240</f>
        <v>499840</v>
      </c>
      <c r="F23" s="312">
        <f>204627.4+304920.1</f>
        <v>509547.5</v>
      </c>
      <c r="G23" s="276">
        <f>210600+307250</f>
        <v>517850</v>
      </c>
    </row>
    <row r="24" spans="1:7" s="313" customFormat="1" ht="12.75" customHeight="1">
      <c r="A24" s="261">
        <v>41</v>
      </c>
      <c r="B24" s="262"/>
      <c r="C24" s="263" t="s">
        <v>251</v>
      </c>
      <c r="D24" s="275">
        <v>373468.06</v>
      </c>
      <c r="E24" s="275">
        <v>81778</v>
      </c>
      <c r="F24" s="312">
        <v>201024.7</v>
      </c>
      <c r="G24" s="276">
        <v>196792</v>
      </c>
    </row>
    <row r="25" spans="1:7" s="260" customFormat="1" ht="12.75" customHeight="1">
      <c r="A25" s="314">
        <v>42</v>
      </c>
      <c r="B25" s="315"/>
      <c r="C25" s="263" t="s">
        <v>252</v>
      </c>
      <c r="D25" s="275">
        <v>2614914.7999999998</v>
      </c>
      <c r="E25" s="275">
        <v>2685321.6</v>
      </c>
      <c r="F25" s="266">
        <v>2723747.2</v>
      </c>
      <c r="G25" s="276">
        <v>2717450.0249999994</v>
      </c>
    </row>
    <row r="26" spans="1:7" s="318" customFormat="1" ht="12.75" customHeight="1">
      <c r="A26" s="278">
        <v>430</v>
      </c>
      <c r="B26" s="262"/>
      <c r="C26" s="263" t="s">
        <v>253</v>
      </c>
      <c r="D26" s="316">
        <v>220824</v>
      </c>
      <c r="E26" s="316">
        <v>179072</v>
      </c>
      <c r="F26" s="317">
        <v>235444.6</v>
      </c>
      <c r="G26" s="298">
        <v>174421.8</v>
      </c>
    </row>
    <row r="27" spans="1:7" s="318" customFormat="1" ht="12.75" customHeight="1">
      <c r="A27" s="278">
        <v>431</v>
      </c>
      <c r="B27" s="262"/>
      <c r="C27" s="263" t="s">
        <v>254</v>
      </c>
      <c r="D27" s="316">
        <v>12266</v>
      </c>
      <c r="E27" s="316">
        <v>12322</v>
      </c>
      <c r="F27" s="317">
        <v>9581.6</v>
      </c>
      <c r="G27" s="298">
        <v>10298.1</v>
      </c>
    </row>
    <row r="28" spans="1:7" s="318" customFormat="1" ht="12.75" customHeight="1">
      <c r="A28" s="278">
        <v>432</v>
      </c>
      <c r="B28" s="262"/>
      <c r="C28" s="263" t="s">
        <v>255</v>
      </c>
      <c r="D28" s="316">
        <v>1521</v>
      </c>
      <c r="E28" s="316"/>
      <c r="F28" s="317">
        <v>1167.9000000000001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>
        <v>59520.9</v>
      </c>
      <c r="E29" s="316">
        <v>69979</v>
      </c>
      <c r="F29" s="317">
        <v>64102.6</v>
      </c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>
        <v>2557.4</v>
      </c>
      <c r="E30" s="264">
        <v>191987.36300000001</v>
      </c>
      <c r="F30" s="264">
        <v>110439.4</v>
      </c>
      <c r="G30" s="319">
        <v>82563.495999999999</v>
      </c>
    </row>
    <row r="31" spans="1:7" s="285" customFormat="1" ht="28">
      <c r="A31" s="278">
        <v>451</v>
      </c>
      <c r="B31" s="279"/>
      <c r="C31" s="280" t="s">
        <v>258</v>
      </c>
      <c r="D31" s="281">
        <v>0</v>
      </c>
      <c r="E31" s="281">
        <v>0</v>
      </c>
      <c r="F31" s="320">
        <v>0</v>
      </c>
      <c r="G31" s="321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>
        <v>3022311.99</v>
      </c>
      <c r="E32" s="275">
        <v>3339834</v>
      </c>
      <c r="F32" s="266">
        <v>3432659.2</v>
      </c>
      <c r="G32" s="276">
        <v>3519723.4380000001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>
        <v>81945.600000000006</v>
      </c>
      <c r="E33" s="275">
        <v>55447.4</v>
      </c>
      <c r="F33" s="266">
        <v>59225</v>
      </c>
      <c r="G33" s="273">
        <v>52874.5</v>
      </c>
    </row>
    <row r="34" spans="1:7" s="260" customFormat="1" ht="15" customHeight="1">
      <c r="A34" s="261">
        <v>47</v>
      </c>
      <c r="B34" s="262"/>
      <c r="C34" s="263" t="s">
        <v>240</v>
      </c>
      <c r="D34" s="275">
        <v>628099.29</v>
      </c>
      <c r="E34" s="275">
        <v>627812</v>
      </c>
      <c r="F34" s="266">
        <v>653620.4</v>
      </c>
      <c r="G34" s="276">
        <v>644945</v>
      </c>
    </row>
    <row r="35" spans="1:7" s="260" customFormat="1" ht="15" customHeight="1">
      <c r="A35" s="301">
        <v>49</v>
      </c>
      <c r="B35" s="302"/>
      <c r="C35" s="303" t="s">
        <v>262</v>
      </c>
      <c r="D35" s="306">
        <v>0</v>
      </c>
      <c r="E35" s="304">
        <v>0</v>
      </c>
      <c r="F35" s="307">
        <v>0</v>
      </c>
      <c r="G35" s="308">
        <v>0</v>
      </c>
    </row>
    <row r="36" spans="1:7" s="328" customFormat="1" ht="13.5" customHeight="1">
      <c r="A36" s="324"/>
      <c r="B36" s="325"/>
      <c r="C36" s="326" t="s">
        <v>263</v>
      </c>
      <c r="D36" s="327">
        <f>D22+D23+D24+D25+D26+D27+D28+D29+D30+D31+D32+D34</f>
        <v>13406859.440000001</v>
      </c>
      <c r="E36" s="327">
        <f>E22+E23+E24+E25+E26+E27+E28+E29+E30+E31+E32+E34</f>
        <v>13223853.963</v>
      </c>
      <c r="F36" s="327">
        <f>F22+F23+F24+F25+F26+F27+F28+F29+F30+F31+F32+F34</f>
        <v>13712400.4</v>
      </c>
      <c r="G36" s="327">
        <f>G22+G23+G24+G25+G26+G27+G28+G29+G30+G31+G32+G34</f>
        <v>13808443.858999997</v>
      </c>
    </row>
    <row r="37" spans="1:7" s="242" customFormat="1" ht="15" customHeight="1">
      <c r="A37" s="324"/>
      <c r="B37" s="325"/>
      <c r="C37" s="326" t="s">
        <v>264</v>
      </c>
      <c r="D37" s="327">
        <f>D36-D21</f>
        <v>-2053864.7099999972</v>
      </c>
      <c r="E37" s="327">
        <f>E36-E21</f>
        <v>-350417.74700000137</v>
      </c>
      <c r="F37" s="327">
        <f>F36-F21</f>
        <v>-227782.85000000149</v>
      </c>
      <c r="G37" s="327">
        <f>G36-G21</f>
        <v>-254157.21100000292</v>
      </c>
    </row>
    <row r="38" spans="1:7" s="285" customFormat="1" ht="15" customHeight="1">
      <c r="A38" s="274">
        <v>340</v>
      </c>
      <c r="B38" s="262"/>
      <c r="C38" s="263" t="s">
        <v>265</v>
      </c>
      <c r="D38" s="275">
        <v>138921.29999999999</v>
      </c>
      <c r="E38" s="264">
        <v>148569.64600000001</v>
      </c>
      <c r="F38" s="286">
        <v>138000.29999999999</v>
      </c>
      <c r="G38" s="276">
        <v>144558.70000000001</v>
      </c>
    </row>
    <row r="39" spans="1:7" s="285" customFormat="1" ht="15" customHeight="1">
      <c r="A39" s="274">
        <v>341</v>
      </c>
      <c r="B39" s="262"/>
      <c r="C39" s="263" t="s">
        <v>266</v>
      </c>
      <c r="D39" s="275">
        <v>23736</v>
      </c>
      <c r="E39" s="275">
        <v>616</v>
      </c>
      <c r="F39" s="266">
        <v>4697.3999999999996</v>
      </c>
      <c r="G39" s="276">
        <v>342.3</v>
      </c>
    </row>
    <row r="40" spans="1:7" s="285" customFormat="1" ht="15" customHeight="1">
      <c r="A40" s="274">
        <v>342</v>
      </c>
      <c r="B40" s="262"/>
      <c r="C40" s="263" t="s">
        <v>267</v>
      </c>
      <c r="D40" s="275">
        <v>456</v>
      </c>
      <c r="E40" s="275">
        <v>705</v>
      </c>
      <c r="F40" s="266">
        <v>459.6</v>
      </c>
      <c r="G40" s="276">
        <v>695</v>
      </c>
    </row>
    <row r="41" spans="1:7" s="285" customFormat="1" ht="15" customHeight="1">
      <c r="A41" s="274">
        <v>343</v>
      </c>
      <c r="B41" s="262"/>
      <c r="C41" s="263" t="s">
        <v>268</v>
      </c>
      <c r="D41" s="275">
        <v>3797</v>
      </c>
      <c r="E41" s="275">
        <v>5165</v>
      </c>
      <c r="F41" s="266">
        <v>3870.7</v>
      </c>
      <c r="G41" s="276">
        <v>6905</v>
      </c>
    </row>
    <row r="42" spans="1:7" s="285" customFormat="1" ht="15" customHeight="1">
      <c r="A42" s="274">
        <v>344</v>
      </c>
      <c r="B42" s="262"/>
      <c r="C42" s="263" t="s">
        <v>269</v>
      </c>
      <c r="D42" s="275">
        <v>43192</v>
      </c>
      <c r="E42" s="275">
        <v>0</v>
      </c>
      <c r="F42" s="266">
        <v>67743.199999999997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>
        <v>2512</v>
      </c>
      <c r="E43" s="275">
        <v>2168</v>
      </c>
      <c r="F43" s="266">
        <v>2740.4</v>
      </c>
      <c r="G43" s="276">
        <v>2303</v>
      </c>
    </row>
    <row r="44" spans="1:7" s="260" customFormat="1" ht="15" customHeight="1">
      <c r="A44" s="261">
        <v>440</v>
      </c>
      <c r="B44" s="262"/>
      <c r="C44" s="263" t="s">
        <v>271</v>
      </c>
      <c r="D44" s="275">
        <v>58520.28</v>
      </c>
      <c r="E44" s="264">
        <v>61854</v>
      </c>
      <c r="F44" s="286">
        <v>54837.3</v>
      </c>
      <c r="G44" s="276">
        <v>55400.4</v>
      </c>
    </row>
    <row r="45" spans="1:7" s="260" customFormat="1" ht="15" customHeight="1">
      <c r="A45" s="261">
        <v>441</v>
      </c>
      <c r="B45" s="262"/>
      <c r="C45" s="263" t="s">
        <v>272</v>
      </c>
      <c r="D45" s="275">
        <v>37984.699999999997</v>
      </c>
      <c r="E45" s="264">
        <v>131.19999999999999</v>
      </c>
      <c r="F45" s="286">
        <v>8024.8</v>
      </c>
      <c r="G45" s="276">
        <v>413.3</v>
      </c>
    </row>
    <row r="46" spans="1:7" s="260" customFormat="1" ht="15" customHeight="1">
      <c r="A46" s="261">
        <v>442</v>
      </c>
      <c r="B46" s="262"/>
      <c r="C46" s="263" t="s">
        <v>273</v>
      </c>
      <c r="D46" s="275">
        <v>217.8</v>
      </c>
      <c r="E46" s="264">
        <v>17</v>
      </c>
      <c r="F46" s="286">
        <v>468.8</v>
      </c>
      <c r="G46" s="276">
        <v>25</v>
      </c>
    </row>
    <row r="47" spans="1:7" s="260" customFormat="1" ht="15" customHeight="1">
      <c r="A47" s="261">
        <v>443</v>
      </c>
      <c r="B47" s="262"/>
      <c r="C47" s="263" t="s">
        <v>274</v>
      </c>
      <c r="D47" s="275">
        <v>20872.599999999999</v>
      </c>
      <c r="E47" s="264">
        <v>21213.200000000001</v>
      </c>
      <c r="F47" s="286">
        <v>23332.2</v>
      </c>
      <c r="G47" s="276">
        <v>22637.5</v>
      </c>
    </row>
    <row r="48" spans="1:7" s="260" customFormat="1" ht="15" customHeight="1">
      <c r="A48" s="261">
        <v>444</v>
      </c>
      <c r="B48" s="262"/>
      <c r="C48" s="263" t="s">
        <v>269</v>
      </c>
      <c r="D48" s="275">
        <v>77765.399999999994</v>
      </c>
      <c r="E48" s="264">
        <v>2000</v>
      </c>
      <c r="F48" s="286">
        <v>101119.4</v>
      </c>
      <c r="G48" s="276">
        <v>3000</v>
      </c>
    </row>
    <row r="49" spans="1:7" s="260" customFormat="1" ht="15" customHeight="1">
      <c r="A49" s="261">
        <v>445</v>
      </c>
      <c r="B49" s="262"/>
      <c r="C49" s="263" t="s">
        <v>275</v>
      </c>
      <c r="D49" s="275">
        <v>16288.4</v>
      </c>
      <c r="E49" s="264">
        <v>35257</v>
      </c>
      <c r="F49" s="286">
        <v>41990.2</v>
      </c>
      <c r="G49" s="276">
        <v>40486</v>
      </c>
    </row>
    <row r="50" spans="1:7" s="260" customFormat="1" ht="15" customHeight="1">
      <c r="A50" s="261">
        <v>446</v>
      </c>
      <c r="B50" s="262"/>
      <c r="C50" s="263" t="s">
        <v>276</v>
      </c>
      <c r="D50" s="275">
        <v>285482.7</v>
      </c>
      <c r="E50" s="264">
        <v>276735</v>
      </c>
      <c r="F50" s="286">
        <v>281330.40000000002</v>
      </c>
      <c r="G50" s="276">
        <v>275529</v>
      </c>
    </row>
    <row r="51" spans="1:7" s="260" customFormat="1" ht="15" customHeight="1">
      <c r="A51" s="261">
        <v>447</v>
      </c>
      <c r="B51" s="262"/>
      <c r="C51" s="263" t="s">
        <v>277</v>
      </c>
      <c r="D51" s="275">
        <v>31397.200000000001</v>
      </c>
      <c r="E51" s="264">
        <v>25750.400000000001</v>
      </c>
      <c r="F51" s="286">
        <v>31066.5</v>
      </c>
      <c r="G51" s="276">
        <v>24836</v>
      </c>
    </row>
    <row r="52" spans="1:7" s="260" customFormat="1" ht="15" customHeight="1">
      <c r="A52" s="261">
        <v>448</v>
      </c>
      <c r="B52" s="262"/>
      <c r="C52" s="263" t="s">
        <v>278</v>
      </c>
      <c r="D52" s="275">
        <v>3687.2</v>
      </c>
      <c r="E52" s="264">
        <v>2701.6</v>
      </c>
      <c r="F52" s="286">
        <v>3527</v>
      </c>
      <c r="G52" s="276">
        <v>2764.4</v>
      </c>
    </row>
    <row r="53" spans="1:7" s="260" customFormat="1" ht="15" customHeight="1">
      <c r="A53" s="261">
        <v>449</v>
      </c>
      <c r="B53" s="262"/>
      <c r="C53" s="263" t="s">
        <v>279</v>
      </c>
      <c r="D53" s="275">
        <v>10969</v>
      </c>
      <c r="E53" s="264">
        <v>200</v>
      </c>
      <c r="F53" s="286">
        <v>5224.5</v>
      </c>
      <c r="G53" s="276">
        <v>1437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>
        <v>8531.8700700000009</v>
      </c>
      <c r="E54" s="331">
        <v>200</v>
      </c>
      <c r="F54" s="333">
        <v>5208</v>
      </c>
      <c r="G54" s="334">
        <v>476</v>
      </c>
    </row>
    <row r="55" spans="1:7" ht="15" customHeight="1">
      <c r="A55" s="335"/>
      <c r="B55" s="335"/>
      <c r="C55" s="310" t="s">
        <v>282</v>
      </c>
      <c r="D55" s="311">
        <f>SUM(D44:D53)-SUM(D38:D43)</f>
        <v>330570.97999999992</v>
      </c>
      <c r="E55" s="311">
        <f>SUM(E44:E53)-SUM(E38:E43)</f>
        <v>268635.75400000002</v>
      </c>
      <c r="F55" s="311">
        <f>SUM(F44:F53)-SUM(F38:F43)</f>
        <v>333409.50000000012</v>
      </c>
      <c r="G55" s="311">
        <f>SUM(G44:G53)-SUM(G38:G43)</f>
        <v>271724.60000000003</v>
      </c>
    </row>
    <row r="56" spans="1:7" ht="14.25" customHeight="1">
      <c r="A56" s="335"/>
      <c r="B56" s="335"/>
      <c r="C56" s="310" t="s">
        <v>283</v>
      </c>
      <c r="D56" s="311">
        <f>D55+D37</f>
        <v>-1723293.7299999972</v>
      </c>
      <c r="E56" s="311">
        <f>E55+E37</f>
        <v>-81781.993000001356</v>
      </c>
      <c r="F56" s="311">
        <f>F55+F37</f>
        <v>105626.64999999863</v>
      </c>
      <c r="G56" s="311">
        <f>G55+G37</f>
        <v>17567.388999997114</v>
      </c>
    </row>
    <row r="57" spans="1:7" s="260" customFormat="1" ht="15.75" customHeight="1">
      <c r="A57" s="336">
        <v>380</v>
      </c>
      <c r="B57" s="337"/>
      <c r="C57" s="338" t="s">
        <v>284</v>
      </c>
      <c r="D57" s="340">
        <v>0</v>
      </c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>
        <v>0</v>
      </c>
      <c r="E58" s="339">
        <v>0</v>
      </c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286</v>
      </c>
      <c r="D59" s="344">
        <v>0</v>
      </c>
      <c r="E59" s="343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>
        <v>0</v>
      </c>
      <c r="E60" s="346">
        <v>0</v>
      </c>
      <c r="F60" s="347">
        <v>0</v>
      </c>
      <c r="G60" s="348">
        <v>0</v>
      </c>
    </row>
    <row r="61" spans="1:7" s="285" customFormat="1" ht="14">
      <c r="A61" s="278">
        <v>3841</v>
      </c>
      <c r="B61" s="279"/>
      <c r="C61" s="280" t="s">
        <v>288</v>
      </c>
      <c r="D61" s="346">
        <v>0</v>
      </c>
      <c r="E61" s="346">
        <v>0</v>
      </c>
      <c r="F61" s="347">
        <v>0</v>
      </c>
      <c r="G61" s="348">
        <v>0</v>
      </c>
    </row>
    <row r="62" spans="1:7" s="285" customFormat="1" ht="14">
      <c r="A62" s="349">
        <v>386</v>
      </c>
      <c r="B62" s="350"/>
      <c r="C62" s="351" t="s">
        <v>289</v>
      </c>
      <c r="D62" s="346">
        <v>0</v>
      </c>
      <c r="E62" s="346">
        <v>0</v>
      </c>
      <c r="F62" s="347">
        <v>0</v>
      </c>
      <c r="G62" s="348">
        <v>0</v>
      </c>
    </row>
    <row r="63" spans="1:7" s="285" customFormat="1" ht="28">
      <c r="A63" s="278">
        <v>387</v>
      </c>
      <c r="B63" s="279"/>
      <c r="C63" s="280" t="s">
        <v>290</v>
      </c>
      <c r="D63" s="346">
        <v>0</v>
      </c>
      <c r="E63" s="346">
        <v>0</v>
      </c>
      <c r="F63" s="347">
        <v>0</v>
      </c>
      <c r="G63" s="348">
        <v>0</v>
      </c>
    </row>
    <row r="64" spans="1:7" s="285" customFormat="1">
      <c r="A64" s="274">
        <v>389</v>
      </c>
      <c r="B64" s="352"/>
      <c r="C64" s="263" t="s">
        <v>57</v>
      </c>
      <c r="D64" s="275">
        <v>0</v>
      </c>
      <c r="E64" s="275">
        <v>0</v>
      </c>
      <c r="F64" s="266">
        <v>0</v>
      </c>
      <c r="G64" s="276">
        <v>0</v>
      </c>
    </row>
    <row r="65" spans="1:7" s="260" customFormat="1">
      <c r="A65" s="261" t="s">
        <v>291</v>
      </c>
      <c r="B65" s="262"/>
      <c r="C65" s="263" t="s">
        <v>292</v>
      </c>
      <c r="D65" s="275">
        <v>0</v>
      </c>
      <c r="E65" s="275">
        <v>0</v>
      </c>
      <c r="F65" s="266">
        <v>0</v>
      </c>
      <c r="G65" s="276">
        <v>0</v>
      </c>
    </row>
    <row r="66" spans="1:7" s="355" customFormat="1" ht="14">
      <c r="A66" s="353" t="s">
        <v>293</v>
      </c>
      <c r="B66" s="354"/>
      <c r="C66" s="280" t="s">
        <v>294</v>
      </c>
      <c r="D66" s="344">
        <v>0</v>
      </c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>
        <v>0</v>
      </c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>
        <v>0</v>
      </c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>
        <v>0</v>
      </c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>
        <v>0</v>
      </c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>
        <v>0</v>
      </c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>
        <v>0</v>
      </c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>
        <v>0</v>
      </c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1">
        <v>0</v>
      </c>
      <c r="E74" s="323">
        <v>0</v>
      </c>
      <c r="F74" s="286">
        <v>0</v>
      </c>
      <c r="G74" s="276">
        <v>0</v>
      </c>
    </row>
    <row r="75" spans="1:7" s="285" customFormat="1">
      <c r="A75" s="357" t="s">
        <v>302</v>
      </c>
      <c r="B75" s="356"/>
      <c r="C75" s="330" t="s">
        <v>303</v>
      </c>
      <c r="D75" s="275">
        <v>0</v>
      </c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-1723293.7299999972</v>
      </c>
      <c r="E77" s="311">
        <f>E56+E76</f>
        <v>-81781.993000001356</v>
      </c>
      <c r="F77" s="311">
        <f>F56+F76</f>
        <v>105626.64999999863</v>
      </c>
      <c r="G77" s="311">
        <f>G56+G76</f>
        <v>17567.388999997114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15673338.449999999</v>
      </c>
      <c r="E78" s="361">
        <f>E20+E21+SUM(E38:E43)+SUM(E57:E64)</f>
        <v>13731495.356000001</v>
      </c>
      <c r="F78" s="361">
        <f>F20+F21+SUM(F38:F43)+SUM(F57:F64)</f>
        <v>14157694.850000001</v>
      </c>
      <c r="G78" s="361">
        <f>G20+G21+SUM(G38:G43)+SUM(G57:G64)</f>
        <v>14217405.07</v>
      </c>
    </row>
    <row r="79" spans="1:7" ht="14" customHeight="1">
      <c r="A79" s="359">
        <v>4</v>
      </c>
      <c r="B79" s="359"/>
      <c r="C79" s="360" t="s">
        <v>307</v>
      </c>
      <c r="D79" s="361">
        <f>D35+D36+SUM(D44:D53)+SUM(D65:D74)</f>
        <v>13950044.720000001</v>
      </c>
      <c r="E79" s="361">
        <f>E35+E36+SUM(E44:E53)+SUM(E65:E74)</f>
        <v>13649713.363</v>
      </c>
      <c r="F79" s="361">
        <f>F35+F36+SUM(F44:F53)+SUM(F65:F74)</f>
        <v>14263321.5</v>
      </c>
      <c r="G79" s="361">
        <f>G35+G36+SUM(G44:G53)+SUM(G65:G74)</f>
        <v>14234972.458999997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275">
        <v>536578.30000000005</v>
      </c>
      <c r="E82" s="275">
        <v>552685.1</v>
      </c>
      <c r="F82" s="266">
        <v>552906</v>
      </c>
      <c r="G82" s="276">
        <v>518703</v>
      </c>
    </row>
    <row r="83" spans="1:7" s="260" customFormat="1">
      <c r="A83" s="367">
        <v>51</v>
      </c>
      <c r="B83" s="368"/>
      <c r="C83" s="368" t="s">
        <v>310</v>
      </c>
      <c r="D83" s="275">
        <v>797</v>
      </c>
      <c r="E83" s="275">
        <v>400</v>
      </c>
      <c r="F83" s="266">
        <v>721</v>
      </c>
      <c r="G83" s="276">
        <v>400</v>
      </c>
    </row>
    <row r="84" spans="1:7" s="260" customFormat="1">
      <c r="A84" s="367">
        <v>52</v>
      </c>
      <c r="B84" s="368"/>
      <c r="C84" s="368" t="s">
        <v>311</v>
      </c>
      <c r="D84" s="275">
        <v>36020.199999999997</v>
      </c>
      <c r="E84" s="275">
        <v>36493.599999999999</v>
      </c>
      <c r="F84" s="266">
        <v>22315</v>
      </c>
      <c r="G84" s="276">
        <v>50440.6</v>
      </c>
    </row>
    <row r="85" spans="1:7" s="260" customFormat="1">
      <c r="A85" s="369">
        <v>54</v>
      </c>
      <c r="B85" s="370"/>
      <c r="C85" s="370" t="s">
        <v>312</v>
      </c>
      <c r="D85" s="271">
        <v>51350</v>
      </c>
      <c r="E85" s="271">
        <v>171950</v>
      </c>
      <c r="F85" s="272">
        <v>14124</v>
      </c>
      <c r="G85" s="273">
        <v>104775</v>
      </c>
    </row>
    <row r="86" spans="1:7" s="260" customFormat="1">
      <c r="A86" s="369">
        <v>55</v>
      </c>
      <c r="B86" s="370"/>
      <c r="C86" s="370" t="s">
        <v>313</v>
      </c>
      <c r="D86" s="271">
        <v>1602.6</v>
      </c>
      <c r="E86" s="271">
        <v>0</v>
      </c>
      <c r="F86" s="272">
        <v>2</v>
      </c>
      <c r="G86" s="273">
        <v>0</v>
      </c>
    </row>
    <row r="87" spans="1:7" s="260" customFormat="1">
      <c r="A87" s="369">
        <v>56</v>
      </c>
      <c r="B87" s="370"/>
      <c r="C87" s="370" t="s">
        <v>314</v>
      </c>
      <c r="D87" s="271">
        <v>322048.40000000002</v>
      </c>
      <c r="E87" s="271">
        <v>268401.7</v>
      </c>
      <c r="F87" s="272">
        <v>226384</v>
      </c>
      <c r="G87" s="273">
        <v>273530.7</v>
      </c>
    </row>
    <row r="88" spans="1:7" s="260" customFormat="1">
      <c r="A88" s="367">
        <v>57</v>
      </c>
      <c r="B88" s="368"/>
      <c r="C88" s="368" t="s">
        <v>315</v>
      </c>
      <c r="D88" s="275">
        <v>34695.46</v>
      </c>
      <c r="E88" s="275">
        <v>13816</v>
      </c>
      <c r="F88" s="266">
        <v>42564</v>
      </c>
      <c r="G88" s="276">
        <v>36728</v>
      </c>
    </row>
    <row r="89" spans="1:7" s="260" customFormat="1">
      <c r="A89" s="367">
        <v>580</v>
      </c>
      <c r="B89" s="368"/>
      <c r="C89" s="368" t="s">
        <v>316</v>
      </c>
      <c r="D89" s="275">
        <v>0</v>
      </c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>
        <v>0</v>
      </c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>
        <v>0</v>
      </c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>
        <v>0</v>
      </c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>
        <v>0</v>
      </c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>
        <v>0</v>
      </c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983091.96</v>
      </c>
      <c r="E95" s="376">
        <f>SUM(E82:E94)</f>
        <v>1043746.3999999999</v>
      </c>
      <c r="F95" s="376">
        <f>SUM(F82:F94)</f>
        <v>859016</v>
      </c>
      <c r="G95" s="376">
        <f>SUM(G82:G94)</f>
        <v>984577.3</v>
      </c>
    </row>
    <row r="96" spans="1:7" s="260" customFormat="1">
      <c r="A96" s="367">
        <v>60</v>
      </c>
      <c r="B96" s="368"/>
      <c r="C96" s="368" t="s">
        <v>323</v>
      </c>
      <c r="D96" s="275">
        <v>25214.2</v>
      </c>
      <c r="E96" s="275">
        <v>100</v>
      </c>
      <c r="F96" s="266">
        <v>69934</v>
      </c>
      <c r="G96" s="276">
        <v>100</v>
      </c>
    </row>
    <row r="97" spans="1:7" s="260" customFormat="1">
      <c r="A97" s="367">
        <v>61</v>
      </c>
      <c r="B97" s="368"/>
      <c r="C97" s="368" t="s">
        <v>324</v>
      </c>
      <c r="D97" s="275">
        <v>9116.2999999999993</v>
      </c>
      <c r="E97" s="275">
        <v>8000</v>
      </c>
      <c r="F97" s="266">
        <v>18926</v>
      </c>
      <c r="G97" s="276">
        <v>6900</v>
      </c>
    </row>
    <row r="98" spans="1:7" s="260" customFormat="1">
      <c r="A98" s="367">
        <v>62</v>
      </c>
      <c r="B98" s="368"/>
      <c r="C98" s="368" t="s">
        <v>325</v>
      </c>
      <c r="D98" s="275">
        <v>0</v>
      </c>
      <c r="E98" s="275">
        <v>0</v>
      </c>
      <c r="F98" s="266">
        <v>477</v>
      </c>
      <c r="G98" s="276">
        <v>551.20000000000005</v>
      </c>
    </row>
    <row r="99" spans="1:7" s="260" customFormat="1">
      <c r="A99" s="367">
        <v>63</v>
      </c>
      <c r="B99" s="368"/>
      <c r="C99" s="368" t="s">
        <v>326</v>
      </c>
      <c r="D99" s="275">
        <v>79123.899999999994</v>
      </c>
      <c r="E99" s="275">
        <v>52996</v>
      </c>
      <c r="F99" s="266">
        <v>56404</v>
      </c>
      <c r="G99" s="276">
        <v>55011.3</v>
      </c>
    </row>
    <row r="100" spans="1:7" s="260" customFormat="1">
      <c r="A100" s="367">
        <v>64</v>
      </c>
      <c r="B100" s="368"/>
      <c r="C100" s="368" t="s">
        <v>327</v>
      </c>
      <c r="D100" s="275">
        <v>85932.2</v>
      </c>
      <c r="E100" s="275">
        <v>19706</v>
      </c>
      <c r="F100" s="266">
        <v>138641</v>
      </c>
      <c r="G100" s="276">
        <v>108798</v>
      </c>
    </row>
    <row r="101" spans="1:7" s="260" customFormat="1">
      <c r="A101" s="367">
        <v>65</v>
      </c>
      <c r="B101" s="368"/>
      <c r="C101" s="368" t="s">
        <v>328</v>
      </c>
      <c r="D101" s="275">
        <v>0</v>
      </c>
      <c r="E101" s="275">
        <v>0</v>
      </c>
      <c r="F101" s="266">
        <v>375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275">
        <v>72000.3</v>
      </c>
      <c r="E102" s="275">
        <v>1956</v>
      </c>
      <c r="F102" s="266">
        <v>13086</v>
      </c>
      <c r="G102" s="276">
        <v>200</v>
      </c>
    </row>
    <row r="103" spans="1:7" s="260" customFormat="1">
      <c r="A103" s="367">
        <v>67</v>
      </c>
      <c r="B103" s="368"/>
      <c r="C103" s="368" t="s">
        <v>315</v>
      </c>
      <c r="D103" s="264">
        <v>34695.46</v>
      </c>
      <c r="E103" s="264">
        <v>13816</v>
      </c>
      <c r="F103" s="286">
        <v>42564</v>
      </c>
      <c r="G103" s="267">
        <v>36728</v>
      </c>
    </row>
    <row r="104" spans="1:7" s="260" customFormat="1" ht="28">
      <c r="A104" s="377" t="s">
        <v>330</v>
      </c>
      <c r="B104" s="368"/>
      <c r="C104" s="378" t="s">
        <v>331</v>
      </c>
      <c r="D104" s="343">
        <v>0</v>
      </c>
      <c r="E104" s="343">
        <v>0</v>
      </c>
      <c r="F104" s="345">
        <v>0</v>
      </c>
      <c r="G104" s="380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83">
        <v>0</v>
      </c>
      <c r="E105" s="383">
        <v>0</v>
      </c>
      <c r="F105" s="384">
        <v>0</v>
      </c>
      <c r="G105" s="385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306082.36</v>
      </c>
      <c r="E106" s="376">
        <f>SUM(E96:E105)</f>
        <v>96574</v>
      </c>
      <c r="F106" s="376">
        <f>SUM(F96:F105)</f>
        <v>340407</v>
      </c>
      <c r="G106" s="376">
        <f>SUM(G96:G105)</f>
        <v>208288.5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677009.60000000009</v>
      </c>
      <c r="E107" s="376">
        <f>(E95-E88)-(E106-E103)</f>
        <v>947172.39999999991</v>
      </c>
      <c r="F107" s="376">
        <f>(F95-F88)-(F106-F103)</f>
        <v>518609</v>
      </c>
      <c r="G107" s="376">
        <f>(G95-G88)-(G106-G103)</f>
        <v>776288.8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709989.20000000007</v>
      </c>
      <c r="E108" s="389">
        <f>E107-E85-E86+E100+E101</f>
        <v>794928.39999999991</v>
      </c>
      <c r="F108" s="389">
        <f>F107-F85-F86+F100+F101</f>
        <v>643499</v>
      </c>
      <c r="G108" s="389">
        <f>G107-G85-G86+G100+G101</f>
        <v>780311.8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6242170.2000000002</v>
      </c>
      <c r="E111" s="394">
        <f>E112+E117</f>
        <v>0</v>
      </c>
      <c r="F111" s="394">
        <f>F112+F117</f>
        <v>7703314.4700000007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5207799.3</v>
      </c>
      <c r="E112" s="394">
        <f>E113+E114+E115+E116</f>
        <v>0</v>
      </c>
      <c r="F112" s="394">
        <f>F113+F114+F115+F116</f>
        <v>6444255.7300000004</v>
      </c>
      <c r="G112" s="395">
        <f>G113+G114+G115+G116</f>
        <v>0</v>
      </c>
    </row>
    <row r="113" spans="1:7" s="396" customFormat="1">
      <c r="A113" s="399" t="s">
        <v>342</v>
      </c>
      <c r="B113" s="400"/>
      <c r="C113" s="400" t="s">
        <v>343</v>
      </c>
      <c r="D113" s="271">
        <f>1676390.8+2671666.9</f>
        <v>4348057.7</v>
      </c>
      <c r="E113" s="271">
        <v>0</v>
      </c>
      <c r="F113" s="271">
        <f>2337111.5+3158380</f>
        <v>5495491.5</v>
      </c>
      <c r="G113" s="401">
        <v>0</v>
      </c>
    </row>
    <row r="114" spans="1:7" s="406" customFormat="1" ht="15" customHeight="1">
      <c r="A114" s="402">
        <v>102</v>
      </c>
      <c r="B114" s="403"/>
      <c r="C114" s="403" t="s">
        <v>344</v>
      </c>
      <c r="D114" s="404">
        <v>296202.2</v>
      </c>
      <c r="E114" s="404"/>
      <c r="F114" s="404">
        <v>228381.4</v>
      </c>
      <c r="G114" s="405"/>
    </row>
    <row r="115" spans="1:7" s="396" customFormat="1">
      <c r="A115" s="399">
        <v>104</v>
      </c>
      <c r="B115" s="400"/>
      <c r="C115" s="400" t="s">
        <v>345</v>
      </c>
      <c r="D115" s="271">
        <v>501761.1</v>
      </c>
      <c r="E115" s="271"/>
      <c r="F115" s="271">
        <v>654889.79</v>
      </c>
      <c r="G115" s="401"/>
    </row>
    <row r="116" spans="1:7" s="396" customFormat="1">
      <c r="A116" s="399">
        <v>106</v>
      </c>
      <c r="B116" s="400"/>
      <c r="C116" s="400" t="s">
        <v>346</v>
      </c>
      <c r="D116" s="271">
        <v>61778.3</v>
      </c>
      <c r="E116" s="271"/>
      <c r="F116" s="271">
        <v>65493.04</v>
      </c>
      <c r="G116" s="401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1034370.9</v>
      </c>
      <c r="E117" s="394">
        <f>E118+E119+E120</f>
        <v>0</v>
      </c>
      <c r="F117" s="394">
        <f>F118+F119+F120</f>
        <v>1259058.74</v>
      </c>
      <c r="G117" s="395">
        <f>G118+G119+G120</f>
        <v>0</v>
      </c>
    </row>
    <row r="118" spans="1:7" s="396" customFormat="1">
      <c r="A118" s="399">
        <v>107</v>
      </c>
      <c r="B118" s="400"/>
      <c r="C118" s="400" t="s">
        <v>349</v>
      </c>
      <c r="D118" s="271">
        <v>145208.5</v>
      </c>
      <c r="E118" s="271">
        <v>0</v>
      </c>
      <c r="F118" s="271">
        <v>227186.79</v>
      </c>
      <c r="G118" s="401">
        <v>0</v>
      </c>
    </row>
    <row r="119" spans="1:7" s="396" customFormat="1">
      <c r="A119" s="399">
        <v>108</v>
      </c>
      <c r="B119" s="400"/>
      <c r="C119" s="400" t="s">
        <v>350</v>
      </c>
      <c r="D119" s="271">
        <v>889162.4</v>
      </c>
      <c r="E119" s="271">
        <v>0</v>
      </c>
      <c r="F119" s="271">
        <v>1031871.95</v>
      </c>
      <c r="G119" s="401">
        <v>0</v>
      </c>
    </row>
    <row r="120" spans="1:7" s="409" customFormat="1" ht="28">
      <c r="A120" s="402">
        <v>109</v>
      </c>
      <c r="B120" s="407"/>
      <c r="C120" s="407" t="s">
        <v>351</v>
      </c>
      <c r="D120" s="290">
        <v>0</v>
      </c>
      <c r="E120" s="290">
        <v>0</v>
      </c>
      <c r="F120" s="290">
        <v>0</v>
      </c>
      <c r="G120" s="408">
        <v>0</v>
      </c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14362143.299999999</v>
      </c>
      <c r="E121" s="394">
        <f>SUM(E122:E130)</f>
        <v>0</v>
      </c>
      <c r="F121" s="394">
        <f>SUM(F122:F130)</f>
        <v>14222351.800000001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>
        <f>7550518.9+83620.3</f>
        <v>7634139.2000000002</v>
      </c>
      <c r="E122" s="275">
        <v>0</v>
      </c>
      <c r="F122" s="275">
        <f>7563305.6+76635.6</f>
        <v>7639941.1999999993</v>
      </c>
      <c r="G122" s="277">
        <v>0</v>
      </c>
    </row>
    <row r="123" spans="1:7" s="396" customFormat="1">
      <c r="A123" s="410">
        <v>144</v>
      </c>
      <c r="B123" s="411"/>
      <c r="C123" s="411" t="s">
        <v>312</v>
      </c>
      <c r="D123" s="275">
        <f>865031.9+10733.6</f>
        <v>875765.5</v>
      </c>
      <c r="E123" s="275">
        <v>0</v>
      </c>
      <c r="F123" s="275">
        <f>67132.38+1409666.55</f>
        <v>1476798.9300000002</v>
      </c>
      <c r="G123" s="277">
        <v>0</v>
      </c>
    </row>
    <row r="124" spans="1:7" s="396" customFormat="1">
      <c r="A124" s="410">
        <v>145</v>
      </c>
      <c r="B124" s="411"/>
      <c r="C124" s="411" t="s">
        <v>355</v>
      </c>
      <c r="D124" s="265">
        <v>2523032.6</v>
      </c>
      <c r="E124" s="265">
        <v>0</v>
      </c>
      <c r="F124" s="275">
        <v>2522663.9700000002</v>
      </c>
      <c r="G124" s="413">
        <v>0</v>
      </c>
    </row>
    <row r="125" spans="1:7" s="396" customFormat="1">
      <c r="A125" s="410">
        <v>146</v>
      </c>
      <c r="B125" s="411"/>
      <c r="C125" s="411" t="s">
        <v>356</v>
      </c>
      <c r="D125" s="265">
        <v>3329206</v>
      </c>
      <c r="E125" s="265">
        <v>0</v>
      </c>
      <c r="F125" s="275">
        <v>2582947.7000000002</v>
      </c>
      <c r="G125" s="413">
        <v>0</v>
      </c>
    </row>
    <row r="126" spans="1:7" s="409" customFormat="1" ht="29.5" customHeight="1">
      <c r="A126" s="414" t="s">
        <v>357</v>
      </c>
      <c r="B126" s="415"/>
      <c r="C126" s="415" t="s">
        <v>358</v>
      </c>
      <c r="D126" s="281">
        <v>0</v>
      </c>
      <c r="E126" s="281">
        <v>0</v>
      </c>
      <c r="F126" s="281">
        <v>0</v>
      </c>
      <c r="G126" s="417">
        <v>0</v>
      </c>
    </row>
    <row r="127" spans="1:7" s="396" customFormat="1">
      <c r="A127" s="410">
        <v>1484</v>
      </c>
      <c r="B127" s="411"/>
      <c r="C127" s="411" t="s">
        <v>359</v>
      </c>
      <c r="D127" s="265">
        <v>0</v>
      </c>
      <c r="E127" s="265">
        <v>0</v>
      </c>
      <c r="F127" s="275">
        <v>0</v>
      </c>
      <c r="G127" s="413">
        <v>0</v>
      </c>
    </row>
    <row r="128" spans="1:7" s="396" customFormat="1">
      <c r="A128" s="410">
        <v>1485</v>
      </c>
      <c r="B128" s="411"/>
      <c r="C128" s="411" t="s">
        <v>360</v>
      </c>
      <c r="D128" s="265">
        <v>0</v>
      </c>
      <c r="E128" s="265">
        <v>0</v>
      </c>
      <c r="F128" s="275">
        <v>0</v>
      </c>
      <c r="G128" s="413">
        <v>0</v>
      </c>
    </row>
    <row r="129" spans="1:7" s="396" customFormat="1">
      <c r="A129" s="410">
        <v>1486</v>
      </c>
      <c r="B129" s="411"/>
      <c r="C129" s="411" t="s">
        <v>361</v>
      </c>
      <c r="D129" s="265">
        <v>0</v>
      </c>
      <c r="E129" s="265">
        <v>0</v>
      </c>
      <c r="F129" s="275">
        <v>0</v>
      </c>
      <c r="G129" s="413">
        <v>0</v>
      </c>
    </row>
    <row r="130" spans="1:7" s="396" customFormat="1">
      <c r="A130" s="418">
        <v>1489</v>
      </c>
      <c r="B130" s="419"/>
      <c r="C130" s="419" t="s">
        <v>362</v>
      </c>
      <c r="D130" s="305">
        <v>0</v>
      </c>
      <c r="E130" s="305">
        <v>0</v>
      </c>
      <c r="F130" s="306">
        <v>0</v>
      </c>
      <c r="G130" s="421">
        <v>0</v>
      </c>
    </row>
    <row r="131" spans="1:7" s="250" customFormat="1">
      <c r="A131" s="422">
        <v>1</v>
      </c>
      <c r="B131" s="423"/>
      <c r="C131" s="422" t="s">
        <v>363</v>
      </c>
      <c r="D131" s="424">
        <f>D111+D121</f>
        <v>20604313.5</v>
      </c>
      <c r="E131" s="424">
        <f>E111+E121</f>
        <v>0</v>
      </c>
      <c r="F131" s="424">
        <f>F111+F121</f>
        <v>21925666.270000003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12295727.808</v>
      </c>
      <c r="E133" s="425">
        <v>0</v>
      </c>
      <c r="F133" s="425">
        <f>F134+F140</f>
        <v>13483912.328</v>
      </c>
      <c r="G133" s="426"/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3807797.4079999998</v>
      </c>
      <c r="E134" s="394">
        <f>E135+E136+E138+E139</f>
        <v>0</v>
      </c>
      <c r="F134" s="394">
        <f>F135+F136+F138+F139</f>
        <v>6894121.9399999995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>
        <v>1558614.3</v>
      </c>
      <c r="E135" s="275">
        <v>0</v>
      </c>
      <c r="F135" s="275">
        <v>1722016.76</v>
      </c>
      <c r="G135" s="277">
        <v>0</v>
      </c>
    </row>
    <row r="136" spans="1:7" s="429" customFormat="1">
      <c r="A136" s="428">
        <v>201</v>
      </c>
      <c r="B136" s="411"/>
      <c r="C136" s="411" t="s">
        <v>368</v>
      </c>
      <c r="D136" s="275">
        <v>54157.108</v>
      </c>
      <c r="E136" s="275">
        <v>0</v>
      </c>
      <c r="F136" s="275">
        <v>710859.08</v>
      </c>
      <c r="G136" s="277">
        <v>0</v>
      </c>
    </row>
    <row r="137" spans="1:7" s="429" customFormat="1">
      <c r="A137" s="430" t="s">
        <v>369</v>
      </c>
      <c r="B137" s="400"/>
      <c r="C137" s="400" t="s">
        <v>370</v>
      </c>
      <c r="D137" s="271">
        <v>0</v>
      </c>
      <c r="E137" s="271">
        <v>0</v>
      </c>
      <c r="F137" s="271">
        <v>0</v>
      </c>
      <c r="G137" s="401">
        <v>0</v>
      </c>
    </row>
    <row r="138" spans="1:7" s="429" customFormat="1">
      <c r="A138" s="428">
        <v>204</v>
      </c>
      <c r="B138" s="411"/>
      <c r="C138" s="411" t="s">
        <v>371</v>
      </c>
      <c r="D138" s="275">
        <v>1922604</v>
      </c>
      <c r="E138" s="275">
        <v>0</v>
      </c>
      <c r="F138" s="275">
        <v>1999378.7</v>
      </c>
      <c r="G138" s="277">
        <v>0</v>
      </c>
    </row>
    <row r="139" spans="1:7" s="429" customFormat="1">
      <c r="A139" s="428">
        <v>205</v>
      </c>
      <c r="B139" s="411"/>
      <c r="C139" s="411" t="s">
        <v>372</v>
      </c>
      <c r="D139" s="275">
        <v>272422</v>
      </c>
      <c r="E139" s="275">
        <v>0</v>
      </c>
      <c r="F139" s="275">
        <v>2461867.4</v>
      </c>
      <c r="G139" s="277">
        <v>0</v>
      </c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8487930.4000000004</v>
      </c>
      <c r="E140" s="394">
        <f>E141+E143+E144</f>
        <v>0</v>
      </c>
      <c r="F140" s="394">
        <f>F141+F143+F144</f>
        <v>6589790.3880000003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>
        <v>4215775.4000000004</v>
      </c>
      <c r="E141" s="275">
        <v>0</v>
      </c>
      <c r="F141" s="275">
        <v>4532292.9879999999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>
        <v>709989.9</v>
      </c>
      <c r="E142" s="271">
        <v>0</v>
      </c>
      <c r="F142" s="271">
        <v>705475.55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>
        <v>3649668</v>
      </c>
      <c r="E143" s="275">
        <v>0</v>
      </c>
      <c r="F143" s="275">
        <v>1507069.4</v>
      </c>
      <c r="G143" s="413">
        <v>0</v>
      </c>
    </row>
    <row r="144" spans="1:7" s="433" customFormat="1" ht="28">
      <c r="A144" s="414">
        <v>209</v>
      </c>
      <c r="B144" s="415"/>
      <c r="C144" s="415" t="s">
        <v>379</v>
      </c>
      <c r="D144" s="281">
        <v>622487</v>
      </c>
      <c r="E144" s="281">
        <v>0</v>
      </c>
      <c r="F144" s="281">
        <v>550428</v>
      </c>
      <c r="G144" s="417">
        <v>0</v>
      </c>
    </row>
    <row r="145" spans="1:7" s="396" customFormat="1">
      <c r="A145" s="427">
        <v>29</v>
      </c>
      <c r="B145" s="398"/>
      <c r="C145" s="398" t="s">
        <v>380</v>
      </c>
      <c r="D145" s="412">
        <v>8308585.7999999998</v>
      </c>
      <c r="E145" s="412"/>
      <c r="F145" s="412">
        <v>8441753.6300000008</v>
      </c>
      <c r="G145" s="413">
        <v>0</v>
      </c>
    </row>
    <row r="146" spans="1:7" s="396" customFormat="1">
      <c r="A146" s="434" t="s">
        <v>381</v>
      </c>
      <c r="B146" s="435"/>
      <c r="C146" s="435" t="s">
        <v>382</v>
      </c>
      <c r="D146" s="332">
        <v>6126041.5</v>
      </c>
      <c r="E146" s="332"/>
      <c r="F146" s="332">
        <v>6152258.6900000004</v>
      </c>
      <c r="G146" s="436">
        <v>0</v>
      </c>
    </row>
    <row r="147" spans="1:7" s="250" customFormat="1">
      <c r="A147" s="422">
        <v>2</v>
      </c>
      <c r="B147" s="423"/>
      <c r="C147" s="422" t="s">
        <v>383</v>
      </c>
      <c r="D147" s="424">
        <f>D133+D145</f>
        <v>20604313.607999999</v>
      </c>
      <c r="E147" s="424">
        <f>E133+E145</f>
        <v>0</v>
      </c>
      <c r="F147" s="424">
        <f>F133+F145</f>
        <v>21925665.958000001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16" t="s">
        <v>386</v>
      </c>
      <c r="B150" s="441"/>
      <c r="C150" s="441" t="s">
        <v>97</v>
      </c>
      <c r="D150" s="442">
        <f>D77+SUM(D8:D12)-D30-D31+D16-D33+D59+D63-D73+D64-D74-D54+D20-D35</f>
        <v>-1008883.320069997</v>
      </c>
      <c r="E150" s="442">
        <f>E77+SUM(E8:E12)-E30-E31+E16-E33+E59+E63-E73+E64-E74-E54+E20-E35</f>
        <v>322521.74399999861</v>
      </c>
      <c r="F150" s="442">
        <f>F77+SUM(F8:F12)-F30-F31+F16-F33+F59+F63-F73+F64-F74-F54+F20-F35</f>
        <v>711843.90999999852</v>
      </c>
      <c r="G150" s="442">
        <f>G77+SUM(G8:G12)-G30-G31+G16-G33+G59+G63-G73+G64-G74-G54+G20-G35</f>
        <v>564983.15599999705</v>
      </c>
    </row>
    <row r="151" spans="1:7">
      <c r="A151" s="517" t="s">
        <v>387</v>
      </c>
      <c r="B151" s="444"/>
      <c r="C151" s="444" t="s">
        <v>388</v>
      </c>
      <c r="D151" s="445">
        <f>IF(D177=0,0,D150/D177)</f>
        <v>-7.5730930243721697E-2</v>
      </c>
      <c r="E151" s="445">
        <f>IF(E177=0,0,E150/E177)</f>
        <v>2.4767638381626912E-2</v>
      </c>
      <c r="F151" s="445">
        <f>IF(F177=0,0,F150/F177)</f>
        <v>5.2304154571035988E-2</v>
      </c>
      <c r="G151" s="445">
        <f>IF(G177=0,0,G150/G177)</f>
        <v>4.1573363829065471E-2</v>
      </c>
    </row>
    <row r="152" spans="1:7" s="449" customFormat="1" ht="28">
      <c r="A152" s="511" t="s">
        <v>389</v>
      </c>
      <c r="B152" s="447"/>
      <c r="C152" s="447" t="s">
        <v>390</v>
      </c>
      <c r="D152" s="591" t="str">
        <f t="shared" ref="D152:G153" si="0">IF(IF(D107=0,0,D$150/D107)&lt;0,"negativ",(IF(D107=0,0,D$150/D107)))</f>
        <v>negativ</v>
      </c>
      <c r="E152" s="448">
        <f t="shared" si="0"/>
        <v>0.34051007398441785</v>
      </c>
      <c r="F152" s="448">
        <f t="shared" si="0"/>
        <v>1.3726023073259401</v>
      </c>
      <c r="G152" s="448">
        <f t="shared" si="0"/>
        <v>0.7278002155898643</v>
      </c>
    </row>
    <row r="153" spans="1:7" s="449" customFormat="1" ht="28">
      <c r="A153" s="512" t="s">
        <v>389</v>
      </c>
      <c r="B153" s="451"/>
      <c r="C153" s="451" t="s">
        <v>391</v>
      </c>
      <c r="D153" s="592" t="str">
        <f t="shared" si="0"/>
        <v>negativ</v>
      </c>
      <c r="E153" s="452">
        <f t="shared" si="0"/>
        <v>0.40572426900334502</v>
      </c>
      <c r="F153" s="452">
        <f t="shared" si="0"/>
        <v>1.1062082613958972</v>
      </c>
      <c r="G153" s="452">
        <f t="shared" si="0"/>
        <v>0.72404794596211031</v>
      </c>
    </row>
    <row r="154" spans="1:7" ht="28">
      <c r="A154" s="513" t="s">
        <v>392</v>
      </c>
      <c r="B154" s="454"/>
      <c r="C154" s="454" t="s">
        <v>393</v>
      </c>
      <c r="D154" s="455">
        <f>D150-D107</f>
        <v>-1685892.9200699972</v>
      </c>
      <c r="E154" s="455">
        <f>E150-E107</f>
        <v>-624650.65600000136</v>
      </c>
      <c r="F154" s="455">
        <f>F150-F107</f>
        <v>193234.90999999852</v>
      </c>
      <c r="G154" s="455">
        <f>G150-G107</f>
        <v>-211305.644000003</v>
      </c>
    </row>
    <row r="155" spans="1:7" ht="28">
      <c r="A155" s="512" t="s">
        <v>394</v>
      </c>
      <c r="B155" s="451"/>
      <c r="C155" s="451" t="s">
        <v>395</v>
      </c>
      <c r="D155" s="456">
        <f>D150-D108</f>
        <v>-1718872.5200699971</v>
      </c>
      <c r="E155" s="456">
        <f>E150-E108</f>
        <v>-472406.6560000013</v>
      </c>
      <c r="F155" s="456">
        <f>F150-F108</f>
        <v>68344.909999998519</v>
      </c>
      <c r="G155" s="456">
        <f>G150-G108</f>
        <v>-215328.644000003</v>
      </c>
    </row>
    <row r="156" spans="1:7">
      <c r="A156" s="516" t="s">
        <v>396</v>
      </c>
      <c r="B156" s="441"/>
      <c r="C156" s="441" t="s">
        <v>397</v>
      </c>
      <c r="D156" s="457">
        <f>D135+D136-D137+D141-D142</f>
        <v>5118556.9079999998</v>
      </c>
      <c r="E156" s="457">
        <f>E135+E136-E137+E141-E142</f>
        <v>0</v>
      </c>
      <c r="F156" s="457">
        <f>F135+F136-F137+F141-F142</f>
        <v>6259693.2779999999</v>
      </c>
      <c r="G156" s="457">
        <f>G135+G136-G137+G141-G142</f>
        <v>0</v>
      </c>
    </row>
    <row r="157" spans="1:7">
      <c r="A157" s="518" t="s">
        <v>398</v>
      </c>
      <c r="B157" s="459"/>
      <c r="C157" s="459" t="s">
        <v>399</v>
      </c>
      <c r="D157" s="460">
        <f>IF(D177=0,0,D156/D177)</f>
        <v>0.38421992755452983</v>
      </c>
      <c r="E157" s="460">
        <f>IF(E177=0,0,E156/E177)</f>
        <v>0</v>
      </c>
      <c r="F157" s="460">
        <f>IF(F177=0,0,F156/F177)</f>
        <v>0.45994347943468061</v>
      </c>
      <c r="G157" s="460">
        <f>IF(G177=0,0,G156/G177)</f>
        <v>0</v>
      </c>
    </row>
    <row r="158" spans="1:7">
      <c r="A158" s="516" t="s">
        <v>400</v>
      </c>
      <c r="B158" s="441"/>
      <c r="C158" s="441" t="s">
        <v>401</v>
      </c>
      <c r="D158" s="457">
        <f>D133-D142-D111</f>
        <v>5343567.7079999996</v>
      </c>
      <c r="E158" s="457">
        <f>E133-E142-E111</f>
        <v>0</v>
      </c>
      <c r="F158" s="457">
        <f>F133-F142-F111</f>
        <v>5075122.3079999983</v>
      </c>
      <c r="G158" s="457">
        <f>G133-G142-G111</f>
        <v>0</v>
      </c>
    </row>
    <row r="159" spans="1:7">
      <c r="A159" s="517" t="s">
        <v>402</v>
      </c>
      <c r="B159" s="444"/>
      <c r="C159" s="444" t="s">
        <v>403</v>
      </c>
      <c r="D159" s="461">
        <f>D121-D123-D124-D142-D145</f>
        <v>1944769.4999999991</v>
      </c>
      <c r="E159" s="461">
        <f>E121-E123-E124-E142-E145</f>
        <v>0</v>
      </c>
      <c r="F159" s="461">
        <f>F121-F123-F124-F142-F145</f>
        <v>1075659.7199999988</v>
      </c>
      <c r="G159" s="461">
        <f>G121-G123-G124-G142-G145</f>
        <v>0</v>
      </c>
    </row>
    <row r="160" spans="1:7">
      <c r="A160" s="517" t="s">
        <v>404</v>
      </c>
      <c r="B160" s="444"/>
      <c r="C160" s="444" t="s">
        <v>405</v>
      </c>
      <c r="D160" s="462">
        <f>IF(D175=0,0,1000*(D158/D175))</f>
        <v>3837.6671272622807</v>
      </c>
      <c r="E160" s="462">
        <f>IF(E175=0,0,1000*(E158/E175))</f>
        <v>0</v>
      </c>
      <c r="F160" s="462">
        <f>IF(F175=0,0,1000*(F158/F175))</f>
        <v>3603.9783468257338</v>
      </c>
      <c r="G160" s="462">
        <f>IF(G175=0,"-",1000*G158/G175)</f>
        <v>0</v>
      </c>
    </row>
    <row r="161" spans="1:7">
      <c r="A161" s="517" t="s">
        <v>404</v>
      </c>
      <c r="B161" s="444"/>
      <c r="C161" s="444" t="s">
        <v>406</v>
      </c>
      <c r="D161" s="461">
        <f>IF(D175=0,0,1000*(D159/D175))</f>
        <v>1396.7031743751788</v>
      </c>
      <c r="E161" s="461">
        <f>IF(E175=0,0,1000*(E159/E175))</f>
        <v>0</v>
      </c>
      <c r="F161" s="461">
        <f>IF(F175=0,0,1000*(F159/F175))</f>
        <v>763.85436727737454</v>
      </c>
      <c r="G161" s="461">
        <f>IF(G175=0,0,1000*(G159/G175))</f>
        <v>0</v>
      </c>
    </row>
    <row r="162" spans="1:7">
      <c r="A162" s="518" t="s">
        <v>407</v>
      </c>
      <c r="B162" s="459"/>
      <c r="C162" s="459" t="s">
        <v>408</v>
      </c>
      <c r="D162" s="460">
        <f>IF((D22+D23+D65+D66)=0,0,D158/(D22+D23+D65+D66))</f>
        <v>0.82572357223564197</v>
      </c>
      <c r="E162" s="460">
        <f>IF((E22+E23+E65+E66)=0,0,E158/(E22+E23+E65+E66))</f>
        <v>0</v>
      </c>
      <c r="F162" s="460">
        <f>IF((F22+F23+F65+F66)=0,0,F158/(F22+F23+F65+F66))</f>
        <v>0.80806164455799578</v>
      </c>
      <c r="G162" s="460">
        <f>IF((G22+G23+G65+G66)=0,0,G158/(G22+G23+G65+G66))</f>
        <v>0</v>
      </c>
    </row>
    <row r="163" spans="1:7">
      <c r="A163" s="517" t="s">
        <v>409</v>
      </c>
      <c r="B163" s="444"/>
      <c r="C163" s="444" t="s">
        <v>410</v>
      </c>
      <c r="D163" s="442">
        <f>D145</f>
        <v>8308585.7999999998</v>
      </c>
      <c r="E163" s="442">
        <f>E145</f>
        <v>0</v>
      </c>
      <c r="F163" s="442">
        <f>F145</f>
        <v>8441753.6300000008</v>
      </c>
      <c r="G163" s="442">
        <f>G145</f>
        <v>0</v>
      </c>
    </row>
    <row r="164" spans="1:7" ht="28">
      <c r="A164" s="512" t="s">
        <v>411</v>
      </c>
      <c r="B164" s="463"/>
      <c r="C164" s="463" t="s">
        <v>412</v>
      </c>
      <c r="D164" s="452">
        <f>IF(D178=0,0,D146/D178)</f>
        <v>0.40717607680086387</v>
      </c>
      <c r="E164" s="452">
        <f>IF(E178=0,0,E146/E178)</f>
        <v>0</v>
      </c>
      <c r="F164" s="452">
        <f>IF(F178=0,0,F146/F178)</f>
        <v>0.45558536520064874</v>
      </c>
      <c r="G164" s="452">
        <f>IF(G178=0,0,G146/G178)</f>
        <v>0</v>
      </c>
    </row>
    <row r="165" spans="1:7">
      <c r="A165" s="519" t="s">
        <v>681</v>
      </c>
      <c r="B165" s="464"/>
      <c r="C165" s="464" t="s">
        <v>414</v>
      </c>
      <c r="D165" s="465">
        <f>IF(D177=0,0,D180/D177)</f>
        <v>5.5155202658715589E-2</v>
      </c>
      <c r="E165" s="465">
        <f>IF(E177=0,0,E180/E177)</f>
        <v>5.0892993851346525E-2</v>
      </c>
      <c r="F165" s="465">
        <f>IF(F177=0,0,F180/F177)</f>
        <v>5.4319424399408733E-2</v>
      </c>
      <c r="G165" s="465">
        <f>IF(G177=0,0,G180/G177)</f>
        <v>5.0131888626083178E-2</v>
      </c>
    </row>
    <row r="166" spans="1:7">
      <c r="A166" s="517" t="s">
        <v>415</v>
      </c>
      <c r="B166" s="444"/>
      <c r="C166" s="444" t="s">
        <v>282</v>
      </c>
      <c r="D166" s="442">
        <f>D55</f>
        <v>330570.97999999992</v>
      </c>
      <c r="E166" s="442">
        <f>E55</f>
        <v>268635.75400000002</v>
      </c>
      <c r="F166" s="442">
        <f>F55</f>
        <v>333409.50000000012</v>
      </c>
      <c r="G166" s="442">
        <f>G55</f>
        <v>271724.60000000003</v>
      </c>
    </row>
    <row r="167" spans="1:7">
      <c r="A167" s="518" t="s">
        <v>416</v>
      </c>
      <c r="B167" s="459"/>
      <c r="C167" s="459" t="s">
        <v>417</v>
      </c>
      <c r="D167" s="460">
        <f>IF(0=D111,0,(D44+D45+D46+D47+D48)/D111)</f>
        <v>3.1296932595653991E-2</v>
      </c>
      <c r="E167" s="460">
        <f>IF(0=E111,0,(E44+E45+E46+E47+E48)/E111)</f>
        <v>0</v>
      </c>
      <c r="F167" s="460">
        <f>IF(0=F111,0,(F44+F45+F46+F47+F48)/F111)</f>
        <v>2.4376844633735947E-2</v>
      </c>
      <c r="G167" s="460">
        <f>IF(0=G111,0,(G44+G45+G46+G47+G48)/G111)</f>
        <v>0</v>
      </c>
    </row>
    <row r="168" spans="1:7">
      <c r="A168" s="517" t="s">
        <v>418</v>
      </c>
      <c r="B168" s="441"/>
      <c r="C168" s="441" t="s">
        <v>419</v>
      </c>
      <c r="D168" s="442">
        <f>D38-D44</f>
        <v>80401.01999999999</v>
      </c>
      <c r="E168" s="442">
        <f>E38-E44</f>
        <v>86715.646000000008</v>
      </c>
      <c r="F168" s="442">
        <f>F38-F44</f>
        <v>83162.999999999985</v>
      </c>
      <c r="G168" s="442">
        <f>G38-G44</f>
        <v>89158.300000000017</v>
      </c>
    </row>
    <row r="169" spans="1:7">
      <c r="A169" s="518" t="s">
        <v>420</v>
      </c>
      <c r="B169" s="459"/>
      <c r="C169" s="459" t="s">
        <v>421</v>
      </c>
      <c r="D169" s="445">
        <f>IF(D177=0,0,D168/D177)</f>
        <v>6.0352311471673688E-3</v>
      </c>
      <c r="E169" s="445">
        <f>IF(E177=0,0,E168/E177)</f>
        <v>6.6592153927990099E-3</v>
      </c>
      <c r="F169" s="445">
        <f>IF(F177=0,0,F168/F177)</f>
        <v>6.1105677037976971E-3</v>
      </c>
      <c r="G169" s="445">
        <f>IF(G177=0,0,G168/G177)</f>
        <v>6.5605680539633435E-3</v>
      </c>
    </row>
    <row r="170" spans="1:7">
      <c r="A170" s="517" t="s">
        <v>422</v>
      </c>
      <c r="B170" s="444"/>
      <c r="C170" s="444" t="s">
        <v>423</v>
      </c>
      <c r="D170" s="442">
        <f>SUM(D82:D87)+SUM(D89:D94)</f>
        <v>948396.5</v>
      </c>
      <c r="E170" s="442">
        <f>SUM(E82:E87)+SUM(E89:E94)</f>
        <v>1029930.3999999999</v>
      </c>
      <c r="F170" s="442">
        <f>SUM(F82:F87)+SUM(F89:F94)</f>
        <v>816452</v>
      </c>
      <c r="G170" s="442">
        <f>SUM(G82:G87)+SUM(G89:G94)</f>
        <v>947849.3</v>
      </c>
    </row>
    <row r="171" spans="1:7">
      <c r="A171" s="517" t="s">
        <v>424</v>
      </c>
      <c r="B171" s="444"/>
      <c r="C171" s="444" t="s">
        <v>425</v>
      </c>
      <c r="D171" s="461">
        <f>SUM(D96:D102)+SUM(D104:D105)</f>
        <v>271386.89999999997</v>
      </c>
      <c r="E171" s="461">
        <f>SUM(E96:E102)+SUM(E104:E105)</f>
        <v>82758</v>
      </c>
      <c r="F171" s="461">
        <f>SUM(F96:F102)+SUM(F104:F105)</f>
        <v>297843</v>
      </c>
      <c r="G171" s="461">
        <f>SUM(G96:G102)+SUM(G104:G105)</f>
        <v>171560.5</v>
      </c>
    </row>
    <row r="172" spans="1:7">
      <c r="A172" s="519" t="s">
        <v>413</v>
      </c>
      <c r="B172" s="464"/>
      <c r="C172" s="464" t="s">
        <v>426</v>
      </c>
      <c r="D172" s="465">
        <f>IF(D184=0,0,D170/D184)</f>
        <v>6.2654827618495543E-2</v>
      </c>
      <c r="E172" s="465">
        <f>IF(E184=0,0,E170/E184)</f>
        <v>7.6408865543899515E-2</v>
      </c>
      <c r="F172" s="465">
        <f>IF(F184=0,0,F170/F184)</f>
        <v>6.0536316162417815E-2</v>
      </c>
      <c r="G172" s="465">
        <f>IF(G184=0,0,G170/G184)</f>
        <v>6.8518787786004592E-2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0">
        <v>1392400</v>
      </c>
      <c r="E175" s="470">
        <v>1408200</v>
      </c>
      <c r="F175" s="471">
        <v>1408200</v>
      </c>
      <c r="G175" s="471">
        <v>1409607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13321945.43</v>
      </c>
      <c r="E177" s="472">
        <f>SUM(E22:E32)+SUM(E44:E53)+SUM(E65:E72)+E75</f>
        <v>13021901.363</v>
      </c>
      <c r="F177" s="472">
        <f>SUM(F22:F32)+SUM(F44:F53)+SUM(F65:F72)+F75</f>
        <v>13609701.1</v>
      </c>
      <c r="G177" s="472">
        <f>SUM(G22:G32)+SUM(G44:G53)+SUM(G65:G72)+G75</f>
        <v>13590027.458999997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15045190.149999999</v>
      </c>
      <c r="E178" s="472">
        <f>E78-E17-E20-E59-E63-E64</f>
        <v>13103683.356000001</v>
      </c>
      <c r="F178" s="472">
        <f>F78-F17-F20-F59-F63-F64</f>
        <v>13504074.450000001</v>
      </c>
      <c r="G178" s="472">
        <f>G78-G17-G20-G59-G63-G64</f>
        <v>13572460.07</v>
      </c>
    </row>
    <row r="179" spans="1:7">
      <c r="A179" s="468"/>
      <c r="B179" s="468"/>
      <c r="C179" s="468" t="s">
        <v>435</v>
      </c>
      <c r="D179" s="472">
        <f>D178+D170</f>
        <v>15993586.649999999</v>
      </c>
      <c r="E179" s="472">
        <f>E178+E170</f>
        <v>14133613.756000001</v>
      </c>
      <c r="F179" s="472">
        <f>F178+F170</f>
        <v>14320526.450000001</v>
      </c>
      <c r="G179" s="472">
        <f>G178+G170</f>
        <v>14520309.370000001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734774.6</v>
      </c>
      <c r="E180" s="472">
        <f>E38-E44+E8+E9+E10+E16-E33</f>
        <v>662723.54599999997</v>
      </c>
      <c r="F180" s="472">
        <f>F38-F44+F8+F9+F10+F16-F33</f>
        <v>739271.12999999989</v>
      </c>
      <c r="G180" s="472">
        <f>G38-G44+G8+G9+G10+G16-G33</f>
        <v>681293.74300000002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13137358.159930002</v>
      </c>
      <c r="E181" s="475">
        <f>E22+E23+E24+E25+E26+E29+SUM(E44:E47)+SUM(E49:E53)-E54+E32-E33+SUM(E65:E70)+E72</f>
        <v>12759944.6</v>
      </c>
      <c r="F181" s="475">
        <f>F22+F23+F24+F25+F26+F29+SUM(F44:F47)+SUM(F49:F53)-F54+F32-F33+SUM(F65:F70)+F72</f>
        <v>13322959.799999997</v>
      </c>
      <c r="G181" s="475">
        <f>G22+G23+G24+G25+G26+G29+SUM(G44:G47)+SUM(G49:G53)-G54+G32-G33+SUM(G65:G70)+G72</f>
        <v>13440815.362999998</v>
      </c>
    </row>
    <row r="182" spans="1:7">
      <c r="A182" s="474" t="s">
        <v>440</v>
      </c>
      <c r="B182" s="474"/>
      <c r="C182" s="474" t="s">
        <v>441</v>
      </c>
      <c r="D182" s="475">
        <f>D181+D171</f>
        <v>13408745.059930002</v>
      </c>
      <c r="E182" s="475">
        <f>E181+E171</f>
        <v>12842702.6</v>
      </c>
      <c r="F182" s="475">
        <f>F181+F171</f>
        <v>13620802.799999997</v>
      </c>
      <c r="G182" s="475">
        <f>G181+G171</f>
        <v>13612375.862999998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14188449.869999999</v>
      </c>
      <c r="E183" s="475">
        <f>E4+E5-E7+E38+E39+E40+E41+E43+E13-E16+E57+E58+E60+E61+E62</f>
        <v>12449269.855999999</v>
      </c>
      <c r="F183" s="475">
        <f>F4+F5-F7+F38+F39+F40+F41+F43+F13-F16+F57+F58+F60+F61+F62</f>
        <v>12670526.59</v>
      </c>
      <c r="G183" s="475">
        <f>G4+G5-G7+G38+G39+G40+G41+G43+G13-G16+G57+G58+G60+G61+G62</f>
        <v>12885572.607000001</v>
      </c>
    </row>
    <row r="184" spans="1:7">
      <c r="A184" s="474" t="s">
        <v>444</v>
      </c>
      <c r="B184" s="474"/>
      <c r="C184" s="474" t="s">
        <v>445</v>
      </c>
      <c r="D184" s="475">
        <f>D183+D170</f>
        <v>15136846.369999999</v>
      </c>
      <c r="E184" s="475">
        <f>E183+E170</f>
        <v>13479200.255999999</v>
      </c>
      <c r="F184" s="475">
        <f>F183+F170</f>
        <v>13486978.59</v>
      </c>
      <c r="G184" s="475">
        <f>G183+G170</f>
        <v>13833421.907000002</v>
      </c>
    </row>
    <row r="185" spans="1:7">
      <c r="A185" s="474"/>
      <c r="B185" s="474"/>
      <c r="C185" s="474" t="s">
        <v>446</v>
      </c>
      <c r="D185" s="475">
        <f t="shared" ref="D185:G186" si="1">D181-D183</f>
        <v>-1051091.7100699972</v>
      </c>
      <c r="E185" s="475">
        <f t="shared" si="1"/>
        <v>310674.74400000088</v>
      </c>
      <c r="F185" s="475">
        <f t="shared" si="1"/>
        <v>652433.20999999717</v>
      </c>
      <c r="G185" s="475">
        <f t="shared" si="1"/>
        <v>555242.75599999726</v>
      </c>
    </row>
    <row r="186" spans="1:7">
      <c r="A186" s="474"/>
      <c r="B186" s="474"/>
      <c r="C186" s="474" t="s">
        <v>447</v>
      </c>
      <c r="D186" s="475">
        <f t="shared" si="1"/>
        <v>-1728101.3100699969</v>
      </c>
      <c r="E186" s="475">
        <f t="shared" si="1"/>
        <v>-636497.65599999949</v>
      </c>
      <c r="F186" s="475">
        <f t="shared" si="1"/>
        <v>133824.20999999717</v>
      </c>
      <c r="G186" s="475">
        <f t="shared" si="1"/>
        <v>-221046.04400000349</v>
      </c>
    </row>
  </sheetData>
  <mergeCells count="2">
    <mergeCell ref="A3:C3"/>
    <mergeCell ref="A81:C81"/>
  </mergeCells>
  <printOptions headings="1" gridLines="1"/>
  <pageMargins left="0.25" right="0.25" top="0.75" bottom="0.75" header="0.3" footer="0.3"/>
  <pageSetup paperSize="9" fitToHeight="0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topLeftCell="A36" zoomScaleNormal="100" workbookViewId="0"/>
  </sheetViews>
  <sheetFormatPr baseColWidth="10" defaultRowHeight="13"/>
  <cols>
    <col min="1" max="1" width="10.5" customWidth="1"/>
    <col min="2" max="2" width="46" customWidth="1"/>
    <col min="3" max="3" width="11.6640625" customWidth="1"/>
    <col min="4" max="4" width="8.5" customWidth="1"/>
    <col min="5" max="5" width="13.33203125" bestFit="1" customWidth="1"/>
    <col min="6" max="6" width="8.83203125" customWidth="1"/>
    <col min="7" max="7" width="12.33203125" customWidth="1"/>
    <col min="8" max="8" width="8.33203125" customWidth="1"/>
    <col min="9" max="9" width="11" customWidth="1"/>
  </cols>
  <sheetData>
    <row r="1" spans="1:9">
      <c r="A1" s="5" t="s">
        <v>20</v>
      </c>
      <c r="B1" s="6" t="s">
        <v>101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102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3500946.1129999999</v>
      </c>
      <c r="D4" s="11">
        <v>2.1107040101419942E-3</v>
      </c>
      <c r="E4" s="10">
        <v>3508335.574</v>
      </c>
      <c r="F4" s="11">
        <v>1.0686494680796478E-2</v>
      </c>
      <c r="G4" s="10">
        <v>3545827.3834500001</v>
      </c>
      <c r="H4" s="11">
        <v>-0.10376789636386667</v>
      </c>
      <c r="I4" s="12">
        <v>3177884.335</v>
      </c>
    </row>
    <row r="5" spans="1:9">
      <c r="A5" s="13" t="s">
        <v>30</v>
      </c>
      <c r="B5" s="14" t="s">
        <v>31</v>
      </c>
      <c r="C5" s="15">
        <v>793965.65432000009</v>
      </c>
      <c r="D5" s="16">
        <v>0.14265305523449109</v>
      </c>
      <c r="E5" s="15">
        <v>907227.28065999993</v>
      </c>
      <c r="F5" s="16">
        <v>-0.13066520277450308</v>
      </c>
      <c r="G5" s="15">
        <v>788684.24407000002</v>
      </c>
      <c r="H5" s="16">
        <v>0.17467202359601455</v>
      </c>
      <c r="I5" s="17">
        <v>926445.31695999997</v>
      </c>
    </row>
    <row r="6" spans="1:9">
      <c r="A6" s="13" t="s">
        <v>32</v>
      </c>
      <c r="B6" s="14" t="s">
        <v>33</v>
      </c>
      <c r="C6" s="15">
        <v>57853.123850000004</v>
      </c>
      <c r="D6" s="16">
        <v>-0.14837836366894822</v>
      </c>
      <c r="E6" s="15">
        <v>49268.972000000002</v>
      </c>
      <c r="F6" s="16">
        <v>-1.1373919675044241E-2</v>
      </c>
      <c r="G6" s="15">
        <v>48708.590669999998</v>
      </c>
      <c r="H6" s="16">
        <v>-7.2443579694316737E-2</v>
      </c>
      <c r="I6" s="17">
        <v>45179.966</v>
      </c>
    </row>
    <row r="7" spans="1:9">
      <c r="A7" s="13" t="s">
        <v>34</v>
      </c>
      <c r="B7" s="14" t="s">
        <v>35</v>
      </c>
      <c r="C7" s="15">
        <v>115805.43956999999</v>
      </c>
      <c r="D7" s="16">
        <v>0.18251137864058811</v>
      </c>
      <c r="E7" s="15">
        <v>136941.25</v>
      </c>
      <c r="F7" s="16">
        <v>-0.21135616171168295</v>
      </c>
      <c r="G7" s="15">
        <v>107997.87302</v>
      </c>
      <c r="H7" s="16">
        <v>0.14158091777574516</v>
      </c>
      <c r="I7" s="17">
        <v>123288.31099999999</v>
      </c>
    </row>
    <row r="8" spans="1:9">
      <c r="A8" s="13" t="s">
        <v>36</v>
      </c>
      <c r="B8" s="14" t="s">
        <v>37</v>
      </c>
      <c r="C8" s="15">
        <v>107088.12792</v>
      </c>
      <c r="D8" s="16">
        <v>-0.11628485959996232</v>
      </c>
      <c r="E8" s="15">
        <v>94635.4</v>
      </c>
      <c r="F8" s="16">
        <v>0.10890919064113436</v>
      </c>
      <c r="G8" s="15">
        <v>104942.06482</v>
      </c>
      <c r="H8" s="16">
        <v>-5.4681741109656255E-2</v>
      </c>
      <c r="I8" s="17">
        <v>99203.65</v>
      </c>
    </row>
    <row r="9" spans="1:9">
      <c r="A9" s="13" t="s">
        <v>38</v>
      </c>
      <c r="B9" s="14" t="s">
        <v>39</v>
      </c>
      <c r="C9" s="15">
        <v>538019.31641999993</v>
      </c>
      <c r="D9" s="16">
        <v>0.1562404007338262</v>
      </c>
      <c r="E9" s="15">
        <v>622079.67001999996</v>
      </c>
      <c r="F9" s="16">
        <v>-2.9441429583145193E-2</v>
      </c>
      <c r="G9" s="15">
        <v>603764.75521999993</v>
      </c>
      <c r="H9" s="16">
        <v>5.5175983182160708E-2</v>
      </c>
      <c r="I9" s="17">
        <v>637078.06920000003</v>
      </c>
    </row>
    <row r="10" spans="1:9">
      <c r="A10" s="13" t="s">
        <v>40</v>
      </c>
      <c r="B10" s="14" t="s">
        <v>41</v>
      </c>
      <c r="C10" s="15">
        <v>4816021.3833800005</v>
      </c>
      <c r="D10" s="16">
        <v>7.4226173881544399E-2</v>
      </c>
      <c r="E10" s="15">
        <v>5173496.2240000004</v>
      </c>
      <c r="F10" s="16">
        <v>1.7810764168057321E-2</v>
      </c>
      <c r="G10" s="15">
        <v>5265640.1451699995</v>
      </c>
      <c r="H10" s="16">
        <v>1.0279586344245559E-2</v>
      </c>
      <c r="I10" s="17">
        <v>5319768.7477000002</v>
      </c>
    </row>
    <row r="11" spans="1:9">
      <c r="A11" s="13" t="s">
        <v>42</v>
      </c>
      <c r="B11" s="14" t="s">
        <v>43</v>
      </c>
      <c r="C11" s="15">
        <v>421091.64333999995</v>
      </c>
      <c r="D11" s="43">
        <v>0.6110486843649936</v>
      </c>
      <c r="E11" s="15">
        <v>678399.13800000004</v>
      </c>
      <c r="F11" s="16">
        <v>-0.35075917457902195</v>
      </c>
      <c r="G11" s="15">
        <v>440444.41632000002</v>
      </c>
      <c r="H11" s="16">
        <v>-2.0474693254933049E-2</v>
      </c>
      <c r="I11" s="17">
        <v>431426.45199999999</v>
      </c>
    </row>
    <row r="12" spans="1:9">
      <c r="A12" s="13" t="s">
        <v>44</v>
      </c>
      <c r="B12" s="14" t="s">
        <v>45</v>
      </c>
      <c r="C12" s="15">
        <v>673577.78710000007</v>
      </c>
      <c r="D12" s="43">
        <v>0.1144675349701714</v>
      </c>
      <c r="E12" s="15">
        <v>750680.576</v>
      </c>
      <c r="F12" s="16">
        <v>-0.18964922703688014</v>
      </c>
      <c r="G12" s="15">
        <v>608314.58501000004</v>
      </c>
      <c r="H12" s="16">
        <v>0.44437943187825446</v>
      </c>
      <c r="I12" s="17">
        <v>878637.0747</v>
      </c>
    </row>
    <row r="13" spans="1:9">
      <c r="A13" s="13" t="s">
        <v>46</v>
      </c>
      <c r="B13" s="14" t="s">
        <v>47</v>
      </c>
      <c r="C13" s="15">
        <v>926430.79788999993</v>
      </c>
      <c r="D13" s="43">
        <v>2.5238229518332819E-2</v>
      </c>
      <c r="E13" s="15">
        <v>949812.27099999995</v>
      </c>
      <c r="F13" s="43">
        <v>0.33348247208526555</v>
      </c>
      <c r="G13" s="15">
        <v>1266558.0151500001</v>
      </c>
      <c r="H13" s="43">
        <v>-4.0979752628112487E-2</v>
      </c>
      <c r="I13" s="17">
        <v>1214654.781</v>
      </c>
    </row>
    <row r="14" spans="1:9">
      <c r="A14" s="13" t="s">
        <v>49</v>
      </c>
      <c r="B14" s="14" t="s">
        <v>50</v>
      </c>
      <c r="C14" s="15">
        <v>43766.327600000004</v>
      </c>
      <c r="D14" s="43">
        <v>-0.10275771001631866</v>
      </c>
      <c r="E14" s="15">
        <v>39269</v>
      </c>
      <c r="F14" s="16">
        <v>0.35363733988642443</v>
      </c>
      <c r="G14" s="15">
        <v>53155.984700000001</v>
      </c>
      <c r="H14" s="16">
        <v>-0.15042491913427014</v>
      </c>
      <c r="I14" s="17">
        <v>45160</v>
      </c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11173.61355</v>
      </c>
      <c r="D16" s="43">
        <v>-0.40082051611674008</v>
      </c>
      <c r="E16" s="15">
        <v>6695</v>
      </c>
      <c r="F16" s="43">
        <v>-0.16028292008961911</v>
      </c>
      <c r="G16" s="15">
        <v>5621.9058500000001</v>
      </c>
      <c r="H16" s="43">
        <v>0.87409755359030061</v>
      </c>
      <c r="I16" s="17">
        <v>10536</v>
      </c>
    </row>
    <row r="17" spans="1:9">
      <c r="A17" s="13" t="s">
        <v>55</v>
      </c>
      <c r="B17" s="14" t="s">
        <v>56</v>
      </c>
      <c r="C17" s="15">
        <v>45443.897349999992</v>
      </c>
      <c r="D17" s="16">
        <v>-0.95950349535766644</v>
      </c>
      <c r="E17" s="15">
        <v>1840.319</v>
      </c>
      <c r="F17" s="16">
        <v>9.1272967295343914</v>
      </c>
      <c r="G17" s="15">
        <v>18637.456590000002</v>
      </c>
      <c r="H17" s="16">
        <v>-0.80669942904478675</v>
      </c>
      <c r="I17" s="17">
        <v>3602.6310000000003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1.5</v>
      </c>
      <c r="H18" s="43">
        <v>-1</v>
      </c>
      <c r="I18" s="17">
        <v>0</v>
      </c>
    </row>
    <row r="19" spans="1:9">
      <c r="A19" s="18" t="s">
        <v>58</v>
      </c>
      <c r="B19" s="19" t="s">
        <v>59</v>
      </c>
      <c r="C19" s="20">
        <v>44618.491450000001</v>
      </c>
      <c r="D19" s="43">
        <v>2.2430933968745821</v>
      </c>
      <c r="E19" s="20">
        <v>144701.935</v>
      </c>
      <c r="F19" s="43">
        <v>-0.16852166779939745</v>
      </c>
      <c r="G19" s="20">
        <v>120316.52357999999</v>
      </c>
      <c r="H19" s="43">
        <v>0.15105571437089893</v>
      </c>
      <c r="I19" s="21">
        <v>138491.022</v>
      </c>
    </row>
    <row r="20" spans="1:9">
      <c r="A20" s="22" t="s">
        <v>60</v>
      </c>
      <c r="B20" s="23" t="s">
        <v>61</v>
      </c>
      <c r="C20" s="24">
        <v>9961908.4234100003</v>
      </c>
      <c r="D20" s="25">
        <v>6.2974803883537003E-2</v>
      </c>
      <c r="E20" s="24">
        <v>10589257.65268</v>
      </c>
      <c r="F20" s="25">
        <v>-3.1584562258276691E-3</v>
      </c>
      <c r="G20" s="24">
        <v>10555811.94592</v>
      </c>
      <c r="H20" s="25">
        <v>-1.232021408928812E-2</v>
      </c>
      <c r="I20" s="26">
        <v>10425762.08286</v>
      </c>
    </row>
    <row r="21" spans="1:9">
      <c r="A21" s="27" t="s">
        <v>62</v>
      </c>
      <c r="B21" s="28" t="s">
        <v>63</v>
      </c>
      <c r="C21" s="10">
        <v>4365153.2117900001</v>
      </c>
      <c r="D21" s="16">
        <v>8.0376740789385837E-2</v>
      </c>
      <c r="E21" s="10">
        <v>4716010</v>
      </c>
      <c r="F21" s="16">
        <v>-6.879572039287446E-2</v>
      </c>
      <c r="G21" s="10">
        <v>4391568.6946700001</v>
      </c>
      <c r="H21" s="16">
        <v>2.8177016900631291E-2</v>
      </c>
      <c r="I21" s="12">
        <v>4515310</v>
      </c>
    </row>
    <row r="22" spans="1:9">
      <c r="A22" s="8" t="s">
        <v>64</v>
      </c>
      <c r="B22" s="29" t="s">
        <v>65</v>
      </c>
      <c r="C22" s="15">
        <v>413888.68885000004</v>
      </c>
      <c r="D22" s="16">
        <v>-3.8154916830122859E-3</v>
      </c>
      <c r="E22" s="15">
        <v>412309.5</v>
      </c>
      <c r="F22" s="16">
        <v>2.6569691287734062E-2</v>
      </c>
      <c r="G22" s="15">
        <v>423264.43612999999</v>
      </c>
      <c r="H22" s="16">
        <v>-0.28599009460086383</v>
      </c>
      <c r="I22" s="17">
        <v>302215</v>
      </c>
    </row>
    <row r="23" spans="1:9">
      <c r="A23" s="8" t="s">
        <v>66</v>
      </c>
      <c r="B23" s="29" t="s">
        <v>67</v>
      </c>
      <c r="C23" s="15">
        <v>375486.69530999998</v>
      </c>
      <c r="D23" s="16">
        <v>-0.37640699411017431</v>
      </c>
      <c r="E23" s="15">
        <v>234150.87700000001</v>
      </c>
      <c r="F23" s="16">
        <v>-5.3295408370390235E-2</v>
      </c>
      <c r="G23" s="15">
        <v>221671.71038999999</v>
      </c>
      <c r="H23" s="16">
        <v>1.6053999870975694E-2</v>
      </c>
      <c r="I23" s="17">
        <v>225230.42800000001</v>
      </c>
    </row>
    <row r="24" spans="1:9">
      <c r="A24" s="8" t="s">
        <v>68</v>
      </c>
      <c r="B24" s="29" t="s">
        <v>69</v>
      </c>
      <c r="C24" s="15">
        <v>931691.95783000009</v>
      </c>
      <c r="D24" s="16">
        <v>-6.3857488067806015E-2</v>
      </c>
      <c r="E24" s="15">
        <v>872196.44975000003</v>
      </c>
      <c r="F24" s="16">
        <v>8.4600260481626624E-2</v>
      </c>
      <c r="G24" s="15">
        <v>945984.49659</v>
      </c>
      <c r="H24" s="16">
        <v>-0.13379787961245748</v>
      </c>
      <c r="I24" s="17">
        <v>819413.77679999999</v>
      </c>
    </row>
    <row r="25" spans="1:9">
      <c r="A25" s="8" t="s">
        <v>70</v>
      </c>
      <c r="B25" s="29" t="s">
        <v>71</v>
      </c>
      <c r="C25" s="15">
        <v>3739908.5351199997</v>
      </c>
      <c r="D25" s="16">
        <v>5.558150495606453E-2</v>
      </c>
      <c r="E25" s="15">
        <v>3947778.2799</v>
      </c>
      <c r="F25" s="16">
        <v>1.4195335600615127E-2</v>
      </c>
      <c r="G25" s="15">
        <v>4003818.3174599996</v>
      </c>
      <c r="H25" s="16">
        <v>3.5365950898049323E-2</v>
      </c>
      <c r="I25" s="17">
        <v>4145417.1594800004</v>
      </c>
    </row>
    <row r="26" spans="1:9">
      <c r="A26" s="59" t="s">
        <v>72</v>
      </c>
      <c r="B26" s="29" t="s">
        <v>73</v>
      </c>
      <c r="C26" s="15">
        <v>147805.41683</v>
      </c>
      <c r="D26" s="16">
        <v>0.79216834999131747</v>
      </c>
      <c r="E26" s="15">
        <v>264892.19</v>
      </c>
      <c r="F26" s="16">
        <v>-4.2815441746319495E-2</v>
      </c>
      <c r="G26" s="15">
        <v>253550.71387000001</v>
      </c>
      <c r="H26" s="16">
        <v>0.13033459995282637</v>
      </c>
      <c r="I26" s="17">
        <v>286597.14473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15335</v>
      </c>
      <c r="F27" s="16">
        <v>0</v>
      </c>
      <c r="G27" s="15">
        <v>6715.3744299999998</v>
      </c>
      <c r="H27" s="16">
        <v>-0.56626854386732983</v>
      </c>
      <c r="I27" s="17">
        <v>2912.6691299999998</v>
      </c>
    </row>
    <row r="28" spans="1:9">
      <c r="A28" s="30" t="s">
        <v>75</v>
      </c>
      <c r="B28" s="31" t="s">
        <v>76</v>
      </c>
      <c r="C28" s="20">
        <v>44615.911599999999</v>
      </c>
      <c r="D28" s="16">
        <v>2.2264186550880649</v>
      </c>
      <c r="E28" s="20">
        <v>143949.60949999999</v>
      </c>
      <c r="F28" s="16">
        <v>-0.16417610302721938</v>
      </c>
      <c r="G28" s="20">
        <v>120316.52357999999</v>
      </c>
      <c r="H28" s="16">
        <v>0.14565637784861268</v>
      </c>
      <c r="I28" s="21">
        <v>137841.39259999999</v>
      </c>
    </row>
    <row r="29" spans="1:9">
      <c r="A29" s="51" t="s">
        <v>77</v>
      </c>
      <c r="B29" s="52" t="s">
        <v>78</v>
      </c>
      <c r="C29" s="24">
        <v>10018550.417329999</v>
      </c>
      <c r="D29" s="53">
        <v>5.8698261157897724E-2</v>
      </c>
      <c r="E29" s="24">
        <v>10606621.90615</v>
      </c>
      <c r="F29" s="53">
        <v>-2.2602072662833154E-2</v>
      </c>
      <c r="G29" s="24">
        <v>10366890.26712</v>
      </c>
      <c r="H29" s="54">
        <v>6.5639070026448244E-3</v>
      </c>
      <c r="I29" s="26">
        <v>10434937.570739999</v>
      </c>
    </row>
    <row r="30" spans="1:9">
      <c r="A30" s="50" t="s">
        <v>79</v>
      </c>
      <c r="B30" s="32" t="s">
        <v>80</v>
      </c>
      <c r="C30" s="33">
        <v>56641.993919998407</v>
      </c>
      <c r="D30" s="136">
        <v>0</v>
      </c>
      <c r="E30" s="33">
        <v>17364.25346999988</v>
      </c>
      <c r="F30" s="136">
        <v>0</v>
      </c>
      <c r="G30" s="34">
        <v>-188921.67879999988</v>
      </c>
      <c r="H30" s="137">
        <v>0</v>
      </c>
      <c r="I30" s="35">
        <v>9175.487879998982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684305.97075999994</v>
      </c>
      <c r="D32" s="16">
        <v>-2.8513157262576513E-2</v>
      </c>
      <c r="E32" s="15">
        <v>664794.24699999997</v>
      </c>
      <c r="F32" s="16">
        <v>0.35254840735708121</v>
      </c>
      <c r="G32" s="15">
        <v>899166.4</v>
      </c>
      <c r="H32" s="16">
        <v>-0.3023794683609175</v>
      </c>
      <c r="I32" s="17">
        <v>627276.94199999992</v>
      </c>
    </row>
    <row r="33" spans="1:9">
      <c r="A33" s="59" t="s">
        <v>84</v>
      </c>
      <c r="B33" s="29" t="s">
        <v>85</v>
      </c>
      <c r="C33" s="15">
        <v>20044.190050000001</v>
      </c>
      <c r="D33" s="16">
        <v>-4.5858178739429836E-2</v>
      </c>
      <c r="E33" s="15">
        <v>19125</v>
      </c>
      <c r="F33" s="16">
        <v>-0.3342692810457516</v>
      </c>
      <c r="G33" s="15">
        <v>12732.1</v>
      </c>
      <c r="H33" s="16">
        <v>0.25156101507214046</v>
      </c>
      <c r="I33" s="17">
        <v>15935</v>
      </c>
    </row>
    <row r="34" spans="1:9">
      <c r="A34" s="8" t="s">
        <v>86</v>
      </c>
      <c r="B34" s="29" t="s">
        <v>87</v>
      </c>
      <c r="C34" s="15">
        <v>363679.74177000002</v>
      </c>
      <c r="D34" s="16">
        <v>-6.9672487520695325E-2</v>
      </c>
      <c r="E34" s="15">
        <v>338341.26949999999</v>
      </c>
      <c r="F34" s="16">
        <v>9.7533861443408712E-2</v>
      </c>
      <c r="G34" s="15">
        <v>371341</v>
      </c>
      <c r="H34" s="16">
        <v>-3.9427462628689035E-2</v>
      </c>
      <c r="I34" s="17">
        <v>356699.96659999999</v>
      </c>
    </row>
    <row r="35" spans="1:9">
      <c r="A35" s="51" t="s">
        <v>88</v>
      </c>
      <c r="B35" s="52" t="s">
        <v>89</v>
      </c>
      <c r="C35" s="24">
        <v>1068029.90258</v>
      </c>
      <c r="D35" s="54">
        <v>-4.2854030556107731E-2</v>
      </c>
      <c r="E35" s="24">
        <v>1022260.5164999999</v>
      </c>
      <c r="F35" s="54">
        <v>0.25529596349229644</v>
      </c>
      <c r="G35" s="24">
        <v>1283239.5</v>
      </c>
      <c r="H35" s="54">
        <v>-0.22079089008715835</v>
      </c>
      <c r="I35" s="26">
        <v>999911.90859999997</v>
      </c>
    </row>
    <row r="36" spans="1:9">
      <c r="A36" s="8" t="s">
        <v>90</v>
      </c>
      <c r="B36" s="29" t="s">
        <v>91</v>
      </c>
      <c r="C36" s="15">
        <v>3426.5937000000004</v>
      </c>
      <c r="D36" s="16">
        <v>-0.97081649919568813</v>
      </c>
      <c r="E36" s="15">
        <v>100</v>
      </c>
      <c r="F36" s="16">
        <v>22.052564499999999</v>
      </c>
      <c r="G36" s="15">
        <v>2305.2564499999999</v>
      </c>
      <c r="H36" s="16">
        <v>-0.58529559693890021</v>
      </c>
      <c r="I36" s="17">
        <v>956</v>
      </c>
    </row>
    <row r="37" spans="1:9">
      <c r="A37" s="8" t="s">
        <v>92</v>
      </c>
      <c r="B37" s="29" t="s">
        <v>93</v>
      </c>
      <c r="C37" s="15">
        <v>482600.97430000006</v>
      </c>
      <c r="D37" s="16">
        <v>-0.10987995699121005</v>
      </c>
      <c r="E37" s="15">
        <v>429572.8</v>
      </c>
      <c r="F37" s="16">
        <v>3.1797869883754278E-2</v>
      </c>
      <c r="G37" s="15">
        <v>443232.3</v>
      </c>
      <c r="H37" s="16">
        <v>-8.1168603912666157E-2</v>
      </c>
      <c r="I37" s="17">
        <v>407255.75299999997</v>
      </c>
    </row>
    <row r="38" spans="1:9">
      <c r="A38" s="51" t="s">
        <v>94</v>
      </c>
      <c r="B38" s="52" t="s">
        <v>95</v>
      </c>
      <c r="C38" s="24">
        <v>486027.56800000009</v>
      </c>
      <c r="D38" s="54">
        <v>-0.11594973559195328</v>
      </c>
      <c r="E38" s="24">
        <v>429672.8</v>
      </c>
      <c r="F38" s="54">
        <v>3.6922878176137722E-2</v>
      </c>
      <c r="G38" s="24">
        <v>445537.55644999997</v>
      </c>
      <c r="H38" s="54">
        <v>-8.3777008042617979E-2</v>
      </c>
      <c r="I38" s="26">
        <v>408211.75299999997</v>
      </c>
    </row>
    <row r="39" spans="1:9">
      <c r="A39" s="36" t="s">
        <v>96</v>
      </c>
      <c r="B39" s="37" t="s">
        <v>3</v>
      </c>
      <c r="C39" s="38">
        <v>582002.33457999991</v>
      </c>
      <c r="D39" s="39">
        <v>1.8187868486195784E-2</v>
      </c>
      <c r="E39" s="38">
        <v>592587.71649999986</v>
      </c>
      <c r="F39" s="39">
        <v>0.41363366169268234</v>
      </c>
      <c r="G39" s="38">
        <v>837701.94354999997</v>
      </c>
      <c r="H39" s="39">
        <v>-0.29366266826061971</v>
      </c>
      <c r="I39" s="40">
        <v>591700.15559999994</v>
      </c>
    </row>
    <row r="40" spans="1:9">
      <c r="A40" s="131" t="s">
        <v>0</v>
      </c>
      <c r="B40" s="29" t="s">
        <v>97</v>
      </c>
      <c r="C40" s="15">
        <v>594661.31033999834</v>
      </c>
      <c r="D40" s="16">
        <v>7.5307763211292469E-2</v>
      </c>
      <c r="E40" s="15">
        <v>639443.92348999984</v>
      </c>
      <c r="F40" s="16">
        <v>-0.36174356030707877</v>
      </c>
      <c r="G40" s="15">
        <v>408129.20199000003</v>
      </c>
      <c r="H40" s="16">
        <v>0.57631672718621607</v>
      </c>
      <c r="I40" s="17">
        <v>643340.88794999896</v>
      </c>
    </row>
    <row r="41" spans="1:9">
      <c r="A41" s="131" t="s">
        <v>0</v>
      </c>
      <c r="B41" s="29" t="s">
        <v>98</v>
      </c>
      <c r="C41" s="15">
        <v>12658.97575999843</v>
      </c>
      <c r="D41" s="16">
        <v>2.7014216535639997</v>
      </c>
      <c r="E41" s="15">
        <v>46856.206989999977</v>
      </c>
      <c r="F41" s="16">
        <v>-10.167894056206451</v>
      </c>
      <c r="G41" s="15">
        <v>-429572.74155999994</v>
      </c>
      <c r="H41" s="16">
        <v>-1.1202141741174381</v>
      </c>
      <c r="I41" s="17">
        <v>51640.732349999016</v>
      </c>
    </row>
    <row r="42" spans="1:9">
      <c r="A42" s="141" t="s">
        <v>0</v>
      </c>
      <c r="B42" s="31" t="s">
        <v>99</v>
      </c>
      <c r="C42" s="20">
        <v>10294768.49285</v>
      </c>
      <c r="D42" s="129">
        <v>4.4050757685805457E-2</v>
      </c>
      <c r="E42" s="20">
        <v>10748260.84516</v>
      </c>
      <c r="F42" s="129">
        <v>2.2620245642761903E-2</v>
      </c>
      <c r="G42" s="20">
        <v>10991389.145709999</v>
      </c>
      <c r="H42" s="129">
        <v>-4.0403494095496387E-2</v>
      </c>
      <c r="I42" s="21">
        <v>10547298.619260002</v>
      </c>
    </row>
    <row r="43" spans="1:9">
      <c r="A43" s="141">
        <v>0</v>
      </c>
      <c r="B43" s="31" t="s">
        <v>5</v>
      </c>
      <c r="C43" s="66">
        <v>1.0217507302082107</v>
      </c>
      <c r="D43" s="142">
        <v>0</v>
      </c>
      <c r="E43" s="41">
        <v>1.0790704999198206</v>
      </c>
      <c r="F43" s="142">
        <v>0</v>
      </c>
      <c r="G43" s="41">
        <v>0.48720097301008591</v>
      </c>
      <c r="H43" s="142">
        <v>0</v>
      </c>
      <c r="I43" s="42">
        <v>1.0872751711508912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6" customWidth="1"/>
    <col min="3" max="3" width="12.33203125" bestFit="1" customWidth="1"/>
    <col min="4" max="4" width="11.5" bestFit="1" customWidth="1"/>
    <col min="5" max="5" width="12.33203125" bestFit="1" customWidth="1"/>
    <col min="6" max="6" width="11.5" bestFit="1" customWidth="1"/>
    <col min="7" max="7" width="12.33203125" bestFit="1" customWidth="1"/>
    <col min="8" max="8" width="11.5" bestFit="1" customWidth="1"/>
    <col min="9" max="9" width="12.33203125" bestFit="1" customWidth="1"/>
  </cols>
  <sheetData>
    <row r="1" spans="1:9">
      <c r="A1" s="5" t="s">
        <v>20</v>
      </c>
      <c r="B1" s="6" t="s">
        <v>104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610426.22002999997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208071.25977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31500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33390.023829999998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16217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39</v>
      </c>
      <c r="C9" s="15">
        <v>155312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1987792.84345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283608.70744999999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3226.2876500000002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324526.50949999999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16386.16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56</v>
      </c>
      <c r="C17" s="15">
        <v>26135.50764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372249.66067000001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3409594.5153899998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957756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103892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128722.39535000001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227558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1644272.4736800001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24656.688620000001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372251.91067000001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3459109.46832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80</v>
      </c>
      <c r="C30" s="33">
        <v>49514.952930000145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262599.98598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3934.25585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43717.107539999997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310251.34937000001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1807.12625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93</v>
      </c>
      <c r="C37" s="15">
        <v>128082.28447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129889.41072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180361.93865000003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204826.95293000014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24465.014280000119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3149931.6964499997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1.1356439970823085</v>
      </c>
      <c r="D43" s="142">
        <v>0</v>
      </c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8" width="11.33203125" style="252" customWidth="1"/>
    <col min="9" max="16384" width="11.5" style="252"/>
  </cols>
  <sheetData>
    <row r="1" spans="1:55" s="243" customFormat="1" ht="18" customHeight="1">
      <c r="A1" s="476" t="s">
        <v>220</v>
      </c>
      <c r="B1" s="535" t="s">
        <v>456</v>
      </c>
      <c r="C1" s="535" t="s">
        <v>104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620155.19100999995</v>
      </c>
      <c r="F4" s="258">
        <v>627218.83745999995</v>
      </c>
      <c r="G4" s="259">
        <v>632104.23800000001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223471.6151</v>
      </c>
      <c r="F5" s="266">
        <v>219817.70624</v>
      </c>
      <c r="G5" s="267">
        <v>227524.79500000001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36272.942000000003</v>
      </c>
      <c r="F6" s="272">
        <v>42188.451999999997</v>
      </c>
      <c r="G6" s="273">
        <v>37316.762000000002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-53.896999999999998</v>
      </c>
      <c r="F7" s="272">
        <v>150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111988.739</v>
      </c>
      <c r="F8" s="266">
        <v>116744.584</v>
      </c>
      <c r="G8" s="276">
        <v>120252.755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9453.9320000000007</v>
      </c>
      <c r="F9" s="266">
        <v>11041.653</v>
      </c>
      <c r="G9" s="276">
        <v>12580.212</v>
      </c>
    </row>
    <row r="10" spans="1:55" s="260" customFormat="1" ht="12.75" customHeight="1">
      <c r="A10" s="274">
        <v>339</v>
      </c>
      <c r="B10" s="262"/>
      <c r="C10" s="263" t="s">
        <v>230</v>
      </c>
      <c r="D10" s="275"/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/>
      <c r="E11" s="275">
        <v>0</v>
      </c>
      <c r="F11" s="275">
        <v>7786.2309999999998</v>
      </c>
      <c r="G11" s="277">
        <v>0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>
        <v>0</v>
      </c>
      <c r="F12" s="283">
        <v>0</v>
      </c>
      <c r="G12" s="482">
        <v>0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>
        <v>1631953.334</v>
      </c>
      <c r="F13" s="286">
        <v>1656856.02</v>
      </c>
      <c r="G13" s="276">
        <v>1684018.7180000001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5"/>
      <c r="E14" s="323">
        <v>337935.79100000003</v>
      </c>
      <c r="F14" s="286">
        <v>299549.00599999999</v>
      </c>
      <c r="G14" s="276">
        <v>345707.42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5"/>
      <c r="E15" s="323">
        <v>4890.424</v>
      </c>
      <c r="F15" s="286">
        <v>63109.809000000001</v>
      </c>
      <c r="G15" s="276">
        <v>5319.2939999999999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>
        <v>21058.52</v>
      </c>
      <c r="F16" s="295">
        <v>20959.667000000001</v>
      </c>
      <c r="G16" s="296">
        <v>22327.62</v>
      </c>
    </row>
    <row r="17" spans="1:7" s="299" customFormat="1">
      <c r="A17" s="261">
        <v>37</v>
      </c>
      <c r="B17" s="262"/>
      <c r="C17" s="263" t="s">
        <v>240</v>
      </c>
      <c r="D17" s="316"/>
      <c r="E17" s="264">
        <v>436322.55</v>
      </c>
      <c r="F17" s="286">
        <v>448243.06300000002</v>
      </c>
      <c r="G17" s="298">
        <v>445049.326</v>
      </c>
    </row>
    <row r="18" spans="1:7" s="299" customFormat="1">
      <c r="A18" s="322" t="s">
        <v>241</v>
      </c>
      <c r="B18" s="269"/>
      <c r="C18" s="270" t="s">
        <v>242</v>
      </c>
      <c r="D18" s="316"/>
      <c r="E18" s="323">
        <v>700</v>
      </c>
      <c r="F18" s="286">
        <v>963.779</v>
      </c>
      <c r="G18" s="298">
        <v>800</v>
      </c>
    </row>
    <row r="19" spans="1:7" s="299" customFormat="1">
      <c r="A19" s="322" t="s">
        <v>243</v>
      </c>
      <c r="B19" s="269"/>
      <c r="C19" s="270" t="s">
        <v>244</v>
      </c>
      <c r="D19" s="316"/>
      <c r="E19" s="323">
        <v>3313</v>
      </c>
      <c r="F19" s="286">
        <v>1346.3620000000001</v>
      </c>
      <c r="G19" s="298">
        <v>3126.9459999999999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403009.06400000001</v>
      </c>
      <c r="F20" s="307">
        <v>414769.86900000001</v>
      </c>
      <c r="G20" s="308">
        <v>417642.55800000002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3033345.3611099999</v>
      </c>
      <c r="F21" s="311">
        <f>F4+F5+SUM(F8:F13)+F17</f>
        <v>3087708.0946999998</v>
      </c>
      <c r="G21" s="311">
        <f>G4+G5+SUM(G8:G13)+G17</f>
        <v>3121530.0440000002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868700</v>
      </c>
      <c r="F22" s="266">
        <v>844737.78</v>
      </c>
      <c r="G22" s="276">
        <v>923032.53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191809</v>
      </c>
      <c r="F23" s="266">
        <v>203982.07500000001</v>
      </c>
      <c r="G23" s="276">
        <v>200182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51519</v>
      </c>
      <c r="F24" s="266">
        <v>57851.743000000002</v>
      </c>
      <c r="G24" s="276">
        <v>52893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203043.78700000001</v>
      </c>
      <c r="F25" s="266">
        <v>205721.67300000001</v>
      </c>
      <c r="G25" s="276">
        <v>201890.935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250</v>
      </c>
      <c r="F26" s="317">
        <v>280.73</v>
      </c>
      <c r="G26" s="298">
        <v>250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0</v>
      </c>
      <c r="F27" s="317">
        <v>256.596</v>
      </c>
      <c r="G27" s="298">
        <v>0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0</v>
      </c>
      <c r="F28" s="317">
        <v>0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0</v>
      </c>
      <c r="F29" s="317">
        <v>0</v>
      </c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/>
      <c r="E30" s="264">
        <v>2492.5219999999999</v>
      </c>
      <c r="F30" s="264">
        <v>5320.0619999999999</v>
      </c>
      <c r="G30" s="319">
        <v>1456.1869999999999</v>
      </c>
    </row>
    <row r="31" spans="1:7" s="285" customFormat="1" ht="28">
      <c r="A31" s="278">
        <v>451</v>
      </c>
      <c r="B31" s="279"/>
      <c r="C31" s="280" t="s">
        <v>258</v>
      </c>
      <c r="D31" s="275"/>
      <c r="E31" s="281">
        <v>0</v>
      </c>
      <c r="F31" s="320">
        <v>0</v>
      </c>
      <c r="G31" s="276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1189788.112</v>
      </c>
      <c r="F32" s="266">
        <v>1175686.892</v>
      </c>
      <c r="G32" s="276">
        <v>1203384.845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1">
        <v>14598.742</v>
      </c>
      <c r="F33" s="266">
        <v>13702.967000000001</v>
      </c>
      <c r="G33" s="273">
        <v>15184.431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436322.55</v>
      </c>
      <c r="F34" s="266">
        <v>448243.06300000002</v>
      </c>
      <c r="G34" s="276">
        <v>445049.326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403009.06400000001</v>
      </c>
      <c r="F35" s="307">
        <v>414769.86900000001</v>
      </c>
      <c r="G35" s="486">
        <v>417642.55800000002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2943924.9709999999</v>
      </c>
      <c r="F36" s="311">
        <f>F22+F23+F24+F25+F26+F27+F28+F29+F30+F31+F32+F34</f>
        <v>2942080.6140000001</v>
      </c>
      <c r="G36" s="311">
        <f>G22+G23+G24+G25+G26+G27+G28+G29+G30+G31+G32+G34</f>
        <v>3028138.8229999999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-89420.390110000037</v>
      </c>
      <c r="F37" s="311">
        <f>F36-F21</f>
        <v>-145627.48069999972</v>
      </c>
      <c r="G37" s="311">
        <f>G36-G21</f>
        <v>-93391.221000000369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>
        <v>32173</v>
      </c>
      <c r="F38" s="286">
        <v>31982.508000000002</v>
      </c>
      <c r="G38" s="276">
        <v>28418.69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>
        <v>0</v>
      </c>
      <c r="F39" s="266">
        <v>1.5609999999999999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>
        <v>415</v>
      </c>
      <c r="F40" s="266">
        <v>333.85300000000001</v>
      </c>
      <c r="G40" s="276">
        <v>425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>
        <v>3915.2</v>
      </c>
      <c r="F41" s="266">
        <v>929.87300000000005</v>
      </c>
      <c r="G41" s="276">
        <v>3055.8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>
        <v>0</v>
      </c>
      <c r="F42" s="266">
        <v>1614.316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>
        <v>5650.1189999999997</v>
      </c>
      <c r="F43" s="266">
        <v>5343.3559999999998</v>
      </c>
      <c r="G43" s="276">
        <v>4566.1499999999996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>
        <v>5139.2</v>
      </c>
      <c r="F44" s="286">
        <v>5246.2969999999996</v>
      </c>
      <c r="G44" s="276">
        <v>4084.17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>
        <v>0</v>
      </c>
      <c r="F45" s="286">
        <v>1849.895</v>
      </c>
      <c r="G45" s="276">
        <v>100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>
        <v>15187</v>
      </c>
      <c r="F46" s="286">
        <v>12593.35</v>
      </c>
      <c r="G46" s="276">
        <v>12549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>
        <v>7310</v>
      </c>
      <c r="F47" s="286">
        <v>9882.366</v>
      </c>
      <c r="G47" s="276">
        <v>6949.8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>
        <v>0</v>
      </c>
      <c r="F48" s="286">
        <v>2389.8409999999999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>
        <v>74808.165999999997</v>
      </c>
      <c r="F49" s="286">
        <v>74721.243000000002</v>
      </c>
      <c r="G49" s="276">
        <v>68694.837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>
        <v>0</v>
      </c>
      <c r="F50" s="286">
        <v>526.52</v>
      </c>
      <c r="G50" s="276">
        <v>2526.5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>
        <v>22425.620999999999</v>
      </c>
      <c r="F51" s="286">
        <v>21232.512999999999</v>
      </c>
      <c r="G51" s="276">
        <v>23829.06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97"/>
      <c r="E54" s="306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82716.668000000005</v>
      </c>
      <c r="F55" s="311">
        <f>SUM(F44:F53)-SUM(F38:F43)</f>
        <v>88236.55799999999</v>
      </c>
      <c r="G55" s="311">
        <f>SUM(G44:G53)-SUM(G38:G43)</f>
        <v>82267.726999999999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-6703.7221100000315</v>
      </c>
      <c r="F56" s="311">
        <f>F55+F37</f>
        <v>-57390.922699999734</v>
      </c>
      <c r="G56" s="311">
        <f>G55+G37</f>
        <v>-11123.49400000037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>
        <v>0</v>
      </c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264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491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491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491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491">
        <v>0</v>
      </c>
      <c r="F63" s="508">
        <v>0</v>
      </c>
      <c r="G63" s="482">
        <v>0</v>
      </c>
    </row>
    <row r="64" spans="1:7" s="285" customFormat="1">
      <c r="A64" s="322">
        <v>389</v>
      </c>
      <c r="B64" s="533"/>
      <c r="C64" s="270" t="s">
        <v>57</v>
      </c>
      <c r="D64" s="271"/>
      <c r="E64" s="275">
        <v>0</v>
      </c>
      <c r="F64" s="272">
        <v>0</v>
      </c>
      <c r="G64" s="273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66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0</v>
      </c>
      <c r="F74" s="286">
        <v>0</v>
      </c>
      <c r="G74" s="276">
        <v>0</v>
      </c>
    </row>
    <row r="75" spans="1:7" s="285" customFormat="1">
      <c r="A75" s="357" t="s">
        <v>302</v>
      </c>
      <c r="B75" s="356"/>
      <c r="C75" s="303" t="s">
        <v>303</v>
      </c>
      <c r="D75" s="275"/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-6703.7221100000315</v>
      </c>
      <c r="F77" s="311">
        <f>F56+F76</f>
        <v>-57390.922699999734</v>
      </c>
      <c r="G77" s="311">
        <f>G56+G76</f>
        <v>-11123.49400000037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3478507.7441100003</v>
      </c>
      <c r="F78" s="361">
        <f>F20+F21+SUM(F38:F43)+SUM(F57:F64)</f>
        <v>3542683.4306999999</v>
      </c>
      <c r="G78" s="361">
        <f>G20+G21+SUM(G38:G43)+SUM(G57:G64)</f>
        <v>3575638.2420000006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3471804.0220000003</v>
      </c>
      <c r="F79" s="361">
        <f>F35+F36+SUM(F44:F53)+SUM(F65:F74)</f>
        <v>3485292.5079999999</v>
      </c>
      <c r="G79" s="361">
        <f>G35+G36+SUM(G44:G53)+SUM(G65:G74)</f>
        <v>3564514.7480000001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5"/>
      <c r="G81" s="366"/>
    </row>
    <row r="82" spans="1:7" s="260" customFormat="1">
      <c r="A82" s="367">
        <v>50</v>
      </c>
      <c r="B82" s="368"/>
      <c r="C82" s="368" t="s">
        <v>309</v>
      </c>
      <c r="D82" s="316"/>
      <c r="E82" s="275">
        <v>144357</v>
      </c>
      <c r="F82" s="266">
        <v>130063.7399</v>
      </c>
      <c r="G82" s="276">
        <v>142374.06099999999</v>
      </c>
    </row>
    <row r="83" spans="1:7" s="260" customFormat="1">
      <c r="A83" s="367">
        <v>51</v>
      </c>
      <c r="B83" s="368"/>
      <c r="C83" s="368" t="s">
        <v>310</v>
      </c>
      <c r="D83" s="316"/>
      <c r="E83" s="275">
        <v>33500</v>
      </c>
      <c r="F83" s="266">
        <v>22291.502939999998</v>
      </c>
      <c r="G83" s="276">
        <v>8900</v>
      </c>
    </row>
    <row r="84" spans="1:7" s="260" customFormat="1">
      <c r="A84" s="367">
        <v>52</v>
      </c>
      <c r="B84" s="368"/>
      <c r="C84" s="368" t="s">
        <v>311</v>
      </c>
      <c r="D84" s="316"/>
      <c r="E84" s="275">
        <v>12225.2</v>
      </c>
      <c r="F84" s="266">
        <v>10235.801149999999</v>
      </c>
      <c r="G84" s="276">
        <v>8474.77</v>
      </c>
    </row>
    <row r="85" spans="1:7" s="260" customFormat="1">
      <c r="A85" s="369">
        <v>54</v>
      </c>
      <c r="B85" s="370"/>
      <c r="C85" s="370" t="s">
        <v>312</v>
      </c>
      <c r="D85" s="316"/>
      <c r="E85" s="275">
        <v>878.15904999999998</v>
      </c>
      <c r="F85" s="266">
        <v>8531.3930500000006</v>
      </c>
      <c r="G85" s="276">
        <v>2000</v>
      </c>
    </row>
    <row r="86" spans="1:7" s="260" customFormat="1">
      <c r="A86" s="369">
        <v>55</v>
      </c>
      <c r="B86" s="370"/>
      <c r="C86" s="370" t="s">
        <v>313</v>
      </c>
      <c r="D86" s="316"/>
      <c r="E86" s="275">
        <v>0</v>
      </c>
      <c r="F86" s="266">
        <v>0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316"/>
      <c r="E87" s="275">
        <v>26545.42</v>
      </c>
      <c r="F87" s="266">
        <v>22703.81799</v>
      </c>
      <c r="G87" s="276">
        <v>19306.3</v>
      </c>
    </row>
    <row r="88" spans="1:7" s="260" customFormat="1">
      <c r="A88" s="367">
        <v>57</v>
      </c>
      <c r="B88" s="368"/>
      <c r="C88" s="368" t="s">
        <v>315</v>
      </c>
      <c r="D88" s="316"/>
      <c r="E88" s="275">
        <v>12675</v>
      </c>
      <c r="F88" s="266">
        <v>14451.5815</v>
      </c>
      <c r="G88" s="276">
        <v>9375</v>
      </c>
    </row>
    <row r="89" spans="1:7" s="260" customFormat="1">
      <c r="A89" s="367">
        <v>580</v>
      </c>
      <c r="B89" s="368"/>
      <c r="C89" s="368" t="s">
        <v>316</v>
      </c>
      <c r="D89" s="275"/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230180.77905000001</v>
      </c>
      <c r="F95" s="376">
        <f>SUM(F82:F94)</f>
        <v>208277.83653</v>
      </c>
      <c r="G95" s="376">
        <f>SUM(G82:G94)</f>
        <v>190430.13099999996</v>
      </c>
    </row>
    <row r="96" spans="1:7" s="260" customFormat="1">
      <c r="A96" s="367">
        <v>60</v>
      </c>
      <c r="B96" s="368"/>
      <c r="C96" s="368" t="s">
        <v>323</v>
      </c>
      <c r="D96" s="316"/>
      <c r="E96" s="275">
        <v>0</v>
      </c>
      <c r="F96" s="266">
        <v>106.28449000000001</v>
      </c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316"/>
      <c r="E97" s="275">
        <v>33500</v>
      </c>
      <c r="F97" s="266">
        <v>22291.502939999998</v>
      </c>
      <c r="G97" s="276">
        <v>8900</v>
      </c>
    </row>
    <row r="98" spans="1:7" s="260" customFormat="1">
      <c r="A98" s="367">
        <v>62</v>
      </c>
      <c r="B98" s="368"/>
      <c r="C98" s="368" t="s">
        <v>325</v>
      </c>
      <c r="D98" s="316"/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>
        <v>35584.315000000002</v>
      </c>
      <c r="F99" s="266">
        <v>29133.231909999999</v>
      </c>
      <c r="G99" s="276">
        <v>30219</v>
      </c>
    </row>
    <row r="100" spans="1:7" s="260" customFormat="1">
      <c r="A100" s="367">
        <v>64</v>
      </c>
      <c r="B100" s="368"/>
      <c r="C100" s="368" t="s">
        <v>327</v>
      </c>
      <c r="D100" s="316"/>
      <c r="E100" s="275">
        <v>2545.3000000000002</v>
      </c>
      <c r="F100" s="266">
        <v>2328.4564999999998</v>
      </c>
      <c r="G100" s="276">
        <v>2445.3000000000002</v>
      </c>
    </row>
    <row r="101" spans="1:7" s="260" customFormat="1">
      <c r="A101" s="367">
        <v>65</v>
      </c>
      <c r="B101" s="368"/>
      <c r="C101" s="368" t="s">
        <v>328</v>
      </c>
      <c r="D101" s="316"/>
      <c r="E101" s="275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316"/>
      <c r="E102" s="275">
        <v>10</v>
      </c>
      <c r="F102" s="266">
        <v>58.103999999999999</v>
      </c>
      <c r="G102" s="276">
        <v>10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64">
        <v>12675</v>
      </c>
      <c r="F103" s="286">
        <v>14451.5815</v>
      </c>
      <c r="G103" s="267">
        <v>9375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>
        <v>0</v>
      </c>
      <c r="F104" s="286">
        <v>0</v>
      </c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83"/>
      <c r="E105" s="383">
        <v>0</v>
      </c>
      <c r="F105" s="384">
        <v>0</v>
      </c>
      <c r="G105" s="385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84314.615000000005</v>
      </c>
      <c r="F106" s="376">
        <f>SUM(F96:F105)</f>
        <v>68369.161339999991</v>
      </c>
      <c r="G106" s="376">
        <f>SUM(G96:G105)</f>
        <v>50949.3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145866.16405000002</v>
      </c>
      <c r="F107" s="376">
        <f>(F95-F88)-(F106-F103)</f>
        <v>139908.67519000001</v>
      </c>
      <c r="G107" s="376">
        <f>(G95-G88)-(G106-G103)</f>
        <v>139480.83099999995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147533.30500000002</v>
      </c>
      <c r="F108" s="389">
        <f>F107-F85-F86+F100+F101</f>
        <v>133705.73864</v>
      </c>
      <c r="G108" s="389">
        <f>G107-G85-G86+G100+G101</f>
        <v>139926.13099999994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1465421.1687400001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828835.98870999995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>
        <v>551224.98372999998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6030.63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>
        <v>268544.12581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>
        <v>3036.24917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636585.18003000005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>
        <v>510385.12650000001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>
        <v>126200.05353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4708089.5264599994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>
        <v>3251245.6395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>
        <v>341364.73267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>
        <v>672979.19536000001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>
        <v>442499.95893000002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/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/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6173510.6952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2343222.3298399998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770279.92258999997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188294.83192999999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222833.16099999999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271"/>
      <c r="F137" s="271">
        <v>9546.49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>
        <v>323198.21117999998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>
        <v>35953.718480000003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1572942.4072499999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>
        <v>1476526.7178199999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>
        <v>487180.28145000001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>
        <v>59905.635699999999</v>
      </c>
      <c r="G143" s="413"/>
    </row>
    <row r="144" spans="1:7" s="433" customFormat="1" ht="40.25" customHeight="1">
      <c r="A144" s="414">
        <v>209</v>
      </c>
      <c r="B144" s="415"/>
      <c r="C144" s="415" t="s">
        <v>379</v>
      </c>
      <c r="D144" s="281"/>
      <c r="E144" s="281"/>
      <c r="F144" s="281">
        <v>36510.05373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31"/>
      <c r="F145" s="412">
        <v>3830288.3653600002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06"/>
      <c r="E146" s="332"/>
      <c r="F146" s="332">
        <v>745421.93065999995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6173510.6952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509"/>
      <c r="C150" s="509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118706.20488999994</v>
      </c>
      <c r="F150" s="442">
        <f>F77+SUM(F8:F12)-F30-F31+F16-F33+F59+F63-F73+F64-F74-F54+F20-F35</f>
        <v>80118.183300000266</v>
      </c>
      <c r="G150" s="442">
        <f>G77+SUM(G8:G12)-G30-G31+G16-G33+G59+G63-G73+G64-G74-G54+G20-G35</f>
        <v>127396.47499999969</v>
      </c>
    </row>
    <row r="151" spans="1:7">
      <c r="A151" s="510" t="s">
        <v>387</v>
      </c>
      <c r="B151" s="510"/>
      <c r="C151" s="510" t="s">
        <v>388</v>
      </c>
      <c r="D151" s="445">
        <f>IF(D177=0,0,D150/D177)</f>
        <v>0</v>
      </c>
      <c r="E151" s="445">
        <f>IF(E177=0,0,E150/E177)</f>
        <v>4.5093048090173914E-2</v>
      </c>
      <c r="F151" s="445">
        <f>IF(F177=0,0,F150/F177)</f>
        <v>3.0552876220090831E-2</v>
      </c>
      <c r="G151" s="445">
        <f>IF(G177=0,0,G150/G177)</f>
        <v>4.7152045642026845E-2</v>
      </c>
    </row>
    <row r="152" spans="1:7" s="449" customFormat="1" ht="28">
      <c r="A152" s="511" t="s">
        <v>389</v>
      </c>
      <c r="B152" s="511"/>
      <c r="C152" s="511" t="s">
        <v>390</v>
      </c>
      <c r="D152" s="448">
        <f>IF(D107=0,0,D150/D107)</f>
        <v>0</v>
      </c>
      <c r="E152" s="448">
        <f>IF(IF(E107=0,0,E$150/E107)&lt;0,"negativ",(IF(E107=0,0,E$150/E107)))</f>
        <v>0.81380219780997198</v>
      </c>
      <c r="F152" s="448">
        <f>IF(IF(F107=0,0,F$150/F107)&lt;0,"negativ",(IF(F107=0,0,F$150/F107)))</f>
        <v>0.57264628652367311</v>
      </c>
      <c r="G152" s="448">
        <f>IF(IF(G107=0,0,G$150/G107)&lt;0,"negativ",(IF(G107=0,0,G$150/G107)))</f>
        <v>0.91336188698215981</v>
      </c>
    </row>
    <row r="153" spans="1:7" s="449" customFormat="1" ht="28">
      <c r="A153" s="512" t="s">
        <v>389</v>
      </c>
      <c r="B153" s="512"/>
      <c r="C153" s="512" t="s">
        <v>391</v>
      </c>
      <c r="D153" s="452">
        <f>IF(0=D108,0,D150/D108)</f>
        <v>0</v>
      </c>
      <c r="E153" s="452">
        <f>IF(IF(E108=0,0,E$150/E108)&lt;0,"negativ",(IF(E108=0,0,E$150/E108)))</f>
        <v>0.80460615242097311</v>
      </c>
      <c r="F153" s="452">
        <f>IF(0=F108,0,F150/F108)</f>
        <v>0.59921274969144633</v>
      </c>
      <c r="G153" s="452">
        <f>IF(IF(G108=0,0,G$150/G108)&lt;0,"negativ",(IF(G108=0,0,G$150/G108)))</f>
        <v>0.91045521011368313</v>
      </c>
    </row>
    <row r="154" spans="1:7" ht="28">
      <c r="A154" s="513" t="s">
        <v>392</v>
      </c>
      <c r="B154" s="513"/>
      <c r="C154" s="513" t="s">
        <v>393</v>
      </c>
      <c r="D154" s="455">
        <f>D150-D107</f>
        <v>0</v>
      </c>
      <c r="E154" s="455">
        <f>E150-E107</f>
        <v>-27159.959160000086</v>
      </c>
      <c r="F154" s="455">
        <f>F150-F107</f>
        <v>-59790.491889999743</v>
      </c>
      <c r="G154" s="455">
        <f>G150-G107</f>
        <v>-12084.356000000262</v>
      </c>
    </row>
    <row r="155" spans="1:7" ht="28">
      <c r="A155" s="512" t="s">
        <v>394</v>
      </c>
      <c r="B155" s="512"/>
      <c r="C155" s="512" t="s">
        <v>395</v>
      </c>
      <c r="D155" s="456">
        <f>D150-D108</f>
        <v>0</v>
      </c>
      <c r="E155" s="456">
        <f>E150-E108</f>
        <v>-28827.100110000087</v>
      </c>
      <c r="F155" s="456">
        <f>F150-F108</f>
        <v>-53587.55533999973</v>
      </c>
      <c r="G155" s="456">
        <f>G150-G108</f>
        <v>-12529.65600000025</v>
      </c>
    </row>
    <row r="156" spans="1:7">
      <c r="A156" s="509" t="s">
        <v>396</v>
      </c>
      <c r="B156" s="509"/>
      <c r="C156" s="509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1390927.9392999997</v>
      </c>
      <c r="G156" s="457">
        <f>G135+G136-G137+G141-G142</f>
        <v>0</v>
      </c>
    </row>
    <row r="157" spans="1:7">
      <c r="A157" s="514" t="s">
        <v>398</v>
      </c>
      <c r="B157" s="514"/>
      <c r="C157" s="514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0.53042701931184155</v>
      </c>
      <c r="G157" s="460">
        <f>IF(G177=0,0,G156/G177)</f>
        <v>0</v>
      </c>
    </row>
    <row r="158" spans="1:7">
      <c r="A158" s="509" t="s">
        <v>400</v>
      </c>
      <c r="B158" s="509"/>
      <c r="C158" s="509" t="s">
        <v>401</v>
      </c>
      <c r="D158" s="457">
        <f>D133-D142-D111</f>
        <v>0</v>
      </c>
      <c r="E158" s="457">
        <f>E133-E142-E111</f>
        <v>0</v>
      </c>
      <c r="F158" s="457">
        <f>F133-F142-F111</f>
        <v>390620.87964999955</v>
      </c>
      <c r="G158" s="457">
        <f>G133-G142-G111</f>
        <v>0</v>
      </c>
    </row>
    <row r="159" spans="1:7">
      <c r="A159" s="510" t="s">
        <v>402</v>
      </c>
      <c r="B159" s="510"/>
      <c r="C159" s="510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-623723.04838000098</v>
      </c>
      <c r="G159" s="461">
        <f>G121-G123-G124-G142-G145</f>
        <v>0</v>
      </c>
    </row>
    <row r="160" spans="1:7">
      <c r="A160" s="510" t="s">
        <v>404</v>
      </c>
      <c r="B160" s="510"/>
      <c r="C160" s="510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1014.5996874025963</v>
      </c>
      <c r="G160" s="462">
        <f>IF(G175=0,"-",1000*G158/G175)</f>
        <v>0</v>
      </c>
    </row>
    <row r="161" spans="1:7">
      <c r="A161" s="510" t="s">
        <v>404</v>
      </c>
      <c r="B161" s="510"/>
      <c r="C161" s="510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-1620.0598659220805</v>
      </c>
      <c r="G161" s="461">
        <f>IF(G175=0,0,1000*(G159/G175))</f>
        <v>0</v>
      </c>
    </row>
    <row r="162" spans="1:7">
      <c r="A162" s="514" t="s">
        <v>407</v>
      </c>
      <c r="B162" s="514"/>
      <c r="C162" s="514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0.37247400036113509</v>
      </c>
      <c r="G162" s="460">
        <f>IF((G22+G23+G65+G66)=0,0,G158/(G22+G23+G65+G66))</f>
        <v>0</v>
      </c>
    </row>
    <row r="163" spans="1:7">
      <c r="A163" s="510" t="s">
        <v>409</v>
      </c>
      <c r="B163" s="510"/>
      <c r="C163" s="510" t="s">
        <v>380</v>
      </c>
      <c r="D163" s="442">
        <f>D145</f>
        <v>0</v>
      </c>
      <c r="E163" s="442">
        <f>E145</f>
        <v>0</v>
      </c>
      <c r="F163" s="442">
        <f>F145</f>
        <v>3830288.3653600002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0.27817671277928752</v>
      </c>
      <c r="G164" s="452">
        <f>IF(G178=0,0,G146/G178)</f>
        <v>0</v>
      </c>
    </row>
    <row r="165" spans="1:7">
      <c r="A165" s="515" t="s">
        <v>681</v>
      </c>
      <c r="B165" s="515"/>
      <c r="C165" s="515" t="s">
        <v>414</v>
      </c>
      <c r="D165" s="465">
        <f>IF(D177=0,0,D180/D177)</f>
        <v>0</v>
      </c>
      <c r="E165" s="465">
        <f>IF(E177=0,0,E180/E177)</f>
        <v>5.8855792193359228E-2</v>
      </c>
      <c r="F165" s="465">
        <f>IF(F177=0,0,F180/F177)</f>
        <v>6.1694088410960489E-2</v>
      </c>
      <c r="G165" s="465">
        <f>IF(G177=0,0,G180/G177)</f>
        <v>6.081474777245055E-2</v>
      </c>
    </row>
    <row r="166" spans="1:7">
      <c r="A166" s="510" t="s">
        <v>415</v>
      </c>
      <c r="B166" s="510"/>
      <c r="C166" s="510" t="s">
        <v>282</v>
      </c>
      <c r="D166" s="442">
        <f>D55</f>
        <v>0</v>
      </c>
      <c r="E166" s="442">
        <f>E55</f>
        <v>82716.668000000005</v>
      </c>
      <c r="F166" s="442">
        <f>F55</f>
        <v>88236.55799999999</v>
      </c>
      <c r="G166" s="442">
        <f>G55</f>
        <v>82267.726999999999</v>
      </c>
    </row>
    <row r="167" spans="1:7">
      <c r="A167" s="514" t="s">
        <v>416</v>
      </c>
      <c r="B167" s="514"/>
      <c r="C167" s="514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2.1810623240471807E-2</v>
      </c>
      <c r="G167" s="460">
        <f>IF(0=G111,0,(G44+G45+G46+G47+G48)/G111)</f>
        <v>0</v>
      </c>
    </row>
    <row r="168" spans="1:7">
      <c r="A168" s="510" t="s">
        <v>418</v>
      </c>
      <c r="B168" s="509"/>
      <c r="C168" s="509" t="s">
        <v>419</v>
      </c>
      <c r="D168" s="442">
        <f>D38-D44</f>
        <v>0</v>
      </c>
      <c r="E168" s="442">
        <f>E38-E44</f>
        <v>27033.8</v>
      </c>
      <c r="F168" s="442">
        <f>F38-F44</f>
        <v>26736.211000000003</v>
      </c>
      <c r="G168" s="442">
        <f>G38-G44</f>
        <v>24334.519999999997</v>
      </c>
    </row>
    <row r="169" spans="1:7">
      <c r="A169" s="514" t="s">
        <v>420</v>
      </c>
      <c r="B169" s="514"/>
      <c r="C169" s="514" t="s">
        <v>421</v>
      </c>
      <c r="D169" s="445">
        <f>IF(D177=0,0,D168/D177)</f>
        <v>0</v>
      </c>
      <c r="E169" s="445">
        <f>IF(E177=0,0,E168/E177)</f>
        <v>1.0269357398712001E-2</v>
      </c>
      <c r="F169" s="445">
        <f>IF(F177=0,0,F168/F177)</f>
        <v>1.0195789665106252E-2</v>
      </c>
      <c r="G169" s="445">
        <f>IF(G177=0,0,G168/G177)</f>
        <v>9.0067044454473152E-3</v>
      </c>
    </row>
    <row r="170" spans="1:7">
      <c r="A170" s="510" t="s">
        <v>422</v>
      </c>
      <c r="B170" s="510"/>
      <c r="C170" s="510" t="s">
        <v>423</v>
      </c>
      <c r="D170" s="442">
        <f>SUM(D82:D87)+SUM(D89:D94)</f>
        <v>0</v>
      </c>
      <c r="E170" s="442">
        <f>SUM(E82:E87)+SUM(E89:E94)</f>
        <v>217505.77905000001</v>
      </c>
      <c r="F170" s="442">
        <f>SUM(F82:F87)+SUM(F89:F94)</f>
        <v>193826.25503</v>
      </c>
      <c r="G170" s="442">
        <f>SUM(G82:G87)+SUM(G89:G94)</f>
        <v>181055.13099999996</v>
      </c>
    </row>
    <row r="171" spans="1:7">
      <c r="A171" s="510" t="s">
        <v>424</v>
      </c>
      <c r="B171" s="510"/>
      <c r="C171" s="510" t="s">
        <v>425</v>
      </c>
      <c r="D171" s="461">
        <f>SUM(D96:D102)+SUM(D104:D105)</f>
        <v>0</v>
      </c>
      <c r="E171" s="461">
        <f>SUM(E96:E102)+SUM(E104:E105)</f>
        <v>71639.615000000005</v>
      </c>
      <c r="F171" s="461">
        <f>SUM(F96:F102)+SUM(F104:F105)</f>
        <v>53917.579839999999</v>
      </c>
      <c r="G171" s="461">
        <f>SUM(G96:G102)+SUM(G104:G105)</f>
        <v>41574.300000000003</v>
      </c>
    </row>
    <row r="172" spans="1:7">
      <c r="A172" s="515" t="s">
        <v>413</v>
      </c>
      <c r="B172" s="515"/>
      <c r="C172" s="515" t="s">
        <v>426</v>
      </c>
      <c r="D172" s="465">
        <f>IF(D184=0,0,D170/D184)</f>
        <v>0</v>
      </c>
      <c r="E172" s="465">
        <f>IF(E184=0,0,E170/E184)</f>
        <v>8.0135216696136033E-2</v>
      </c>
      <c r="F172" s="465">
        <f>IF(F184=0,0,F170/F184)</f>
        <v>7.1385619261723432E-2</v>
      </c>
      <c r="G172" s="465">
        <f>IF(G184=0,0,G170/G184)</f>
        <v>6.6106479886358857E-2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1"/>
      <c r="E175" s="471">
        <v>385000</v>
      </c>
      <c r="F175" s="471">
        <v>385000</v>
      </c>
      <c r="G175" s="471">
        <v>389000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2632472.4080000003</v>
      </c>
      <c r="F177" s="472">
        <f>SUM(F22:F32)+SUM(F44:F53)+SUM(F65:F72)+F75</f>
        <v>2622279.5759999999</v>
      </c>
      <c r="G177" s="472">
        <f>SUM(G22:G32)+SUM(G44:G53)+SUM(G65:G72)+G75</f>
        <v>2701822.8640000001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2639176.1301100003</v>
      </c>
      <c r="F178" s="472">
        <f>F78-F17-F20-F59-F63-F64</f>
        <v>2679670.4986999999</v>
      </c>
      <c r="G178" s="472">
        <f>G78-G17-G20-G59-G63-G64</f>
        <v>2712946.3580000005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2856681.9091600003</v>
      </c>
      <c r="F179" s="472">
        <f>F178+F170</f>
        <v>2873496.75373</v>
      </c>
      <c r="G179" s="472">
        <f>G178+G170</f>
        <v>2894001.4890000005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154936.24899999998</v>
      </c>
      <c r="F180" s="472">
        <f>F38-F44+F8+F9+F10+F16-F33</f>
        <v>161779.14799999999</v>
      </c>
      <c r="G180" s="472">
        <f>G38-G44+G8+G9+G10+G16-G33</f>
        <v>164310.67599999998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2615381.1439999999</v>
      </c>
      <c r="F181" s="475">
        <f>F22+F23+F24+F25+F26+F29+SUM(F44:F47)+SUM(F49:F53)-F54+F32-F33+SUM(F65:F70)+F72</f>
        <v>2600610.11</v>
      </c>
      <c r="G181" s="475">
        <f>G22+G23+G24+G25+G26+G29+SUM(G44:G47)+SUM(G49:G53)-G54+G32-G33+SUM(G65:G70)+G72</f>
        <v>2685182.2460000003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2687020.7590000001</v>
      </c>
      <c r="F182" s="475">
        <f>F181+F171</f>
        <v>2654527.6898399997</v>
      </c>
      <c r="G182" s="475">
        <f>G181+G171</f>
        <v>2726756.5460000001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2496728.83611</v>
      </c>
      <c r="F183" s="475">
        <f>F4+F5-F7+F38+F39+F40+F41+F43+F13-F16+F57+F58+F60+F61+F62</f>
        <v>2521374.0477</v>
      </c>
      <c r="G183" s="475">
        <f>G4+G5-G7+G38+G39+G40+G41+G43+G13-G16+G57+G58+G60+G61+G62</f>
        <v>2557785.7710000002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2714234.61516</v>
      </c>
      <c r="F184" s="475">
        <f>F183+F170</f>
        <v>2715200.3027300001</v>
      </c>
      <c r="G184" s="475">
        <f>G183+G170</f>
        <v>2738840.9020000002</v>
      </c>
    </row>
    <row r="185" spans="1:7">
      <c r="A185" s="474"/>
      <c r="B185" s="474"/>
      <c r="C185" s="474" t="s">
        <v>446</v>
      </c>
      <c r="D185" s="475">
        <f t="shared" ref="D185:G186" si="0">D181-D183</f>
        <v>0</v>
      </c>
      <c r="E185" s="475">
        <f t="shared" si="0"/>
        <v>118652.30788999982</v>
      </c>
      <c r="F185" s="475">
        <f t="shared" si="0"/>
        <v>79236.062299999874</v>
      </c>
      <c r="G185" s="475">
        <f t="shared" si="0"/>
        <v>127396.47500000009</v>
      </c>
    </row>
    <row r="186" spans="1:7">
      <c r="A186" s="474"/>
      <c r="B186" s="474"/>
      <c r="C186" s="474" t="s">
        <v>447</v>
      </c>
      <c r="D186" s="475">
        <f t="shared" si="0"/>
        <v>0</v>
      </c>
      <c r="E186" s="475">
        <f t="shared" si="0"/>
        <v>-27213.856159999967</v>
      </c>
      <c r="F186" s="475">
        <f t="shared" si="0"/>
        <v>-60672.612890000455</v>
      </c>
      <c r="G186" s="475">
        <f t="shared" si="0"/>
        <v>-12084.356000000145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6" customWidth="1"/>
    <col min="4" max="4" width="8.6640625" customWidth="1"/>
    <col min="6" max="6" width="7.5" customWidth="1"/>
    <col min="8" max="8" width="6.83203125" customWidth="1"/>
  </cols>
  <sheetData>
    <row r="1" spans="1:9">
      <c r="A1" s="5" t="s">
        <v>20</v>
      </c>
      <c r="B1" s="6" t="s">
        <v>106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102857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52730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14356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2867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574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39</v>
      </c>
      <c r="C9" s="15">
        <v>16470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180369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17070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9860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31550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27459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56</v>
      </c>
      <c r="C17" s="15">
        <v>2708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19308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377883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64949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10464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10867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61664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216448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5077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19308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388777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80</v>
      </c>
      <c r="C30" s="33">
        <v>10894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47685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1063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16197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64945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0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93</v>
      </c>
      <c r="C37" s="15">
        <v>40117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40117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24828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27364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2536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403768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1.10214274206541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7" t="s">
        <v>449</v>
      </c>
      <c r="C1" s="477" t="s">
        <v>106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100828.45</v>
      </c>
      <c r="F4" s="258">
        <v>100649.91499999999</v>
      </c>
      <c r="G4" s="259">
        <v>101983.79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55064.972000000002</v>
      </c>
      <c r="F5" s="266">
        <v>54073.150999999998</v>
      </c>
      <c r="G5" s="267">
        <v>55992.025000000001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6790.3</v>
      </c>
      <c r="F6" s="272">
        <v>7977.2950000000001</v>
      </c>
      <c r="G6" s="273">
        <v>6712.2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0</v>
      </c>
      <c r="F7" s="272">
        <v>-20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8581</v>
      </c>
      <c r="F8" s="266">
        <v>5315.549</v>
      </c>
      <c r="G8" s="276">
        <v>5083.6459999999997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577.9</v>
      </c>
      <c r="F9" s="266">
        <v>1009.323</v>
      </c>
      <c r="G9" s="276">
        <v>766.54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0</v>
      </c>
      <c r="F11" s="275">
        <v>271.18799999999999</v>
      </c>
      <c r="G11" s="277">
        <v>42.9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>
        <v>764.62</v>
      </c>
      <c r="F12" s="283">
        <v>2628.973</v>
      </c>
      <c r="G12" s="482">
        <v>1102.7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>
        <v>172304.69899999999</v>
      </c>
      <c r="F13" s="286">
        <v>172953.53899999999</v>
      </c>
      <c r="G13" s="276">
        <v>178394.783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5"/>
      <c r="E14" s="323">
        <v>9006.7999999999993</v>
      </c>
      <c r="F14" s="286">
        <v>8306.5820000000003</v>
      </c>
      <c r="G14" s="276">
        <v>8516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5"/>
      <c r="E15" s="323">
        <v>13919.03</v>
      </c>
      <c r="F15" s="286">
        <v>6488.8459999999995</v>
      </c>
      <c r="G15" s="276">
        <v>15939.94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>
        <v>2317.9</v>
      </c>
      <c r="F16" s="295">
        <v>5917.6210000000001</v>
      </c>
      <c r="G16" s="296">
        <v>5290.0680000000002</v>
      </c>
    </row>
    <row r="17" spans="1:7" s="299" customFormat="1">
      <c r="A17" s="261">
        <v>37</v>
      </c>
      <c r="B17" s="262"/>
      <c r="C17" s="263" t="s">
        <v>240</v>
      </c>
      <c r="D17" s="316"/>
      <c r="E17" s="264">
        <v>27469.7</v>
      </c>
      <c r="F17" s="286">
        <v>27502.294000000002</v>
      </c>
      <c r="G17" s="298">
        <v>27438.5</v>
      </c>
    </row>
    <row r="18" spans="1:7" s="299" customFormat="1">
      <c r="A18" s="322" t="s">
        <v>241</v>
      </c>
      <c r="B18" s="269"/>
      <c r="C18" s="270" t="s">
        <v>242</v>
      </c>
      <c r="D18" s="485"/>
      <c r="E18" s="323">
        <v>0</v>
      </c>
      <c r="F18" s="286">
        <v>0</v>
      </c>
      <c r="G18" s="298">
        <v>0</v>
      </c>
    </row>
    <row r="19" spans="1:7" s="299" customFormat="1">
      <c r="A19" s="322" t="s">
        <v>243</v>
      </c>
      <c r="B19" s="269"/>
      <c r="C19" s="270" t="s">
        <v>244</v>
      </c>
      <c r="D19" s="485"/>
      <c r="E19" s="323">
        <v>26819.7</v>
      </c>
      <c r="F19" s="286">
        <v>26422.671999999999</v>
      </c>
      <c r="G19" s="298">
        <v>26838.5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15041.55</v>
      </c>
      <c r="F20" s="307">
        <v>15724.873</v>
      </c>
      <c r="G20" s="308">
        <v>16357.334999999999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365591.34099999996</v>
      </c>
      <c r="F21" s="311">
        <f>F4+F5+SUM(F8:F13)+F17</f>
        <v>364403.93199999997</v>
      </c>
      <c r="G21" s="311">
        <f>G4+G5+SUM(G8:G13)+G17</f>
        <v>370804.88399999996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66042.8</v>
      </c>
      <c r="F22" s="266">
        <v>62459.985999999997</v>
      </c>
      <c r="G22" s="276">
        <v>65252.800000000003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13093</v>
      </c>
      <c r="F23" s="266">
        <v>15337.096</v>
      </c>
      <c r="G23" s="276">
        <v>13896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31701.5</v>
      </c>
      <c r="F24" s="266">
        <v>29996.255000000001</v>
      </c>
      <c r="G24" s="276">
        <v>30704.5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21218.76</v>
      </c>
      <c r="F25" s="266">
        <v>24198.915000000001</v>
      </c>
      <c r="G25" s="276">
        <v>23404.66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737.5</v>
      </c>
      <c r="F26" s="317">
        <v>523.18899999999996</v>
      </c>
      <c r="G26" s="298">
        <v>292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806</v>
      </c>
      <c r="F27" s="317">
        <v>881.96</v>
      </c>
      <c r="G27" s="298">
        <v>766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0</v>
      </c>
      <c r="F28" s="317">
        <v>0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0</v>
      </c>
      <c r="F29" s="317">
        <v>0</v>
      </c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175.2</v>
      </c>
      <c r="F30" s="264">
        <v>61.508000000000003</v>
      </c>
      <c r="G30" s="319">
        <v>107.7</v>
      </c>
    </row>
    <row r="31" spans="1:7" s="285" customFormat="1" ht="28">
      <c r="A31" s="278">
        <v>451</v>
      </c>
      <c r="B31" s="279"/>
      <c r="C31" s="280" t="s">
        <v>258</v>
      </c>
      <c r="D31" s="275"/>
      <c r="E31" s="281">
        <v>1116.4000000000001</v>
      </c>
      <c r="F31" s="320">
        <v>2537.076</v>
      </c>
      <c r="G31" s="321">
        <v>1986.85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193528.427</v>
      </c>
      <c r="F32" s="266">
        <v>195334.66</v>
      </c>
      <c r="G32" s="276">
        <v>198831.82800000001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>
        <v>0</v>
      </c>
      <c r="F33" s="266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27469.7</v>
      </c>
      <c r="F34" s="266">
        <v>27502.294000000002</v>
      </c>
      <c r="G34" s="276">
        <v>27438.5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15041.55</v>
      </c>
      <c r="F35" s="307">
        <v>15724.873</v>
      </c>
      <c r="G35" s="486">
        <v>16357.334999999999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355889.28700000001</v>
      </c>
      <c r="F36" s="311">
        <f>F22+F23+F24+F25+F26+F27+F28+F29+F30+F31+F32+F34</f>
        <v>358832.93900000001</v>
      </c>
      <c r="G36" s="311">
        <f>G22+G23+G24+G25+G26+G27+G28+G29+G30+G31+G32+G34</f>
        <v>362680.83799999999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-9702.0539999999455</v>
      </c>
      <c r="F37" s="311">
        <f>F36-F21</f>
        <v>-5570.9929999999586</v>
      </c>
      <c r="G37" s="311">
        <f>G36-G21</f>
        <v>-8124.045999999973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>
        <v>2744.86</v>
      </c>
      <c r="F38" s="286">
        <v>2315.5929999999998</v>
      </c>
      <c r="G38" s="276">
        <v>2452.6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>
        <v>0</v>
      </c>
      <c r="F39" s="266">
        <v>0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>
        <v>0</v>
      </c>
      <c r="F40" s="266">
        <v>0</v>
      </c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>
        <v>176</v>
      </c>
      <c r="F41" s="266">
        <v>118.23399999999999</v>
      </c>
      <c r="G41" s="276">
        <v>166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>
        <v>0</v>
      </c>
      <c r="F42" s="266">
        <v>192.5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>
        <v>0</v>
      </c>
      <c r="F43" s="266">
        <v>0</v>
      </c>
      <c r="G43" s="276">
        <v>0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>
        <v>306</v>
      </c>
      <c r="F44" s="286">
        <v>540.87599999999998</v>
      </c>
      <c r="G44" s="276">
        <v>306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>
        <v>2565</v>
      </c>
      <c r="F45" s="286">
        <v>0</v>
      </c>
      <c r="G45" s="276">
        <v>3800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>
        <v>265</v>
      </c>
      <c r="F46" s="286">
        <v>140.72999999999999</v>
      </c>
      <c r="G46" s="276">
        <v>151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>
        <v>273.56</v>
      </c>
      <c r="F47" s="286">
        <v>262.37200000000001</v>
      </c>
      <c r="G47" s="276">
        <v>270.56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>
        <v>0</v>
      </c>
      <c r="F48" s="286">
        <v>180.547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>
        <v>12</v>
      </c>
      <c r="F49" s="286">
        <v>119.405</v>
      </c>
      <c r="G49" s="276">
        <v>12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>
        <v>8899.7000000000007</v>
      </c>
      <c r="F50" s="286">
        <v>8692.3780000000006</v>
      </c>
      <c r="G50" s="276">
        <v>8649.4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>
        <v>2883.165</v>
      </c>
      <c r="F51" s="286">
        <v>2881.951</v>
      </c>
      <c r="G51" s="276">
        <v>2883.165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>
        <v>17.5</v>
      </c>
      <c r="F52" s="286">
        <v>14.025</v>
      </c>
      <c r="G52" s="276">
        <v>15.2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97"/>
      <c r="E54" s="332">
        <v>0</v>
      </c>
      <c r="F54" s="333">
        <v>0</v>
      </c>
      <c r="G54" s="334"/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12301.064999999999</v>
      </c>
      <c r="F55" s="311">
        <f>SUM(F44:F53)-SUM(F38:F43)</f>
        <v>10205.957000000002</v>
      </c>
      <c r="G55" s="311">
        <f>SUM(G44:G53)-SUM(G38:G43)</f>
        <v>13468.725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2599.0110000000532</v>
      </c>
      <c r="F56" s="311">
        <f>F55+F37</f>
        <v>4634.9640000000436</v>
      </c>
      <c r="G56" s="311">
        <f>G55+G37</f>
        <v>5344.6790000000274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>
        <v>0</v>
      </c>
      <c r="F57" s="340">
        <v>0</v>
      </c>
      <c r="G57" s="499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>
        <v>0</v>
      </c>
      <c r="F58" s="340">
        <v>0</v>
      </c>
      <c r="G58" s="499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264">
        <v>0</v>
      </c>
      <c r="F59" s="344">
        <v>0</v>
      </c>
      <c r="G59" s="500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491">
        <v>0</v>
      </c>
      <c r="F60" s="346">
        <v>0</v>
      </c>
      <c r="G60" s="501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491">
        <v>0</v>
      </c>
      <c r="F61" s="346">
        <v>0</v>
      </c>
      <c r="G61" s="501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491">
        <v>0</v>
      </c>
      <c r="F62" s="346">
        <v>0</v>
      </c>
      <c r="G62" s="501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491">
        <v>0</v>
      </c>
      <c r="F63" s="346">
        <v>0</v>
      </c>
      <c r="G63" s="501">
        <v>0</v>
      </c>
    </row>
    <row r="64" spans="1:7" s="285" customFormat="1">
      <c r="A64" s="274">
        <v>389</v>
      </c>
      <c r="B64" s="352"/>
      <c r="C64" s="263" t="s">
        <v>57</v>
      </c>
      <c r="D64" s="275"/>
      <c r="E64" s="275">
        <v>0</v>
      </c>
      <c r="F64" s="275">
        <v>0</v>
      </c>
      <c r="G64" s="277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75">
        <v>0</v>
      </c>
      <c r="G65" s="277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44">
        <v>0</v>
      </c>
      <c r="G66" s="495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75">
        <v>0</v>
      </c>
      <c r="G67" s="277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75">
        <v>0</v>
      </c>
      <c r="G68" s="277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75">
        <v>0</v>
      </c>
      <c r="G69" s="277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75">
        <v>0</v>
      </c>
      <c r="G70" s="277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75">
        <v>0</v>
      </c>
      <c r="G71" s="277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75">
        <v>0</v>
      </c>
      <c r="G72" s="277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>
        <v>0</v>
      </c>
      <c r="F73" s="275">
        <v>0</v>
      </c>
      <c r="G73" s="319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0</v>
      </c>
      <c r="F74" s="275">
        <v>0</v>
      </c>
      <c r="G74" s="319">
        <v>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>
        <v>0</v>
      </c>
      <c r="F75" s="275">
        <v>0</v>
      </c>
      <c r="G75" s="277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2599.0110000000532</v>
      </c>
      <c r="F77" s="311">
        <f>F56+F76</f>
        <v>4634.9640000000436</v>
      </c>
      <c r="G77" s="311">
        <f>G56+G76</f>
        <v>5344.6790000000274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383553.75099999993</v>
      </c>
      <c r="F78" s="361">
        <f>F20+F21+SUM(F38:F43)+SUM(F57:F64)</f>
        <v>382755.13199999998</v>
      </c>
      <c r="G78" s="361">
        <f>G20+G21+SUM(G38:G43)+SUM(G57:G64)</f>
        <v>389780.81899999996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386152.76199999999</v>
      </c>
      <c r="F79" s="361">
        <f>F35+F36+SUM(F44:F53)+SUM(F65:F74)</f>
        <v>387390.09600000002</v>
      </c>
      <c r="G79" s="361">
        <f>G35+G36+SUM(G44:G53)+SUM(G65:G74)</f>
        <v>395125.49800000002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316"/>
      <c r="E82" s="275">
        <v>39713</v>
      </c>
      <c r="F82" s="266">
        <v>42756.341</v>
      </c>
      <c r="G82" s="276">
        <v>37150</v>
      </c>
    </row>
    <row r="83" spans="1:7" s="260" customFormat="1">
      <c r="A83" s="367">
        <v>51</v>
      </c>
      <c r="B83" s="368"/>
      <c r="C83" s="368" t="s">
        <v>310</v>
      </c>
      <c r="D83" s="316"/>
      <c r="E83" s="275">
        <v>0</v>
      </c>
      <c r="F83" s="266">
        <v>62.024999999999999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316"/>
      <c r="E84" s="275">
        <v>1269.5</v>
      </c>
      <c r="F84" s="266">
        <v>743.50900000000001</v>
      </c>
      <c r="G84" s="276">
        <v>701.5</v>
      </c>
    </row>
    <row r="85" spans="1:7" s="260" customFormat="1">
      <c r="A85" s="369">
        <v>54</v>
      </c>
      <c r="B85" s="370"/>
      <c r="C85" s="370" t="s">
        <v>312</v>
      </c>
      <c r="D85" s="316"/>
      <c r="E85" s="271">
        <v>15582.7</v>
      </c>
      <c r="F85" s="266">
        <v>1064.2</v>
      </c>
      <c r="G85" s="276">
        <v>15958</v>
      </c>
    </row>
    <row r="86" spans="1:7" s="260" customFormat="1">
      <c r="A86" s="369">
        <v>55</v>
      </c>
      <c r="B86" s="370"/>
      <c r="C86" s="370" t="s">
        <v>313</v>
      </c>
      <c r="D86" s="316"/>
      <c r="E86" s="271">
        <v>0</v>
      </c>
      <c r="F86" s="266">
        <v>0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316"/>
      <c r="E87" s="271">
        <v>9823</v>
      </c>
      <c r="F87" s="266">
        <v>9087.9779999999992</v>
      </c>
      <c r="G87" s="276">
        <v>15453</v>
      </c>
    </row>
    <row r="88" spans="1:7" s="260" customFormat="1">
      <c r="A88" s="367">
        <v>57</v>
      </c>
      <c r="B88" s="368"/>
      <c r="C88" s="368" t="s">
        <v>315</v>
      </c>
      <c r="D88" s="316"/>
      <c r="E88" s="275">
        <v>1970.7</v>
      </c>
      <c r="F88" s="266">
        <v>1697.011</v>
      </c>
      <c r="G88" s="276">
        <v>1970.7</v>
      </c>
    </row>
    <row r="89" spans="1:7" s="260" customFormat="1">
      <c r="A89" s="367">
        <v>580</v>
      </c>
      <c r="B89" s="368"/>
      <c r="C89" s="368" t="s">
        <v>316</v>
      </c>
      <c r="D89" s="275"/>
      <c r="E89" s="275"/>
      <c r="F89" s="266"/>
      <c r="G89" s="276"/>
    </row>
    <row r="90" spans="1:7" s="260" customFormat="1">
      <c r="A90" s="367">
        <v>582</v>
      </c>
      <c r="B90" s="368"/>
      <c r="C90" s="368" t="s">
        <v>317</v>
      </c>
      <c r="D90" s="275"/>
      <c r="E90" s="275"/>
      <c r="F90" s="266"/>
      <c r="G90" s="276"/>
    </row>
    <row r="91" spans="1:7" s="260" customFormat="1">
      <c r="A91" s="367">
        <v>584</v>
      </c>
      <c r="B91" s="368"/>
      <c r="C91" s="368" t="s">
        <v>318</v>
      </c>
      <c r="D91" s="275"/>
      <c r="E91" s="275"/>
      <c r="F91" s="266"/>
      <c r="G91" s="276"/>
    </row>
    <row r="92" spans="1:7" s="260" customFormat="1">
      <c r="A92" s="367">
        <v>585</v>
      </c>
      <c r="B92" s="368"/>
      <c r="C92" s="368" t="s">
        <v>319</v>
      </c>
      <c r="D92" s="275"/>
      <c r="E92" s="275"/>
      <c r="F92" s="266"/>
      <c r="G92" s="276"/>
    </row>
    <row r="93" spans="1:7" s="260" customFormat="1">
      <c r="A93" s="367">
        <v>586</v>
      </c>
      <c r="B93" s="368"/>
      <c r="C93" s="368" t="s">
        <v>320</v>
      </c>
      <c r="D93" s="275"/>
      <c r="E93" s="275"/>
      <c r="F93" s="266"/>
      <c r="G93" s="276"/>
    </row>
    <row r="94" spans="1:7" s="260" customFormat="1">
      <c r="A94" s="371">
        <v>589</v>
      </c>
      <c r="B94" s="372"/>
      <c r="C94" s="372" t="s">
        <v>321</v>
      </c>
      <c r="D94" s="306"/>
      <c r="E94" s="306"/>
      <c r="F94" s="373"/>
      <c r="G94" s="308"/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68358.899999999994</v>
      </c>
      <c r="F95" s="376">
        <f>SUM(F82:F94)</f>
        <v>55411.063999999998</v>
      </c>
      <c r="G95" s="376">
        <f>SUM(G82:G94)</f>
        <v>71233.2</v>
      </c>
    </row>
    <row r="96" spans="1:7" s="260" customFormat="1">
      <c r="A96" s="367">
        <v>60</v>
      </c>
      <c r="B96" s="368"/>
      <c r="C96" s="368" t="s">
        <v>323</v>
      </c>
      <c r="D96" s="316"/>
      <c r="E96" s="275">
        <v>0</v>
      </c>
      <c r="F96" s="266">
        <v>11.5</v>
      </c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316"/>
      <c r="E97" s="275">
        <v>0</v>
      </c>
      <c r="F97" s="266">
        <v>62.024999999999999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316"/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>
        <v>24368.5</v>
      </c>
      <c r="F99" s="266">
        <v>32295.167000000001</v>
      </c>
      <c r="G99" s="276">
        <v>25577.5</v>
      </c>
    </row>
    <row r="100" spans="1:7" s="260" customFormat="1">
      <c r="A100" s="367">
        <v>64</v>
      </c>
      <c r="B100" s="368"/>
      <c r="C100" s="368" t="s">
        <v>327</v>
      </c>
      <c r="D100" s="316"/>
      <c r="E100" s="271">
        <v>15395.2</v>
      </c>
      <c r="F100" s="266">
        <v>848.51099999999997</v>
      </c>
      <c r="G100" s="276">
        <v>15888.5</v>
      </c>
    </row>
    <row r="101" spans="1:7" s="260" customFormat="1">
      <c r="A101" s="367">
        <v>65</v>
      </c>
      <c r="B101" s="368"/>
      <c r="C101" s="368" t="s">
        <v>328</v>
      </c>
      <c r="D101" s="316"/>
      <c r="E101" s="271">
        <v>0</v>
      </c>
      <c r="F101" s="266">
        <v>6.6130000000000004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316"/>
      <c r="E102" s="271">
        <v>0</v>
      </c>
      <c r="F102" s="266">
        <v>46.533000000000001</v>
      </c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75">
        <v>1970.7</v>
      </c>
      <c r="F103" s="286">
        <v>1697.011</v>
      </c>
      <c r="G103" s="267">
        <v>1970.7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/>
      <c r="F104" s="286"/>
      <c r="G104" s="267"/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/>
      <c r="F105" s="307"/>
      <c r="G105" s="486"/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41734.399999999994</v>
      </c>
      <c r="F106" s="376">
        <f>SUM(F96:F105)</f>
        <v>34967.360000000001</v>
      </c>
      <c r="G106" s="376">
        <f>SUM(G96:G105)</f>
        <v>43436.7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26624.5</v>
      </c>
      <c r="F107" s="376">
        <f>(F95-F88)-(F106-F103)</f>
        <v>20443.703999999998</v>
      </c>
      <c r="G107" s="376">
        <f>(G95-G88)-(G106-G103)</f>
        <v>27796.5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26437</v>
      </c>
      <c r="F108" s="389">
        <f>F107-F85-F86+F100+F101</f>
        <v>20234.627999999997</v>
      </c>
      <c r="G108" s="389">
        <f>G107-G85-G86+G100+G101</f>
        <v>27727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163454.42499999999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133586.535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>
        <v>109081.128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8000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>
        <v>15179.665999999999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>
        <v>1325.741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29867.89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>
        <v>9074.2900000000009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>
        <v>20793.599999999999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179089.97699999998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>
        <v>94230.441000000006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>
        <v>15404.784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>
        <v>45999.95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>
        <v>23454.802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/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/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342544.402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155124.40299999999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69907.811999999991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36995.601000000002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15000</v>
      </c>
      <c r="G136" s="277"/>
    </row>
    <row r="137" spans="1:7" s="429" customFormat="1">
      <c r="A137" s="430" t="s">
        <v>450</v>
      </c>
      <c r="B137" s="400"/>
      <c r="C137" s="400" t="s">
        <v>370</v>
      </c>
      <c r="D137" s="271"/>
      <c r="E137" s="27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>
        <v>13794.046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>
        <v>4118.165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85216.590999999986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>
        <v>70858.180999999997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>
        <v>11741.808999999999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281"/>
      <c r="F144" s="281">
        <v>2616.6010000000001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>
        <v>187420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>
        <v>160019.94699999999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342544.40299999999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595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16" t="s">
        <v>386</v>
      </c>
      <c r="B150" s="441"/>
      <c r="C150" s="441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13548.831000000053</v>
      </c>
      <c r="F150" s="442">
        <f>F77+SUM(F8:F12)-F30-F31+F16-F33+F59+F63-F73+F64-F74-F54+F20-F35</f>
        <v>17179.034000000043</v>
      </c>
      <c r="G150" s="442">
        <f>G77+SUM(G8:G12)-G30-G31+G16-G33+G59+G63-G73+G64-G74-G54+G20-G35</f>
        <v>15535.983000000026</v>
      </c>
    </row>
    <row r="151" spans="1:7">
      <c r="A151" s="517" t="s">
        <v>387</v>
      </c>
      <c r="B151" s="444"/>
      <c r="C151" s="444" t="s">
        <v>388</v>
      </c>
      <c r="D151" s="445">
        <f>IF(D177=0,0,D150/D177)</f>
        <v>0</v>
      </c>
      <c r="E151" s="445">
        <f>IF(E177=0,0,E150/E177)</f>
        <v>3.9427224380272352E-2</v>
      </c>
      <c r="F151" s="445">
        <f>IF(F177=0,0,F150/F177)</f>
        <v>4.991541084891233E-2</v>
      </c>
      <c r="G151" s="445">
        <f>IF(G177=0,0,G150/G177)</f>
        <v>4.4220527430955996E-2</v>
      </c>
    </row>
    <row r="152" spans="1:7" s="328" customFormat="1" ht="28">
      <c r="A152" s="511" t="s">
        <v>389</v>
      </c>
      <c r="B152" s="447"/>
      <c r="C152" s="447" t="s">
        <v>390</v>
      </c>
      <c r="D152" s="448">
        <f>IF(D107=0,0,D150/D107)</f>
        <v>0</v>
      </c>
      <c r="E152" s="448">
        <f t="shared" ref="E152:G153" si="0">IF(IF(E107=0,0,E$150/E107)&lt;0,"negativ",(IF(E107=0,0,E$150/E107)))</f>
        <v>0.50888583823170586</v>
      </c>
      <c r="F152" s="448">
        <f t="shared" si="0"/>
        <v>0.84030927076619999</v>
      </c>
      <c r="G152" s="448">
        <f t="shared" si="0"/>
        <v>0.55891867681182972</v>
      </c>
    </row>
    <row r="153" spans="1:7" s="328" customFormat="1" ht="28">
      <c r="A153" s="512" t="s">
        <v>389</v>
      </c>
      <c r="B153" s="451"/>
      <c r="C153" s="451" t="s">
        <v>391</v>
      </c>
      <c r="D153" s="452">
        <f>IF(0=D108,0,D150/D108)</f>
        <v>0</v>
      </c>
      <c r="E153" s="452">
        <f t="shared" si="0"/>
        <v>0.51249502591065754</v>
      </c>
      <c r="F153" s="452">
        <f t="shared" si="0"/>
        <v>0.8489918371615256</v>
      </c>
      <c r="G153" s="452">
        <f t="shared" si="0"/>
        <v>0.56031965232445002</v>
      </c>
    </row>
    <row r="154" spans="1:7" ht="28">
      <c r="A154" s="513" t="s">
        <v>392</v>
      </c>
      <c r="B154" s="454"/>
      <c r="C154" s="454" t="s">
        <v>393</v>
      </c>
      <c r="D154" s="455">
        <f>D150-D107</f>
        <v>0</v>
      </c>
      <c r="E154" s="455">
        <f>E150-E107</f>
        <v>-13075.668999999947</v>
      </c>
      <c r="F154" s="455">
        <f>F150-F107</f>
        <v>-3264.6699999999546</v>
      </c>
      <c r="G154" s="455">
        <f>G150-G107</f>
        <v>-12260.516999999974</v>
      </c>
    </row>
    <row r="155" spans="1:7" ht="28">
      <c r="A155" s="512" t="s">
        <v>394</v>
      </c>
      <c r="B155" s="451"/>
      <c r="C155" s="451" t="s">
        <v>395</v>
      </c>
      <c r="D155" s="456">
        <f>D150-D108</f>
        <v>0</v>
      </c>
      <c r="E155" s="456">
        <f>E150-E108</f>
        <v>-12888.168999999947</v>
      </c>
      <c r="F155" s="456">
        <f>F150-F108</f>
        <v>-3055.5939999999537</v>
      </c>
      <c r="G155" s="456">
        <f>G150-G108</f>
        <v>-12191.016999999974</v>
      </c>
    </row>
    <row r="156" spans="1:7">
      <c r="A156" s="516" t="s">
        <v>396</v>
      </c>
      <c r="B156" s="441"/>
      <c r="C156" s="441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122853.78200000001</v>
      </c>
      <c r="G156" s="457">
        <f>G135+G136-G137+G141-G142</f>
        <v>0</v>
      </c>
    </row>
    <row r="157" spans="1:7">
      <c r="A157" s="518" t="s">
        <v>398</v>
      </c>
      <c r="B157" s="459"/>
      <c r="C157" s="459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0.35696401805088079</v>
      </c>
      <c r="G157" s="460">
        <f>IF(G177=0,0,G156/G177)</f>
        <v>0</v>
      </c>
    </row>
    <row r="158" spans="1:7">
      <c r="A158" s="516" t="s">
        <v>400</v>
      </c>
      <c r="B158" s="441"/>
      <c r="C158" s="441" t="s">
        <v>401</v>
      </c>
      <c r="D158" s="457">
        <f>D133-D142-D111</f>
        <v>0</v>
      </c>
      <c r="E158" s="457">
        <f>E133-E142-E111</f>
        <v>0</v>
      </c>
      <c r="F158" s="457">
        <f>F133-F142-F111</f>
        <v>-8330.0219999999972</v>
      </c>
      <c r="G158" s="457">
        <f>G133-G142-G111</f>
        <v>0</v>
      </c>
    </row>
    <row r="159" spans="1:7">
      <c r="A159" s="517" t="s">
        <v>402</v>
      </c>
      <c r="B159" s="444"/>
      <c r="C159" s="444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-69734.757000000027</v>
      </c>
      <c r="G159" s="461">
        <f>G121-G123-G124-G142-G145</f>
        <v>0</v>
      </c>
    </row>
    <row r="160" spans="1:7">
      <c r="A160" s="517" t="s">
        <v>404</v>
      </c>
      <c r="B160" s="444"/>
      <c r="C160" s="444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-235.00598092873659</v>
      </c>
      <c r="G160" s="462">
        <f>IF(G175=0,"-",1000*G158/G175)</f>
        <v>0</v>
      </c>
    </row>
    <row r="161" spans="1:7">
      <c r="A161" s="517" t="s">
        <v>404</v>
      </c>
      <c r="B161" s="444"/>
      <c r="C161" s="444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-1967.35194380184</v>
      </c>
      <c r="G161" s="461">
        <f>IF(G175=0,0,1000*(G159/G175))</f>
        <v>0</v>
      </c>
    </row>
    <row r="162" spans="1:7">
      <c r="A162" s="518" t="s">
        <v>407</v>
      </c>
      <c r="B162" s="459"/>
      <c r="C162" s="459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-0.10707370746887393</v>
      </c>
      <c r="G162" s="460">
        <f>IF((G22+G23+G65+G66)=0,0,G158/(G22+G23+G65+G66))</f>
        <v>0</v>
      </c>
    </row>
    <row r="163" spans="1:7">
      <c r="A163" s="517" t="s">
        <v>409</v>
      </c>
      <c r="B163" s="444"/>
      <c r="C163" s="444" t="s">
        <v>380</v>
      </c>
      <c r="D163" s="442">
        <f>D145</f>
        <v>0</v>
      </c>
      <c r="E163" s="442">
        <f>E145</f>
        <v>0</v>
      </c>
      <c r="F163" s="442">
        <f>F145</f>
        <v>187420</v>
      </c>
      <c r="G163" s="442">
        <f>G145</f>
        <v>0</v>
      </c>
    </row>
    <row r="164" spans="1:7" ht="28">
      <c r="A164" s="512" t="s">
        <v>411</v>
      </c>
      <c r="B164" s="463"/>
      <c r="C164" s="463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0.47130122845698441</v>
      </c>
      <c r="G164" s="452">
        <f>IF(G178=0,0,G146/G178)</f>
        <v>0</v>
      </c>
    </row>
    <row r="165" spans="1:7">
      <c r="A165" s="519" t="s">
        <v>681</v>
      </c>
      <c r="B165" s="464"/>
      <c r="C165" s="464" t="s">
        <v>414</v>
      </c>
      <c r="D165" s="465">
        <f>IF(D177=0,0,D180/D177)</f>
        <v>0</v>
      </c>
      <c r="E165" s="465">
        <f>IF(E177=0,0,E180/E177)</f>
        <v>4.0494700186280173E-2</v>
      </c>
      <c r="F165" s="465">
        <f>IF(F177=0,0,F180/F177)</f>
        <v>4.0728413256850213E-2</v>
      </c>
      <c r="G165" s="465">
        <f>IF(G177=0,0,G180/G177)</f>
        <v>3.7818765106662794E-2</v>
      </c>
    </row>
    <row r="166" spans="1:7">
      <c r="A166" s="517" t="s">
        <v>415</v>
      </c>
      <c r="B166" s="444"/>
      <c r="C166" s="444" t="s">
        <v>282</v>
      </c>
      <c r="D166" s="442">
        <f>D55</f>
        <v>0</v>
      </c>
      <c r="E166" s="442">
        <f>E55</f>
        <v>12301.064999999999</v>
      </c>
      <c r="F166" s="442">
        <f>F55</f>
        <v>10205.957000000002</v>
      </c>
      <c r="G166" s="442">
        <f>G55</f>
        <v>13468.725</v>
      </c>
    </row>
    <row r="167" spans="1:7">
      <c r="A167" s="518" t="s">
        <v>416</v>
      </c>
      <c r="B167" s="459"/>
      <c r="C167" s="459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6.879746449201361E-3</v>
      </c>
      <c r="G167" s="460">
        <f>IF(0=G111,0,(G44+G45+G46+G47+G48)/G111)</f>
        <v>0</v>
      </c>
    </row>
    <row r="168" spans="1:7">
      <c r="A168" s="517" t="s">
        <v>418</v>
      </c>
      <c r="B168" s="441"/>
      <c r="C168" s="441" t="s">
        <v>419</v>
      </c>
      <c r="D168" s="442">
        <f>D38-D44</f>
        <v>0</v>
      </c>
      <c r="E168" s="442">
        <f>E38-E44</f>
        <v>2438.86</v>
      </c>
      <c r="F168" s="442">
        <f>F38-F44</f>
        <v>1774.7169999999999</v>
      </c>
      <c r="G168" s="442">
        <f>G38-G44</f>
        <v>2146.6</v>
      </c>
    </row>
    <row r="169" spans="1:7">
      <c r="A169" s="518" t="s">
        <v>420</v>
      </c>
      <c r="B169" s="459"/>
      <c r="C169" s="459" t="s">
        <v>421</v>
      </c>
      <c r="D169" s="445">
        <f>IF(D177=0,0,D168/D177)</f>
        <v>0</v>
      </c>
      <c r="E169" s="445">
        <f>IF(E177=0,0,E168/E177)</f>
        <v>7.0971053113047652E-3</v>
      </c>
      <c r="F169" s="445">
        <f>IF(F177=0,0,F168/F177)</f>
        <v>5.1566187129933449E-3</v>
      </c>
      <c r="G169" s="445">
        <f>IF(G177=0,0,G168/G177)</f>
        <v>6.1099310023247306E-3</v>
      </c>
    </row>
    <row r="170" spans="1:7">
      <c r="A170" s="517" t="s">
        <v>422</v>
      </c>
      <c r="B170" s="444"/>
      <c r="C170" s="444" t="s">
        <v>423</v>
      </c>
      <c r="D170" s="442">
        <f>SUM(D82:D87)+SUM(D89:D94)</f>
        <v>0</v>
      </c>
      <c r="E170" s="442">
        <f>SUM(E82:E87)+SUM(E89:E94)</f>
        <v>66388.2</v>
      </c>
      <c r="F170" s="442">
        <f>SUM(F82:F87)+SUM(F89:F94)</f>
        <v>53714.053</v>
      </c>
      <c r="G170" s="442">
        <f>SUM(G82:G87)+SUM(G89:G94)</f>
        <v>69262.5</v>
      </c>
    </row>
    <row r="171" spans="1:7">
      <c r="A171" s="517" t="s">
        <v>424</v>
      </c>
      <c r="B171" s="444"/>
      <c r="C171" s="444" t="s">
        <v>425</v>
      </c>
      <c r="D171" s="461">
        <f>SUM(D96:D102)+SUM(D104:D105)</f>
        <v>0</v>
      </c>
      <c r="E171" s="461">
        <f>SUM(E96:E102)+SUM(E104:E105)</f>
        <v>39763.699999999997</v>
      </c>
      <c r="F171" s="461">
        <f>SUM(F96:F102)+SUM(F104:F105)</f>
        <v>33270.349000000002</v>
      </c>
      <c r="G171" s="461">
        <f>SUM(G96:G102)+SUM(G104:G105)</f>
        <v>41466</v>
      </c>
    </row>
    <row r="172" spans="1:7">
      <c r="A172" s="519" t="s">
        <v>413</v>
      </c>
      <c r="B172" s="464"/>
      <c r="C172" s="464" t="s">
        <v>426</v>
      </c>
      <c r="D172" s="465">
        <f>IF(D184=0,0,D170/D184)</f>
        <v>0</v>
      </c>
      <c r="E172" s="465">
        <f>IF(E184=0,0,E170/E184)</f>
        <v>0.16799089244528373</v>
      </c>
      <c r="F172" s="465">
        <f>IF(F184=0,0,F170/F184)</f>
        <v>0.14212816848076723</v>
      </c>
      <c r="G172" s="465">
        <f>IF(G184=0,0,G170/G184)</f>
        <v>0.17188361085396645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69"/>
      <c r="E175" s="469">
        <v>35446</v>
      </c>
      <c r="F175" s="472">
        <v>35446</v>
      </c>
      <c r="G175" s="472">
        <v>35446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343641.51199999999</v>
      </c>
      <c r="F177" s="472">
        <f>SUM(F22:F32)+SUM(F44:F53)+SUM(F65:F72)+F75</f>
        <v>344162.929</v>
      </c>
      <c r="G177" s="472">
        <f>SUM(G22:G32)+SUM(G44:G53)+SUM(G65:G72)+G75</f>
        <v>351329.663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341042.50099999993</v>
      </c>
      <c r="F178" s="472">
        <f>F78-F17-F20-F59-F63-F64</f>
        <v>339527.96499999997</v>
      </c>
      <c r="G178" s="472">
        <f>G78-G17-G20-G59-G63-G64</f>
        <v>345984.98399999994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407430.70099999994</v>
      </c>
      <c r="F179" s="472">
        <f>F178+F170</f>
        <v>393242.01799999998</v>
      </c>
      <c r="G179" s="472">
        <f>G178+G170</f>
        <v>415247.48399999994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13915.66</v>
      </c>
      <c r="F180" s="472">
        <f>F38-F44+F8+F9+F10+F16-F33</f>
        <v>14017.21</v>
      </c>
      <c r="G180" s="472">
        <f>G38-G44+G8+G9+G10+G16-G33</f>
        <v>13286.853999999999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341543.91200000001</v>
      </c>
      <c r="F181" s="475">
        <f>F22+F23+F24+F25+F26+F29+SUM(F44:F47)+SUM(F49:F53)-F54+F32-F33+SUM(F65:F70)+F72</f>
        <v>340501.83799999999</v>
      </c>
      <c r="G181" s="475">
        <f>G22+G23+G24+G25+G26+G29+SUM(G44:G47)+SUM(G49:G53)-G54+G32-G33+SUM(G65:G70)+G72</f>
        <v>348469.11300000001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381307.61200000002</v>
      </c>
      <c r="F182" s="475">
        <f>F181+F171</f>
        <v>373772.18699999998</v>
      </c>
      <c r="G182" s="475">
        <f>G181+G171</f>
        <v>389935.11300000001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328801.08099999995</v>
      </c>
      <c r="F183" s="475">
        <f>F4+F5-F7+F38+F39+F40+F41+F43+F13-F16+F57+F58+F60+F61+F62</f>
        <v>324212.81099999999</v>
      </c>
      <c r="G183" s="475">
        <f>G4+G5-G7+G38+G39+G40+G41+G43+G13-G16+G57+G58+G60+G61+G62</f>
        <v>333699.12999999995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395189.28099999996</v>
      </c>
      <c r="F184" s="475">
        <f>F183+F170</f>
        <v>377926.864</v>
      </c>
      <c r="G184" s="475">
        <f>G183+G170</f>
        <v>402961.62999999995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12742.831000000064</v>
      </c>
      <c r="F185" s="475">
        <f t="shared" si="1"/>
        <v>16289.027000000002</v>
      </c>
      <c r="G185" s="475">
        <f t="shared" si="1"/>
        <v>14769.983000000066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-13881.668999999936</v>
      </c>
      <c r="F186" s="475">
        <f t="shared" si="1"/>
        <v>-4154.6770000000251</v>
      </c>
      <c r="G186" s="475">
        <f t="shared" si="1"/>
        <v>-13026.516999999934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6" customWidth="1"/>
    <col min="3" max="3" width="12.33203125" bestFit="1" customWidth="1"/>
    <col min="4" max="4" width="9.1640625" customWidth="1"/>
    <col min="5" max="5" width="10" customWidth="1"/>
    <col min="6" max="6" width="9.33203125" customWidth="1"/>
    <col min="7" max="7" width="11.5" bestFit="1" customWidth="1"/>
    <col min="8" max="8" width="10.83203125" customWidth="1"/>
    <col min="9" max="9" width="11.33203125" customWidth="1"/>
  </cols>
  <sheetData>
    <row r="1" spans="1:9">
      <c r="A1" s="5" t="s">
        <v>20</v>
      </c>
      <c r="B1" s="6" t="s">
        <v>107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102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203762.6</v>
      </c>
      <c r="D4" s="11">
        <v>4.1550313943775716E-2</v>
      </c>
      <c r="E4" s="10">
        <v>212229</v>
      </c>
      <c r="F4" s="11">
        <v>-1.4121538526780034E-2</v>
      </c>
      <c r="G4" s="10">
        <v>209232</v>
      </c>
      <c r="H4" s="11">
        <v>5.8069511355815555E-2</v>
      </c>
      <c r="I4" s="12">
        <v>221382</v>
      </c>
    </row>
    <row r="5" spans="1:9">
      <c r="A5" s="13" t="s">
        <v>30</v>
      </c>
      <c r="B5" s="14" t="s">
        <v>31</v>
      </c>
      <c r="C5" s="15">
        <v>79377.8</v>
      </c>
      <c r="D5" s="16">
        <v>0.13214651955584558</v>
      </c>
      <c r="E5" s="15">
        <v>89867.3</v>
      </c>
      <c r="F5" s="16">
        <v>-7.3556232355929271E-2</v>
      </c>
      <c r="G5" s="15">
        <v>83257</v>
      </c>
      <c r="H5" s="16">
        <v>5.5815126656016914E-2</v>
      </c>
      <c r="I5" s="17">
        <v>87904</v>
      </c>
    </row>
    <row r="6" spans="1:9">
      <c r="A6" s="13" t="s">
        <v>32</v>
      </c>
      <c r="B6" s="14" t="s">
        <v>33</v>
      </c>
      <c r="C6" s="15">
        <v>18705.2</v>
      </c>
      <c r="D6" s="16">
        <v>0.13038085666018001</v>
      </c>
      <c r="E6" s="15">
        <v>21144</v>
      </c>
      <c r="F6" s="16">
        <v>-5.1078320090805901E-2</v>
      </c>
      <c r="G6" s="15">
        <v>20064</v>
      </c>
      <c r="H6" s="16">
        <v>-6.0954944178628387E-2</v>
      </c>
      <c r="I6" s="17">
        <v>18841</v>
      </c>
    </row>
    <row r="7" spans="1:9">
      <c r="A7" s="13" t="s">
        <v>34</v>
      </c>
      <c r="B7" s="14" t="s">
        <v>35</v>
      </c>
      <c r="C7" s="15">
        <v>6390</v>
      </c>
      <c r="D7" s="16">
        <v>-0.12363067292644757</v>
      </c>
      <c r="E7" s="15">
        <v>5600</v>
      </c>
      <c r="F7" s="16">
        <v>-8.8392857142857148E-2</v>
      </c>
      <c r="G7" s="15">
        <v>5105</v>
      </c>
      <c r="H7" s="16">
        <v>0.13614103819784526</v>
      </c>
      <c r="I7" s="17">
        <v>5800</v>
      </c>
    </row>
    <row r="8" spans="1:9">
      <c r="A8" s="13" t="s">
        <v>36</v>
      </c>
      <c r="B8" s="14" t="s">
        <v>37</v>
      </c>
      <c r="C8" s="15">
        <v>0</v>
      </c>
      <c r="D8" s="16" t="s">
        <v>48</v>
      </c>
      <c r="E8" s="15">
        <v>0</v>
      </c>
      <c r="F8" s="16" t="s">
        <v>48</v>
      </c>
      <c r="G8" s="15">
        <v>0</v>
      </c>
      <c r="H8" s="16" t="s">
        <v>48</v>
      </c>
      <c r="I8" s="17">
        <v>0</v>
      </c>
    </row>
    <row r="9" spans="1:9">
      <c r="A9" s="13" t="s">
        <v>38</v>
      </c>
      <c r="B9" s="14" t="s">
        <v>39</v>
      </c>
      <c r="C9" s="15">
        <v>76769.100000000006</v>
      </c>
      <c r="D9" s="16">
        <v>-2.4827697602290501E-2</v>
      </c>
      <c r="E9" s="15">
        <v>74863.100000000006</v>
      </c>
      <c r="F9" s="16">
        <v>-2.8787212925994322E-2</v>
      </c>
      <c r="G9" s="15">
        <v>72708</v>
      </c>
      <c r="H9" s="16">
        <v>7.8327006656764037E-2</v>
      </c>
      <c r="I9" s="17">
        <v>78403</v>
      </c>
    </row>
    <row r="10" spans="1:9">
      <c r="A10" s="13" t="s">
        <v>40</v>
      </c>
      <c r="B10" s="14" t="s">
        <v>41</v>
      </c>
      <c r="C10" s="15">
        <v>759453.1</v>
      </c>
      <c r="D10" s="16">
        <v>4.8602211249121216E-2</v>
      </c>
      <c r="E10" s="15">
        <v>796364.2</v>
      </c>
      <c r="F10" s="16">
        <v>2.0432611109339228E-2</v>
      </c>
      <c r="G10" s="15">
        <v>812636</v>
      </c>
      <c r="H10" s="16">
        <v>2.8349716232113763E-2</v>
      </c>
      <c r="I10" s="17">
        <v>835674</v>
      </c>
    </row>
    <row r="11" spans="1:9">
      <c r="A11" s="13" t="s">
        <v>42</v>
      </c>
      <c r="B11" s="14" t="s">
        <v>43</v>
      </c>
      <c r="C11" s="15">
        <v>2180.3000000000002</v>
      </c>
      <c r="D11" s="43">
        <v>0.22918864376461945</v>
      </c>
      <c r="E11" s="15">
        <v>2680</v>
      </c>
      <c r="F11" s="16">
        <v>-0.33432835820895523</v>
      </c>
      <c r="G11" s="15">
        <v>1784</v>
      </c>
      <c r="H11" s="16">
        <v>1.7735426008968609</v>
      </c>
      <c r="I11" s="17">
        <v>4948</v>
      </c>
    </row>
    <row r="12" spans="1:9">
      <c r="A12" s="13" t="s">
        <v>44</v>
      </c>
      <c r="B12" s="14" t="s">
        <v>45</v>
      </c>
      <c r="C12" s="15">
        <v>31298.1</v>
      </c>
      <c r="D12" s="43">
        <v>0.34767286193091596</v>
      </c>
      <c r="E12" s="15">
        <v>42179.6</v>
      </c>
      <c r="F12" s="16">
        <v>-0.18432133069066561</v>
      </c>
      <c r="G12" s="15">
        <v>34405</v>
      </c>
      <c r="H12" s="16">
        <v>0.20494114227583199</v>
      </c>
      <c r="I12" s="17">
        <v>41456</v>
      </c>
    </row>
    <row r="13" spans="1:9">
      <c r="A13" s="13" t="s">
        <v>46</v>
      </c>
      <c r="B13" s="14" t="s">
        <v>47</v>
      </c>
      <c r="C13" s="15">
        <v>186686.6</v>
      </c>
      <c r="D13" s="43">
        <v>9.7018211269581343E-3</v>
      </c>
      <c r="E13" s="15">
        <v>188497.8</v>
      </c>
      <c r="F13" s="43">
        <v>5.3243061722736351E-2</v>
      </c>
      <c r="G13" s="15">
        <v>198534</v>
      </c>
      <c r="H13" s="43">
        <v>-1.6218884422819265E-2</v>
      </c>
      <c r="I13" s="17">
        <v>195314</v>
      </c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 t="s">
        <v>48</v>
      </c>
      <c r="I14" s="17">
        <v>0</v>
      </c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79603.399999999994</v>
      </c>
      <c r="D16" s="43">
        <v>-3.6676825361730676E-2</v>
      </c>
      <c r="E16" s="15">
        <v>76683.8</v>
      </c>
      <c r="F16" s="43">
        <v>4.8057086372871413E-2</v>
      </c>
      <c r="G16" s="15">
        <v>80369</v>
      </c>
      <c r="H16" s="43">
        <v>5.1636825144023195E-3</v>
      </c>
      <c r="I16" s="17">
        <v>80784</v>
      </c>
    </row>
    <row r="17" spans="1:9">
      <c r="A17" s="13" t="s">
        <v>55</v>
      </c>
      <c r="B17" s="14" t="s">
        <v>56</v>
      </c>
      <c r="C17" s="15">
        <v>1908.3</v>
      </c>
      <c r="D17" s="16">
        <v>-1</v>
      </c>
      <c r="E17" s="15">
        <v>0</v>
      </c>
      <c r="F17" s="16" t="s">
        <v>48</v>
      </c>
      <c r="G17" s="15">
        <v>4934</v>
      </c>
      <c r="H17" s="16">
        <v>-0.85407377381434946</v>
      </c>
      <c r="I17" s="17">
        <v>720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88242.7</v>
      </c>
      <c r="D19" s="43">
        <v>-5.3258796478348885E-2</v>
      </c>
      <c r="E19" s="20">
        <v>83543</v>
      </c>
      <c r="F19" s="43">
        <v>0.15808625498246412</v>
      </c>
      <c r="G19" s="20">
        <v>96750</v>
      </c>
      <c r="H19" s="43">
        <v>-1.2206718346253229E-2</v>
      </c>
      <c r="I19" s="21">
        <v>95569</v>
      </c>
    </row>
    <row r="20" spans="1:9">
      <c r="A20" s="22" t="s">
        <v>60</v>
      </c>
      <c r="B20" s="23" t="s">
        <v>61</v>
      </c>
      <c r="C20" s="24">
        <v>1215903.6000000001</v>
      </c>
      <c r="D20" s="25">
        <v>3.8294976674137463E-2</v>
      </c>
      <c r="E20" s="24">
        <v>1262466.5999999999</v>
      </c>
      <c r="F20" s="25">
        <v>1.7549295957611982E-2</v>
      </c>
      <c r="G20" s="24">
        <v>1284622</v>
      </c>
      <c r="H20" s="25">
        <v>3.1783668658951818E-2</v>
      </c>
      <c r="I20" s="26">
        <v>1325452</v>
      </c>
    </row>
    <row r="21" spans="1:9">
      <c r="A21" s="27" t="s">
        <v>62</v>
      </c>
      <c r="B21" s="28" t="s">
        <v>63</v>
      </c>
      <c r="C21" s="10">
        <v>468698.4</v>
      </c>
      <c r="D21" s="16">
        <v>1.4042292442218655E-2</v>
      </c>
      <c r="E21" s="10">
        <v>475280</v>
      </c>
      <c r="F21" s="16">
        <v>1.0625315603433765E-2</v>
      </c>
      <c r="G21" s="10">
        <v>480330</v>
      </c>
      <c r="H21" s="16">
        <v>3.7688672371078216E-2</v>
      </c>
      <c r="I21" s="12">
        <v>498433</v>
      </c>
    </row>
    <row r="22" spans="1:9">
      <c r="A22" s="8" t="s">
        <v>64</v>
      </c>
      <c r="B22" s="29" t="s">
        <v>65</v>
      </c>
      <c r="C22" s="15">
        <v>46768.800000000003</v>
      </c>
      <c r="D22" s="16">
        <v>1.7131078838883981E-2</v>
      </c>
      <c r="E22" s="15">
        <v>47570</v>
      </c>
      <c r="F22" s="16">
        <v>2.4553289888585243E-2</v>
      </c>
      <c r="G22" s="15">
        <v>48738</v>
      </c>
      <c r="H22" s="16">
        <v>1.4608724198777135E-2</v>
      </c>
      <c r="I22" s="17">
        <v>49450</v>
      </c>
    </row>
    <row r="23" spans="1:9">
      <c r="A23" s="8" t="s">
        <v>66</v>
      </c>
      <c r="B23" s="29" t="s">
        <v>67</v>
      </c>
      <c r="C23" s="15">
        <v>80745.600000000006</v>
      </c>
      <c r="D23" s="16">
        <v>-0.41026507945943808</v>
      </c>
      <c r="E23" s="15">
        <v>47618.5</v>
      </c>
      <c r="F23" s="16">
        <v>0.26583155706290623</v>
      </c>
      <c r="G23" s="15">
        <v>60277</v>
      </c>
      <c r="H23" s="16">
        <v>-1.6490535361746602E-2</v>
      </c>
      <c r="I23" s="17">
        <v>59283</v>
      </c>
    </row>
    <row r="24" spans="1:9">
      <c r="A24" s="8" t="s">
        <v>68</v>
      </c>
      <c r="B24" s="29" t="s">
        <v>69</v>
      </c>
      <c r="C24" s="15">
        <v>68539.199999999997</v>
      </c>
      <c r="D24" s="16">
        <v>-4.0219319746947604E-2</v>
      </c>
      <c r="E24" s="15">
        <v>65782.600000000006</v>
      </c>
      <c r="F24" s="16">
        <v>9.0972384794763259E-2</v>
      </c>
      <c r="G24" s="15">
        <v>71767</v>
      </c>
      <c r="H24" s="16">
        <v>-2.718519653879917E-2</v>
      </c>
      <c r="I24" s="17">
        <v>69816</v>
      </c>
    </row>
    <row r="25" spans="1:9">
      <c r="A25" s="8" t="s">
        <v>70</v>
      </c>
      <c r="B25" s="29" t="s">
        <v>71</v>
      </c>
      <c r="C25" s="15">
        <v>409266.7</v>
      </c>
      <c r="D25" s="16">
        <v>5.280224362255715E-2</v>
      </c>
      <c r="E25" s="15">
        <v>430876.9</v>
      </c>
      <c r="F25" s="16">
        <v>2.1887922049197268E-3</v>
      </c>
      <c r="G25" s="15">
        <v>431820</v>
      </c>
      <c r="H25" s="16">
        <v>4.7262748367375297E-2</v>
      </c>
      <c r="I25" s="17">
        <v>452229</v>
      </c>
    </row>
    <row r="26" spans="1:9">
      <c r="A26" s="59" t="s">
        <v>72</v>
      </c>
      <c r="B26" s="29" t="s">
        <v>73</v>
      </c>
      <c r="C26" s="15">
        <v>5364.3</v>
      </c>
      <c r="D26" s="16">
        <v>2.5106351248065915</v>
      </c>
      <c r="E26" s="15">
        <v>18832.099999999999</v>
      </c>
      <c r="F26" s="16">
        <v>-0.99362790129619105</v>
      </c>
      <c r="G26" s="15">
        <v>120</v>
      </c>
      <c r="H26" s="16">
        <v>-0.96666666666666667</v>
      </c>
      <c r="I26" s="17">
        <v>4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88242.7</v>
      </c>
      <c r="D28" s="16">
        <v>-5.3258796478348885E-2</v>
      </c>
      <c r="E28" s="20">
        <v>83543</v>
      </c>
      <c r="F28" s="16">
        <v>0.15808625498246412</v>
      </c>
      <c r="G28" s="20">
        <v>96750</v>
      </c>
      <c r="H28" s="16">
        <v>-1.2206718346253229E-2</v>
      </c>
      <c r="I28" s="21">
        <v>95569</v>
      </c>
    </row>
    <row r="29" spans="1:9">
      <c r="A29" s="51" t="s">
        <v>77</v>
      </c>
      <c r="B29" s="52" t="s">
        <v>78</v>
      </c>
      <c r="C29" s="24">
        <v>1167625.7</v>
      </c>
      <c r="D29" s="53">
        <v>1.607878278116129E-3</v>
      </c>
      <c r="E29" s="24">
        <v>1169503.1000000001</v>
      </c>
      <c r="F29" s="53">
        <v>1.7356858652191606E-2</v>
      </c>
      <c r="G29" s="24">
        <v>1189802</v>
      </c>
      <c r="H29" s="54">
        <v>2.9401530674851781E-2</v>
      </c>
      <c r="I29" s="26">
        <v>1224784</v>
      </c>
    </row>
    <row r="30" spans="1:9">
      <c r="A30" s="50" t="s">
        <v>79</v>
      </c>
      <c r="B30" s="32" t="s">
        <v>80</v>
      </c>
      <c r="C30" s="33">
        <v>-48277.90000000014</v>
      </c>
      <c r="D30" s="136">
        <v>0</v>
      </c>
      <c r="E30" s="33">
        <v>-92963.499999999767</v>
      </c>
      <c r="F30" s="136">
        <v>0</v>
      </c>
      <c r="G30" s="34">
        <v>-94820</v>
      </c>
      <c r="H30" s="137">
        <v>0</v>
      </c>
      <c r="I30" s="35">
        <v>-100668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50432.800000000003</v>
      </c>
      <c r="D32" s="16">
        <v>0.39751510921463812</v>
      </c>
      <c r="E32" s="15">
        <v>70480.600000000006</v>
      </c>
      <c r="F32" s="16">
        <v>-0.18508071724701555</v>
      </c>
      <c r="G32" s="15">
        <v>57436</v>
      </c>
      <c r="H32" s="16">
        <v>0.31213872832369943</v>
      </c>
      <c r="I32" s="17">
        <v>75364</v>
      </c>
    </row>
    <row r="33" spans="1:9">
      <c r="A33" s="59" t="s">
        <v>84</v>
      </c>
      <c r="B33" s="29" t="s">
        <v>85</v>
      </c>
      <c r="C33" s="15">
        <v>15488.1</v>
      </c>
      <c r="D33" s="16">
        <v>-1</v>
      </c>
      <c r="E33" s="15">
        <v>0</v>
      </c>
      <c r="F33" s="16" t="s">
        <v>48</v>
      </c>
      <c r="G33" s="15">
        <v>891</v>
      </c>
      <c r="H33" s="16">
        <v>-1</v>
      </c>
      <c r="I33" s="17">
        <v>0</v>
      </c>
    </row>
    <row r="34" spans="1:9">
      <c r="A34" s="8" t="s">
        <v>86</v>
      </c>
      <c r="B34" s="29" t="s">
        <v>87</v>
      </c>
      <c r="C34" s="15">
        <v>30987.1</v>
      </c>
      <c r="D34" s="16">
        <v>0.35287264700472132</v>
      </c>
      <c r="E34" s="15">
        <v>41921.599999999999</v>
      </c>
      <c r="F34" s="16">
        <v>-0.20191500324415096</v>
      </c>
      <c r="G34" s="15">
        <v>33457</v>
      </c>
      <c r="H34" s="16">
        <v>0.5053053172729175</v>
      </c>
      <c r="I34" s="17">
        <v>50363</v>
      </c>
    </row>
    <row r="35" spans="1:9">
      <c r="A35" s="51" t="s">
        <v>88</v>
      </c>
      <c r="B35" s="52" t="s">
        <v>89</v>
      </c>
      <c r="C35" s="24">
        <v>96908</v>
      </c>
      <c r="D35" s="54">
        <v>0.15988566475419999</v>
      </c>
      <c r="E35" s="24">
        <v>112402.20000000001</v>
      </c>
      <c r="F35" s="54">
        <v>-0.18343235274754416</v>
      </c>
      <c r="G35" s="24">
        <v>91784</v>
      </c>
      <c r="H35" s="54">
        <v>0.36981391092129345</v>
      </c>
      <c r="I35" s="26">
        <v>125727</v>
      </c>
    </row>
    <row r="36" spans="1:9">
      <c r="A36" s="8" t="s">
        <v>90</v>
      </c>
      <c r="B36" s="29" t="s">
        <v>91</v>
      </c>
      <c r="C36" s="15">
        <v>0</v>
      </c>
      <c r="D36" s="16" t="s">
        <v>48</v>
      </c>
      <c r="E36" s="15">
        <v>0</v>
      </c>
      <c r="F36" s="16" t="s">
        <v>48</v>
      </c>
      <c r="G36" s="15">
        <v>0</v>
      </c>
      <c r="H36" s="16" t="s">
        <v>48</v>
      </c>
      <c r="I36" s="17">
        <v>0</v>
      </c>
    </row>
    <row r="37" spans="1:9">
      <c r="A37" s="8" t="s">
        <v>92</v>
      </c>
      <c r="B37" s="29" t="s">
        <v>93</v>
      </c>
      <c r="C37" s="15">
        <v>27876.799999999999</v>
      </c>
      <c r="D37" s="16">
        <v>0.27766816851288539</v>
      </c>
      <c r="E37" s="15">
        <v>35617.300000000003</v>
      </c>
      <c r="F37" s="16">
        <v>2.4109070592099824E-2</v>
      </c>
      <c r="G37" s="15">
        <v>36476</v>
      </c>
      <c r="H37" s="16">
        <v>6.7523851299484586E-2</v>
      </c>
      <c r="I37" s="17">
        <v>38939</v>
      </c>
    </row>
    <row r="38" spans="1:9">
      <c r="A38" s="51" t="s">
        <v>94</v>
      </c>
      <c r="B38" s="52" t="s">
        <v>95</v>
      </c>
      <c r="C38" s="24">
        <v>27876.799999999999</v>
      </c>
      <c r="D38" s="54">
        <v>0.27766816851288539</v>
      </c>
      <c r="E38" s="24">
        <v>35617.300000000003</v>
      </c>
      <c r="F38" s="54">
        <v>2.4109070592099824E-2</v>
      </c>
      <c r="G38" s="24">
        <v>36476</v>
      </c>
      <c r="H38" s="54">
        <v>6.7523851299484586E-2</v>
      </c>
      <c r="I38" s="26">
        <v>38939</v>
      </c>
    </row>
    <row r="39" spans="1:9">
      <c r="A39" s="36" t="s">
        <v>96</v>
      </c>
      <c r="B39" s="37" t="s">
        <v>3</v>
      </c>
      <c r="C39" s="38">
        <v>69031.199999999997</v>
      </c>
      <c r="D39" s="39">
        <v>0.11232167483688553</v>
      </c>
      <c r="E39" s="38">
        <v>76784.900000000009</v>
      </c>
      <c r="F39" s="39">
        <v>-0.2797021289342046</v>
      </c>
      <c r="G39" s="38">
        <v>55308</v>
      </c>
      <c r="H39" s="39">
        <v>0.56917624936718014</v>
      </c>
      <c r="I39" s="40">
        <v>86788</v>
      </c>
    </row>
    <row r="40" spans="1:9">
      <c r="A40" s="131" t="s">
        <v>0</v>
      </c>
      <c r="B40" s="29" t="s">
        <v>97</v>
      </c>
      <c r="C40" s="15">
        <v>28491.199999999866</v>
      </c>
      <c r="D40" s="16">
        <v>-1.6352979165496662</v>
      </c>
      <c r="E40" s="15">
        <v>-18100.399999999761</v>
      </c>
      <c r="F40" s="16">
        <v>0.22163046120529334</v>
      </c>
      <c r="G40" s="15">
        <v>-22112</v>
      </c>
      <c r="H40" s="16">
        <v>6.91931982633864E-3</v>
      </c>
      <c r="I40" s="17">
        <v>-22265</v>
      </c>
    </row>
    <row r="41" spans="1:9">
      <c r="A41" s="131" t="s">
        <v>0</v>
      </c>
      <c r="B41" s="29" t="s">
        <v>98</v>
      </c>
      <c r="C41" s="15">
        <v>-40540.000000000131</v>
      </c>
      <c r="D41" s="16">
        <v>1.3405352738036376</v>
      </c>
      <c r="E41" s="15">
        <v>-94885.29999999977</v>
      </c>
      <c r="F41" s="16">
        <v>-0.18406750044527248</v>
      </c>
      <c r="G41" s="15">
        <v>-77420</v>
      </c>
      <c r="H41" s="16">
        <v>0.40858951175406871</v>
      </c>
      <c r="I41" s="17">
        <v>-109053</v>
      </c>
    </row>
    <row r="42" spans="1:9">
      <c r="A42" s="141" t="s">
        <v>0</v>
      </c>
      <c r="B42" s="31" t="s">
        <v>99</v>
      </c>
      <c r="C42" s="20">
        <v>1145891.5</v>
      </c>
      <c r="D42" s="129">
        <v>6.1586284565336005E-2</v>
      </c>
      <c r="E42" s="20">
        <v>1216462.6999999997</v>
      </c>
      <c r="F42" s="129">
        <v>-1.1877635047913697E-2</v>
      </c>
      <c r="G42" s="20">
        <v>1202014</v>
      </c>
      <c r="H42" s="129">
        <v>6.1956849088280169E-2</v>
      </c>
      <c r="I42" s="21">
        <v>1276487</v>
      </c>
    </row>
    <row r="43" spans="1:9">
      <c r="A43" s="141">
        <v>0</v>
      </c>
      <c r="B43" s="31" t="s">
        <v>5</v>
      </c>
      <c r="C43" s="66">
        <v>0.4127293165988693</v>
      </c>
      <c r="D43" s="142">
        <v>0</v>
      </c>
      <c r="E43" s="66" t="s">
        <v>100</v>
      </c>
      <c r="F43" s="234">
        <v>0</v>
      </c>
      <c r="G43" s="66" t="s">
        <v>100</v>
      </c>
      <c r="H43" s="234">
        <v>0</v>
      </c>
      <c r="I43" s="235" t="s">
        <v>100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6" customWidth="1"/>
    <col min="3" max="3" width="11.5" bestFit="1" customWidth="1"/>
    <col min="4" max="4" width="7.6640625" customWidth="1"/>
    <col min="5" max="5" width="12.33203125" bestFit="1" customWidth="1"/>
    <col min="6" max="6" width="6.5" customWidth="1"/>
    <col min="7" max="7" width="11.5" bestFit="1" customWidth="1"/>
    <col min="8" max="8" width="6" customWidth="1"/>
    <col min="9" max="9" width="11.5" bestFit="1" customWidth="1"/>
  </cols>
  <sheetData>
    <row r="1" spans="1:9">
      <c r="A1" s="5" t="s">
        <v>20</v>
      </c>
      <c r="B1" s="6" t="s">
        <v>108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52227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20056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3112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443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0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39</v>
      </c>
      <c r="C9" s="15">
        <v>11036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171152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21631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17207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43457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1194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1686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56</v>
      </c>
      <c r="C17" s="15">
        <v>12629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29324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296867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70690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10164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19003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32818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129969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3612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29324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295580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80</v>
      </c>
      <c r="C30" s="33">
        <v>-1287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68635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109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24472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93216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0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93</v>
      </c>
      <c r="C37" s="15">
        <v>71424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71424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21792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9749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-12043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337094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0.44736600587371511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0.1640625" style="252" customWidth="1"/>
    <col min="7" max="16384" width="11.5" style="252"/>
  </cols>
  <sheetData>
    <row r="1" spans="1:55" s="243" customFormat="1" ht="18" customHeight="1">
      <c r="A1" s="237" t="s">
        <v>220</v>
      </c>
      <c r="B1" s="532" t="s">
        <v>454</v>
      </c>
      <c r="C1" s="532" t="s">
        <v>108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54007</v>
      </c>
      <c r="F4" s="258">
        <v>52737</v>
      </c>
      <c r="G4" s="259">
        <v>54248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25908</v>
      </c>
      <c r="F5" s="266">
        <v>26066</v>
      </c>
      <c r="G5" s="267">
        <v>25921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2973</v>
      </c>
      <c r="F6" s="272">
        <v>3567</v>
      </c>
      <c r="G6" s="273">
        <v>3313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0</v>
      </c>
      <c r="F7" s="272">
        <v>0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12234</v>
      </c>
      <c r="F8" s="266">
        <v>7041</v>
      </c>
      <c r="G8" s="276">
        <v>14330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0</v>
      </c>
      <c r="F9" s="266">
        <v>629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101</v>
      </c>
      <c r="F11" s="275">
        <v>418</v>
      </c>
      <c r="G11" s="277">
        <v>1</v>
      </c>
    </row>
    <row r="12" spans="1:55" s="285" customFormat="1" ht="14">
      <c r="A12" s="278">
        <v>351</v>
      </c>
      <c r="B12" s="279"/>
      <c r="C12" s="280" t="s">
        <v>232</v>
      </c>
      <c r="D12" s="282"/>
      <c r="E12" s="282">
        <v>10</v>
      </c>
      <c r="F12" s="283"/>
      <c r="G12" s="482">
        <v>50</v>
      </c>
    </row>
    <row r="13" spans="1:55" s="260" customFormat="1" ht="12.75" customHeight="1">
      <c r="A13" s="261">
        <v>36</v>
      </c>
      <c r="B13" s="262"/>
      <c r="C13" s="263" t="s">
        <v>233</v>
      </c>
      <c r="D13" s="271"/>
      <c r="E13" s="323">
        <v>130619</v>
      </c>
      <c r="F13" s="286">
        <v>133887</v>
      </c>
      <c r="G13" s="276">
        <v>135479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/>
      <c r="E14" s="323">
        <v>37031</v>
      </c>
      <c r="F14" s="286">
        <v>33271</v>
      </c>
      <c r="G14" s="276">
        <v>341753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/>
      <c r="E15" s="323">
        <v>16925</v>
      </c>
      <c r="F15" s="286">
        <v>20048</v>
      </c>
      <c r="G15" s="276">
        <v>19105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>
        <v>0</v>
      </c>
      <c r="F16" s="295">
        <v>5472</v>
      </c>
      <c r="G16" s="296">
        <v>0</v>
      </c>
    </row>
    <row r="17" spans="1:7" s="299" customFormat="1">
      <c r="A17" s="261">
        <v>37</v>
      </c>
      <c r="B17" s="262"/>
      <c r="C17" s="263" t="s">
        <v>240</v>
      </c>
      <c r="D17" s="316"/>
      <c r="E17" s="264">
        <v>36950</v>
      </c>
      <c r="F17" s="286">
        <v>38376</v>
      </c>
      <c r="G17" s="298">
        <v>38295</v>
      </c>
    </row>
    <row r="18" spans="1:7" s="299" customFormat="1">
      <c r="A18" s="322" t="s">
        <v>241</v>
      </c>
      <c r="B18" s="269"/>
      <c r="C18" s="270" t="s">
        <v>242</v>
      </c>
      <c r="D18" s="485"/>
      <c r="E18" s="323">
        <v>1073</v>
      </c>
      <c r="F18" s="286">
        <v>788</v>
      </c>
      <c r="G18" s="298">
        <v>722</v>
      </c>
    </row>
    <row r="19" spans="1:7" s="299" customFormat="1">
      <c r="A19" s="322" t="s">
        <v>243</v>
      </c>
      <c r="B19" s="269"/>
      <c r="C19" s="270" t="s">
        <v>244</v>
      </c>
      <c r="D19" s="485"/>
      <c r="E19" s="323">
        <v>286</v>
      </c>
      <c r="F19" s="286">
        <v>1003</v>
      </c>
      <c r="G19" s="298">
        <v>1277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31288</v>
      </c>
      <c r="F20" s="307">
        <v>22559</v>
      </c>
      <c r="G20" s="308">
        <v>22942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259829</v>
      </c>
      <c r="F21" s="311">
        <f>F4+F5+SUM(F8:F13)+F17</f>
        <v>259154</v>
      </c>
      <c r="G21" s="311">
        <f>G4+G5+SUM(G8:G13)+G17</f>
        <v>268324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69210</v>
      </c>
      <c r="F22" s="266">
        <v>68369</v>
      </c>
      <c r="G22" s="276">
        <v>70400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14640</v>
      </c>
      <c r="F23" s="266">
        <v>15026</v>
      </c>
      <c r="G23" s="276">
        <v>15305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4307</v>
      </c>
      <c r="F24" s="266">
        <v>7416</v>
      </c>
      <c r="G24" s="276">
        <v>7324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17478</v>
      </c>
      <c r="F25" s="266">
        <v>17121</v>
      </c>
      <c r="G25" s="276">
        <v>17163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1138</v>
      </c>
      <c r="F26" s="317">
        <v>1130</v>
      </c>
      <c r="G26" s="298">
        <v>1377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1095</v>
      </c>
      <c r="F27" s="317">
        <v>1161</v>
      </c>
      <c r="G27" s="298">
        <v>1175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0</v>
      </c>
      <c r="F28" s="317">
        <v>0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994</v>
      </c>
      <c r="F29" s="317">
        <v>1377</v>
      </c>
      <c r="G29" s="298">
        <v>1067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603</v>
      </c>
      <c r="F30" s="264">
        <v>556</v>
      </c>
      <c r="G30" s="319">
        <v>380</v>
      </c>
    </row>
    <row r="31" spans="1:7" s="285" customFormat="1" ht="28">
      <c r="A31" s="278">
        <v>451</v>
      </c>
      <c r="B31" s="279"/>
      <c r="C31" s="280" t="s">
        <v>258</v>
      </c>
      <c r="D31" s="281"/>
      <c r="E31" s="281">
        <v>40</v>
      </c>
      <c r="F31" s="320">
        <v>61</v>
      </c>
      <c r="G31" s="276">
        <v>40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83508</v>
      </c>
      <c r="F32" s="266">
        <v>84371</v>
      </c>
      <c r="G32" s="276">
        <v>86423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/>
      <c r="F33" s="266"/>
      <c r="G33" s="273"/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36950</v>
      </c>
      <c r="F34" s="266">
        <v>38376</v>
      </c>
      <c r="G34" s="276">
        <v>38295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31288</v>
      </c>
      <c r="F35" s="307">
        <v>22559</v>
      </c>
      <c r="G35" s="486">
        <v>22942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229963</v>
      </c>
      <c r="F36" s="311">
        <f>F22+F23+F24+F25+F26+F27+F28+F29+F30+F31+F32+F34</f>
        <v>234964</v>
      </c>
      <c r="G36" s="311">
        <f>G22+G23+G24+G25+G26+G27+G28+G29+G30+G31+G32+G34</f>
        <v>238949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-29866</v>
      </c>
      <c r="F37" s="311">
        <f>F36-F21</f>
        <v>-24190</v>
      </c>
      <c r="G37" s="311">
        <f>G36-G21</f>
        <v>-29375</v>
      </c>
    </row>
    <row r="38" spans="1:7" s="285" customFormat="1" ht="15" customHeight="1">
      <c r="A38" s="274">
        <v>340</v>
      </c>
      <c r="B38" s="262"/>
      <c r="C38" s="263" t="s">
        <v>265</v>
      </c>
      <c r="D38" s="275"/>
      <c r="E38" s="264">
        <v>462</v>
      </c>
      <c r="F38" s="286">
        <v>536</v>
      </c>
      <c r="G38" s="276">
        <v>368</v>
      </c>
    </row>
    <row r="39" spans="1:7" s="285" customFormat="1" ht="15" customHeight="1">
      <c r="A39" s="274">
        <v>341</v>
      </c>
      <c r="B39" s="262"/>
      <c r="C39" s="263" t="s">
        <v>266</v>
      </c>
      <c r="D39" s="275"/>
      <c r="E39" s="275">
        <v>0</v>
      </c>
      <c r="F39" s="266">
        <v>0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275"/>
      <c r="E40" s="275">
        <v>0</v>
      </c>
      <c r="F40" s="266">
        <v>0</v>
      </c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275"/>
      <c r="E41" s="275">
        <v>0</v>
      </c>
      <c r="F41" s="266">
        <v>0</v>
      </c>
      <c r="G41" s="276">
        <v>0</v>
      </c>
    </row>
    <row r="42" spans="1:7" s="285" customFormat="1" ht="15" customHeight="1">
      <c r="A42" s="274">
        <v>344</v>
      </c>
      <c r="B42" s="262"/>
      <c r="C42" s="263" t="s">
        <v>269</v>
      </c>
      <c r="D42" s="275"/>
      <c r="E42" s="275">
        <v>0</v>
      </c>
      <c r="F42" s="266">
        <v>0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/>
      <c r="E43" s="275">
        <v>0</v>
      </c>
      <c r="F43" s="266">
        <v>0</v>
      </c>
      <c r="G43" s="276">
        <v>0</v>
      </c>
    </row>
    <row r="44" spans="1:7" s="260" customFormat="1" ht="15" customHeight="1">
      <c r="A44" s="261">
        <v>440</v>
      </c>
      <c r="B44" s="262"/>
      <c r="C44" s="263" t="s">
        <v>271</v>
      </c>
      <c r="D44" s="275"/>
      <c r="E44" s="264">
        <v>2388</v>
      </c>
      <c r="F44" s="286">
        <v>2552</v>
      </c>
      <c r="G44" s="276">
        <v>1942</v>
      </c>
    </row>
    <row r="45" spans="1:7" s="260" customFormat="1" ht="15" customHeight="1">
      <c r="A45" s="261">
        <v>441</v>
      </c>
      <c r="B45" s="262"/>
      <c r="C45" s="263" t="s">
        <v>272</v>
      </c>
      <c r="D45" s="275"/>
      <c r="E45" s="264">
        <v>0</v>
      </c>
      <c r="F45" s="286">
        <v>0</v>
      </c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275"/>
      <c r="E46" s="264">
        <v>0</v>
      </c>
      <c r="F46" s="286">
        <v>0</v>
      </c>
      <c r="G46" s="276">
        <v>0</v>
      </c>
    </row>
    <row r="47" spans="1:7" s="260" customFormat="1" ht="15" customHeight="1">
      <c r="A47" s="261">
        <v>443</v>
      </c>
      <c r="B47" s="262"/>
      <c r="C47" s="263" t="s">
        <v>274</v>
      </c>
      <c r="D47" s="275"/>
      <c r="E47" s="264">
        <v>0</v>
      </c>
      <c r="F47" s="286">
        <v>0</v>
      </c>
      <c r="G47" s="276">
        <v>0</v>
      </c>
    </row>
    <row r="48" spans="1:7" s="260" customFormat="1" ht="15" customHeight="1">
      <c r="A48" s="261">
        <v>444</v>
      </c>
      <c r="B48" s="262"/>
      <c r="C48" s="263" t="s">
        <v>269</v>
      </c>
      <c r="D48" s="275"/>
      <c r="E48" s="264">
        <v>0</v>
      </c>
      <c r="F48" s="286">
        <v>15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275"/>
      <c r="E49" s="264">
        <v>308</v>
      </c>
      <c r="F49" s="286">
        <v>596</v>
      </c>
      <c r="G49" s="276">
        <v>232</v>
      </c>
    </row>
    <row r="50" spans="1:7" s="260" customFormat="1" ht="15" customHeight="1">
      <c r="A50" s="261">
        <v>446</v>
      </c>
      <c r="B50" s="262"/>
      <c r="C50" s="263" t="s">
        <v>276</v>
      </c>
      <c r="D50" s="275"/>
      <c r="E50" s="264">
        <v>10954</v>
      </c>
      <c r="F50" s="286">
        <v>9665</v>
      </c>
      <c r="G50" s="276">
        <v>10954</v>
      </c>
    </row>
    <row r="51" spans="1:7" s="260" customFormat="1" ht="15" customHeight="1">
      <c r="A51" s="261">
        <v>447</v>
      </c>
      <c r="B51" s="262"/>
      <c r="C51" s="263" t="s">
        <v>277</v>
      </c>
      <c r="D51" s="275"/>
      <c r="E51" s="264">
        <v>4617</v>
      </c>
      <c r="F51" s="286">
        <v>4704</v>
      </c>
      <c r="G51" s="276">
        <v>4650</v>
      </c>
    </row>
    <row r="52" spans="1:7" s="260" customFormat="1" ht="15" customHeight="1">
      <c r="A52" s="261">
        <v>448</v>
      </c>
      <c r="B52" s="262"/>
      <c r="C52" s="263" t="s">
        <v>278</v>
      </c>
      <c r="D52" s="275"/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275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/>
      <c r="E54" s="331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17805</v>
      </c>
      <c r="F55" s="311">
        <f>SUM(F44:F53)-SUM(F38:F43)</f>
        <v>16996</v>
      </c>
      <c r="G55" s="311">
        <f>SUM(G44:G53)-SUM(G38:G43)</f>
        <v>17410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-12061</v>
      </c>
      <c r="F56" s="311">
        <f>F55+F37</f>
        <v>-7194</v>
      </c>
      <c r="G56" s="311">
        <f>G55+G37</f>
        <v>-11965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>
        <v>0</v>
      </c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343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346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346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346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346">
        <v>0</v>
      </c>
      <c r="F63" s="508">
        <v>0</v>
      </c>
      <c r="G63" s="482">
        <v>0</v>
      </c>
    </row>
    <row r="64" spans="1:7" s="285" customFormat="1">
      <c r="A64" s="322">
        <v>389</v>
      </c>
      <c r="B64" s="533"/>
      <c r="C64" s="270" t="s">
        <v>57</v>
      </c>
      <c r="D64" s="271"/>
      <c r="E64" s="271">
        <v>0</v>
      </c>
      <c r="F64" s="272">
        <v>0</v>
      </c>
      <c r="G64" s="273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66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70" t="s">
        <v>301</v>
      </c>
      <c r="D73" s="271"/>
      <c r="E73" s="323">
        <v>0</v>
      </c>
      <c r="F73" s="291">
        <v>0</v>
      </c>
      <c r="G73" s="273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10070</v>
      </c>
      <c r="F74" s="286">
        <v>5000</v>
      </c>
      <c r="G74" s="276">
        <v>10000</v>
      </c>
    </row>
    <row r="75" spans="1:7" s="285" customFormat="1">
      <c r="A75" s="357" t="s">
        <v>302</v>
      </c>
      <c r="B75" s="356"/>
      <c r="C75" s="303" t="s">
        <v>303</v>
      </c>
      <c r="D75" s="275"/>
      <c r="E75" s="275"/>
      <c r="F75" s="266"/>
      <c r="G75" s="276"/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10070</v>
      </c>
      <c r="F76" s="311">
        <f>SUM(F65:F74)-SUM(F57:F64)</f>
        <v>5000</v>
      </c>
      <c r="G76" s="311">
        <f>SUM(G65:G74)-SUM(G57:G64)</f>
        <v>10000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-1991</v>
      </c>
      <c r="F77" s="311">
        <f>F56+F76</f>
        <v>-2194</v>
      </c>
      <c r="G77" s="311">
        <f>G56+G76</f>
        <v>-1965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291579</v>
      </c>
      <c r="F78" s="361">
        <f>F20+F21+SUM(F38:F43)+SUM(F57:F64)</f>
        <v>282249</v>
      </c>
      <c r="G78" s="361">
        <f>G20+G21+SUM(G38:G43)+SUM(G57:G64)</f>
        <v>291634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289588</v>
      </c>
      <c r="F79" s="361">
        <f>F35+F36+SUM(F44:F53)+SUM(F65:F74)</f>
        <v>280055</v>
      </c>
      <c r="G79" s="361">
        <f>G35+G36+SUM(G44:G53)+SUM(G65:G74)</f>
        <v>289669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5"/>
      <c r="G81" s="366"/>
    </row>
    <row r="82" spans="1:7" s="260" customFormat="1">
      <c r="A82" s="367">
        <v>50</v>
      </c>
      <c r="B82" s="368"/>
      <c r="C82" s="368" t="s">
        <v>309</v>
      </c>
      <c r="D82" s="275"/>
      <c r="E82" s="275">
        <v>14540</v>
      </c>
      <c r="F82" s="266">
        <v>10313</v>
      </c>
      <c r="G82" s="276">
        <v>21035</v>
      </c>
    </row>
    <row r="83" spans="1:7" s="260" customFormat="1">
      <c r="A83" s="367">
        <v>51</v>
      </c>
      <c r="B83" s="368"/>
      <c r="C83" s="368" t="s">
        <v>310</v>
      </c>
      <c r="D83" s="275"/>
      <c r="E83" s="275">
        <v>33407</v>
      </c>
      <c r="F83" s="266">
        <v>33453</v>
      </c>
      <c r="G83" s="276">
        <v>11707</v>
      </c>
    </row>
    <row r="84" spans="1:7" s="260" customFormat="1">
      <c r="A84" s="367">
        <v>52</v>
      </c>
      <c r="B84" s="368"/>
      <c r="C84" s="368" t="s">
        <v>311</v>
      </c>
      <c r="D84" s="275"/>
      <c r="E84" s="275">
        <v>856</v>
      </c>
      <c r="F84" s="266">
        <v>667</v>
      </c>
      <c r="G84" s="276">
        <v>795</v>
      </c>
    </row>
    <row r="85" spans="1:7" s="260" customFormat="1">
      <c r="A85" s="369">
        <v>54</v>
      </c>
      <c r="B85" s="370"/>
      <c r="C85" s="370" t="s">
        <v>312</v>
      </c>
      <c r="D85" s="271"/>
      <c r="E85" s="271">
        <v>1668</v>
      </c>
      <c r="F85" s="266">
        <v>1086</v>
      </c>
      <c r="G85" s="276">
        <v>1119</v>
      </c>
    </row>
    <row r="86" spans="1:7" s="260" customFormat="1">
      <c r="A86" s="369">
        <v>55</v>
      </c>
      <c r="B86" s="370"/>
      <c r="C86" s="370" t="s">
        <v>313</v>
      </c>
      <c r="D86" s="271"/>
      <c r="E86" s="271">
        <v>87</v>
      </c>
      <c r="F86" s="266">
        <v>92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271"/>
      <c r="E87" s="271">
        <v>14723</v>
      </c>
      <c r="F87" s="266">
        <v>12771</v>
      </c>
      <c r="G87" s="276">
        <v>10703</v>
      </c>
    </row>
    <row r="88" spans="1:7" s="260" customFormat="1">
      <c r="A88" s="367">
        <v>57</v>
      </c>
      <c r="B88" s="368"/>
      <c r="C88" s="368" t="s">
        <v>315</v>
      </c>
      <c r="D88" s="275"/>
      <c r="E88" s="275">
        <v>16727</v>
      </c>
      <c r="F88" s="266">
        <v>14516</v>
      </c>
      <c r="G88" s="276">
        <v>14477</v>
      </c>
    </row>
    <row r="89" spans="1:7" s="260" customFormat="1">
      <c r="A89" s="367">
        <v>580</v>
      </c>
      <c r="B89" s="368"/>
      <c r="C89" s="368" t="s">
        <v>316</v>
      </c>
      <c r="D89" s="275"/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82008</v>
      </c>
      <c r="F95" s="376">
        <f>SUM(F82:F94)</f>
        <v>72898</v>
      </c>
      <c r="G95" s="376">
        <f>SUM(G82:G94)</f>
        <v>59836</v>
      </c>
    </row>
    <row r="96" spans="1:7" s="260" customFormat="1">
      <c r="A96" s="367">
        <v>60</v>
      </c>
      <c r="B96" s="368"/>
      <c r="C96" s="368" t="s">
        <v>323</v>
      </c>
      <c r="D96" s="275"/>
      <c r="E96" s="275"/>
      <c r="F96" s="266"/>
      <c r="G96" s="276"/>
    </row>
    <row r="97" spans="1:7" s="260" customFormat="1">
      <c r="A97" s="367">
        <v>61</v>
      </c>
      <c r="B97" s="368"/>
      <c r="C97" s="368" t="s">
        <v>324</v>
      </c>
      <c r="D97" s="275"/>
      <c r="E97" s="275">
        <v>32405</v>
      </c>
      <c r="F97" s="266">
        <v>32537</v>
      </c>
      <c r="G97" s="276">
        <v>11506</v>
      </c>
    </row>
    <row r="98" spans="1:7" s="260" customFormat="1">
      <c r="A98" s="367">
        <v>62</v>
      </c>
      <c r="B98" s="368"/>
      <c r="C98" s="368" t="s">
        <v>325</v>
      </c>
      <c r="D98" s="275"/>
      <c r="E98" s="275"/>
      <c r="F98" s="266"/>
      <c r="G98" s="276"/>
    </row>
    <row r="99" spans="1:7" s="260" customFormat="1">
      <c r="A99" s="367">
        <v>63</v>
      </c>
      <c r="B99" s="368"/>
      <c r="C99" s="368" t="s">
        <v>326</v>
      </c>
      <c r="D99" s="275"/>
      <c r="E99" s="275">
        <v>2250</v>
      </c>
      <c r="F99" s="266">
        <v>1445</v>
      </c>
      <c r="G99" s="276">
        <v>755</v>
      </c>
    </row>
    <row r="100" spans="1:7" s="260" customFormat="1">
      <c r="A100" s="369">
        <v>64</v>
      </c>
      <c r="B100" s="370"/>
      <c r="C100" s="370" t="s">
        <v>327</v>
      </c>
      <c r="D100" s="271"/>
      <c r="E100" s="271">
        <v>956</v>
      </c>
      <c r="F100" s="266">
        <v>967</v>
      </c>
      <c r="G100" s="276">
        <v>966</v>
      </c>
    </row>
    <row r="101" spans="1:7" s="260" customFormat="1">
      <c r="A101" s="369">
        <v>65</v>
      </c>
      <c r="B101" s="370"/>
      <c r="C101" s="370" t="s">
        <v>328</v>
      </c>
      <c r="D101" s="271"/>
      <c r="E101" s="271"/>
      <c r="F101" s="266"/>
      <c r="G101" s="276"/>
    </row>
    <row r="102" spans="1:7" s="260" customFormat="1">
      <c r="A102" s="369">
        <v>66</v>
      </c>
      <c r="B102" s="370"/>
      <c r="C102" s="370" t="s">
        <v>329</v>
      </c>
      <c r="D102" s="271"/>
      <c r="E102" s="271"/>
      <c r="F102" s="266"/>
      <c r="G102" s="276"/>
    </row>
    <row r="103" spans="1:7" s="260" customFormat="1">
      <c r="A103" s="367">
        <v>67</v>
      </c>
      <c r="B103" s="368"/>
      <c r="C103" s="368" t="s">
        <v>315</v>
      </c>
      <c r="D103" s="275"/>
      <c r="E103" s="275">
        <v>16727</v>
      </c>
      <c r="F103" s="286">
        <v>14516</v>
      </c>
      <c r="G103" s="267">
        <v>14477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>
        <v>0</v>
      </c>
      <c r="F104" s="286">
        <v>0</v>
      </c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>
        <v>3650</v>
      </c>
      <c r="F105" s="307">
        <v>2110</v>
      </c>
      <c r="G105" s="486">
        <v>3475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55988</v>
      </c>
      <c r="F106" s="376">
        <f>SUM(F96:F105)</f>
        <v>51575</v>
      </c>
      <c r="G106" s="376">
        <f>SUM(G96:G105)</f>
        <v>31179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26020</v>
      </c>
      <c r="F107" s="376">
        <f>(F95-F88)-(F106-F103)</f>
        <v>21323</v>
      </c>
      <c r="G107" s="376">
        <f>(G95-G88)-(G106-G103)</f>
        <v>28657</v>
      </c>
    </row>
    <row r="108" spans="1:7">
      <c r="A108" s="387" t="s">
        <v>336</v>
      </c>
      <c r="B108" s="387"/>
      <c r="C108" s="388" t="s">
        <v>337</v>
      </c>
      <c r="D108" s="376">
        <f>D107-D85-D86+D100+D101</f>
        <v>0</v>
      </c>
      <c r="E108" s="376">
        <f>E107-E85-E86+E100+E101</f>
        <v>25221</v>
      </c>
      <c r="F108" s="376">
        <f>F107-F85-F86+F100+F101</f>
        <v>21112</v>
      </c>
      <c r="G108" s="376">
        <f>G107-G85-G86+G100+G101</f>
        <v>28504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394">
        <f>E112+E117</f>
        <v>0</v>
      </c>
      <c r="F111" s="394">
        <f>F112+F117</f>
        <v>187284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394">
        <f>E113+E114+E115+E116</f>
        <v>0</v>
      </c>
      <c r="F112" s="394">
        <f>F113+F114+F115+F116</f>
        <v>116313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275"/>
      <c r="F113" s="275">
        <v>84513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26500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275"/>
      <c r="F115" s="275">
        <v>5036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275"/>
      <c r="F116" s="275">
        <v>264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394">
        <f>E118+E119+E120</f>
        <v>0</v>
      </c>
      <c r="F117" s="394">
        <f>F118+F119+F120</f>
        <v>70971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275"/>
      <c r="F118" s="275">
        <v>70653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275"/>
      <c r="F119" s="275">
        <v>318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112856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275"/>
      <c r="F122" s="275">
        <v>53928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275"/>
      <c r="F123" s="275">
        <v>7733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412"/>
      <c r="F124" s="275">
        <v>22165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412"/>
      <c r="F125" s="275">
        <v>29030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416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412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412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412"/>
      <c r="F129" s="275">
        <v>0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20"/>
      <c r="F130" s="306">
        <v>0</v>
      </c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300140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104693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58966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42786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5770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43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412"/>
      <c r="F138" s="275">
        <v>9398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412"/>
      <c r="F139" s="275">
        <v>1012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45727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412"/>
      <c r="F141" s="275">
        <v>0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43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412"/>
      <c r="F143" s="275">
        <v>4239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416"/>
      <c r="F144" s="281">
        <v>41488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>
        <v>195447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>
        <v>151886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300140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509"/>
      <c r="C150" s="509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-359</v>
      </c>
      <c r="F150" s="442">
        <f>F77+SUM(F8:F12)-F30-F31+F16-F33+F59+F63-F73+F64-F74-F54+F20-F35</f>
        <v>5749</v>
      </c>
      <c r="G150" s="442">
        <f>G77+SUM(G8:G12)-G30-G31+G16-G33+G59+G63-G73+G64-G74-G54+G20-G35</f>
        <v>1996</v>
      </c>
    </row>
    <row r="151" spans="1:7">
      <c r="A151" s="510" t="s">
        <v>387</v>
      </c>
      <c r="B151" s="510"/>
      <c r="C151" s="510" t="s">
        <v>388</v>
      </c>
      <c r="D151" s="445">
        <f>IF(D177=0,0,D150/D177)</f>
        <v>0</v>
      </c>
      <c r="E151" s="445">
        <f>IF(E177=0,0,E150/E177)</f>
        <v>-1.6991669822037107E-3</v>
      </c>
      <c r="F151" s="445">
        <f>IF(F177=0,0,F150/F177)</f>
        <v>2.6849430226041471E-2</v>
      </c>
      <c r="G151" s="445">
        <f>IF(G177=0,0,G150/G177)</f>
        <v>9.1378552593026664E-3</v>
      </c>
    </row>
    <row r="152" spans="1:7" s="328" customFormat="1" ht="28">
      <c r="A152" s="511" t="s">
        <v>389</v>
      </c>
      <c r="B152" s="511"/>
      <c r="C152" s="511" t="s">
        <v>390</v>
      </c>
      <c r="D152" s="504">
        <f>IF(D107=0,0,D150/D107)</f>
        <v>0</v>
      </c>
      <c r="E152" s="594" t="str">
        <f t="shared" ref="E152:G153" si="0">IF(IF(E107=0,0,E$150/E107)&lt;0,"negativ",(IF(E107=0,0,E$150/E107)))</f>
        <v>negativ</v>
      </c>
      <c r="F152" s="594">
        <f t="shared" si="0"/>
        <v>0.26961496975097315</v>
      </c>
      <c r="G152" s="594">
        <f t="shared" si="0"/>
        <v>6.9651394074746131E-2</v>
      </c>
    </row>
    <row r="153" spans="1:7" s="449" customFormat="1" ht="28">
      <c r="A153" s="512" t="s">
        <v>389</v>
      </c>
      <c r="B153" s="512"/>
      <c r="C153" s="512" t="s">
        <v>391</v>
      </c>
      <c r="D153" s="452">
        <f>IF(0=D108,0,D150/D108)</f>
        <v>0</v>
      </c>
      <c r="E153" s="592" t="str">
        <f t="shared" si="0"/>
        <v>negativ</v>
      </c>
      <c r="F153" s="592">
        <f t="shared" si="0"/>
        <v>0.27230958696475938</v>
      </c>
      <c r="G153" s="592">
        <f t="shared" si="0"/>
        <v>7.0025259612685936E-2</v>
      </c>
    </row>
    <row r="154" spans="1:7" s="449" customFormat="1" ht="28">
      <c r="A154" s="511" t="s">
        <v>392</v>
      </c>
      <c r="B154" s="511"/>
      <c r="C154" s="511" t="s">
        <v>393</v>
      </c>
      <c r="D154" s="456">
        <f>D150-D107</f>
        <v>0</v>
      </c>
      <c r="E154" s="456">
        <f>E150-E107</f>
        <v>-26379</v>
      </c>
      <c r="F154" s="456">
        <f>F150-F107</f>
        <v>-15574</v>
      </c>
      <c r="G154" s="456">
        <f>G150-G107</f>
        <v>-26661</v>
      </c>
    </row>
    <row r="155" spans="1:7" ht="28">
      <c r="A155" s="534" t="s">
        <v>394</v>
      </c>
      <c r="B155" s="534"/>
      <c r="C155" s="534" t="s">
        <v>395</v>
      </c>
      <c r="D155" s="455">
        <f>D150-D108</f>
        <v>0</v>
      </c>
      <c r="E155" s="455">
        <f>E150-E108</f>
        <v>-25580</v>
      </c>
      <c r="F155" s="455">
        <f>F150-F108</f>
        <v>-15363</v>
      </c>
      <c r="G155" s="455">
        <f>G150-G108</f>
        <v>-26508</v>
      </c>
    </row>
    <row r="156" spans="1:7">
      <c r="A156" s="509" t="s">
        <v>396</v>
      </c>
      <c r="B156" s="509"/>
      <c r="C156" s="509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48556</v>
      </c>
      <c r="G156" s="457">
        <f>G135+G136-G137+G141-G142</f>
        <v>0</v>
      </c>
    </row>
    <row r="157" spans="1:7">
      <c r="A157" s="514" t="s">
        <v>398</v>
      </c>
      <c r="B157" s="514"/>
      <c r="C157" s="514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0.22677003549411545</v>
      </c>
      <c r="G157" s="460">
        <f>IF(G177=0,0,G156/G177)</f>
        <v>0</v>
      </c>
    </row>
    <row r="158" spans="1:7">
      <c r="A158" s="509" t="s">
        <v>400</v>
      </c>
      <c r="B158" s="509"/>
      <c r="C158" s="509" t="s">
        <v>401</v>
      </c>
      <c r="D158" s="457">
        <f>D133-D142-D111</f>
        <v>0</v>
      </c>
      <c r="E158" s="457">
        <f>E133-E142-E111</f>
        <v>0</v>
      </c>
      <c r="F158" s="457">
        <f>F133-F142-F111</f>
        <v>-82591</v>
      </c>
      <c r="G158" s="457">
        <f>G133-G142-G111</f>
        <v>0</v>
      </c>
    </row>
    <row r="159" spans="1:7">
      <c r="A159" s="510" t="s">
        <v>402</v>
      </c>
      <c r="B159" s="510"/>
      <c r="C159" s="510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-112489</v>
      </c>
      <c r="G159" s="461">
        <f>G121-G123-G124-G142-G145</f>
        <v>0</v>
      </c>
    </row>
    <row r="160" spans="1:7">
      <c r="A160" s="510" t="s">
        <v>404</v>
      </c>
      <c r="B160" s="510"/>
      <c r="C160" s="510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-2275.2341597796144</v>
      </c>
      <c r="G160" s="462">
        <f>IF(G175=0,"-",1000*G158/G175)</f>
        <v>0</v>
      </c>
    </row>
    <row r="161" spans="1:7">
      <c r="A161" s="510" t="s">
        <v>404</v>
      </c>
      <c r="B161" s="510"/>
      <c r="C161" s="510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-3098.8705234159779</v>
      </c>
      <c r="G161" s="461">
        <f>IF(G175=0,0,1000*(G159/G175))</f>
        <v>0</v>
      </c>
    </row>
    <row r="162" spans="1:7">
      <c r="A162" s="514" t="s">
        <v>407</v>
      </c>
      <c r="B162" s="514"/>
      <c r="C162" s="514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-0.99035913424066191</v>
      </c>
      <c r="G162" s="460">
        <f>IF((G22+G23+G65+G66)=0,0,G158/(G22+G23+G65+G66))</f>
        <v>0</v>
      </c>
    </row>
    <row r="163" spans="1:7">
      <c r="A163" s="510" t="s">
        <v>409</v>
      </c>
      <c r="B163" s="510"/>
      <c r="C163" s="510" t="s">
        <v>380</v>
      </c>
      <c r="D163" s="442">
        <f>D145</f>
        <v>0</v>
      </c>
      <c r="E163" s="442">
        <f>E145</f>
        <v>0</v>
      </c>
      <c r="F163" s="442">
        <f>F145</f>
        <v>195447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0.68629187489268639</v>
      </c>
      <c r="G164" s="452">
        <f>IF(G178=0,0,G146/G178)</f>
        <v>0</v>
      </c>
    </row>
    <row r="165" spans="1:7">
      <c r="A165" s="515" t="s">
        <v>681</v>
      </c>
      <c r="B165" s="515"/>
      <c r="C165" s="515" t="s">
        <v>414</v>
      </c>
      <c r="D165" s="465">
        <f>IF(D177=0,0,D180/D177)</f>
        <v>0</v>
      </c>
      <c r="E165" s="465">
        <f>IF(E177=0,0,E180/E177)</f>
        <v>4.8788337750851951E-2</v>
      </c>
      <c r="F165" s="465">
        <f>IF(F177=0,0,F180/F177)</f>
        <v>5.1961516906407622E-2</v>
      </c>
      <c r="G165" s="465">
        <f>IF(G177=0,0,G180/G177)</f>
        <v>5.8398036917667741E-2</v>
      </c>
    </row>
    <row r="166" spans="1:7">
      <c r="A166" s="510" t="s">
        <v>415</v>
      </c>
      <c r="B166" s="510"/>
      <c r="C166" s="510" t="s">
        <v>282</v>
      </c>
      <c r="D166" s="442">
        <f>D55</f>
        <v>0</v>
      </c>
      <c r="E166" s="442">
        <f>E55</f>
        <v>17805</v>
      </c>
      <c r="F166" s="442">
        <f>F55</f>
        <v>16996</v>
      </c>
      <c r="G166" s="442">
        <f>G55</f>
        <v>17410</v>
      </c>
    </row>
    <row r="167" spans="1:7">
      <c r="A167" s="514" t="s">
        <v>416</v>
      </c>
      <c r="B167" s="514"/>
      <c r="C167" s="514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1.370645650455992E-2</v>
      </c>
      <c r="G167" s="460">
        <f>IF(0=G111,0,(G44+G45+G46+G47+G48)/G111)</f>
        <v>0</v>
      </c>
    </row>
    <row r="168" spans="1:7">
      <c r="A168" s="510" t="s">
        <v>418</v>
      </c>
      <c r="B168" s="509"/>
      <c r="C168" s="509" t="s">
        <v>419</v>
      </c>
      <c r="D168" s="442">
        <f>D38-D44</f>
        <v>0</v>
      </c>
      <c r="E168" s="442">
        <f>E38-E44</f>
        <v>-1926</v>
      </c>
      <c r="F168" s="442">
        <f>F38-F44</f>
        <v>-2016</v>
      </c>
      <c r="G168" s="442">
        <f>G38-G44</f>
        <v>-1574</v>
      </c>
    </row>
    <row r="169" spans="1:7">
      <c r="A169" s="514" t="s">
        <v>420</v>
      </c>
      <c r="B169" s="514"/>
      <c r="C169" s="514" t="s">
        <v>421</v>
      </c>
      <c r="D169" s="445">
        <f>IF(D177=0,0,D168/D177)</f>
        <v>0</v>
      </c>
      <c r="E169" s="445">
        <f>IF(E177=0,0,E168/E177)</f>
        <v>-9.1158652025747824E-3</v>
      </c>
      <c r="F169" s="445">
        <f>IF(F177=0,0,F168/F177)</f>
        <v>-9.4152811507565853E-3</v>
      </c>
      <c r="G169" s="445">
        <f>IF(G177=0,0,G168/G177)</f>
        <v>-7.2059038968649283E-3</v>
      </c>
    </row>
    <row r="170" spans="1:7">
      <c r="A170" s="510" t="s">
        <v>422</v>
      </c>
      <c r="B170" s="510"/>
      <c r="C170" s="510" t="s">
        <v>423</v>
      </c>
      <c r="D170" s="442">
        <f>SUM(D82:D87)+SUM(D89:D94)</f>
        <v>0</v>
      </c>
      <c r="E170" s="442">
        <f>SUM(E82:E87)+SUM(E89:E94)</f>
        <v>65281</v>
      </c>
      <c r="F170" s="442">
        <f>SUM(F82:F87)+SUM(F89:F94)</f>
        <v>58382</v>
      </c>
      <c r="G170" s="442">
        <f>SUM(G82:G87)+SUM(G89:G94)</f>
        <v>45359</v>
      </c>
    </row>
    <row r="171" spans="1:7">
      <c r="A171" s="510" t="s">
        <v>424</v>
      </c>
      <c r="B171" s="510"/>
      <c r="C171" s="510" t="s">
        <v>425</v>
      </c>
      <c r="D171" s="461">
        <f>SUM(D96:D102)+SUM(D104:D105)</f>
        <v>0</v>
      </c>
      <c r="E171" s="461">
        <f>SUM(E96:E102)+SUM(E104:E105)</f>
        <v>39261</v>
      </c>
      <c r="F171" s="461">
        <f>SUM(F96:F102)+SUM(F104:F105)</f>
        <v>37059</v>
      </c>
      <c r="G171" s="461">
        <f>SUM(G96:G102)+SUM(G104:G105)</f>
        <v>16702</v>
      </c>
    </row>
    <row r="172" spans="1:7">
      <c r="A172" s="515" t="s">
        <v>413</v>
      </c>
      <c r="B172" s="515"/>
      <c r="C172" s="515" t="s">
        <v>426</v>
      </c>
      <c r="D172" s="465">
        <f>IF(D184=0,0,D170/D184)</f>
        <v>0</v>
      </c>
      <c r="E172" s="465">
        <f>IF(E184=0,0,E170/E184)</f>
        <v>0.23628821798412464</v>
      </c>
      <c r="F172" s="465">
        <f>IF(F184=0,0,F170/F184)</f>
        <v>0.21936904439835272</v>
      </c>
      <c r="G172" s="465">
        <f>IF(G184=0,0,G170/G184)</f>
        <v>0.17353993304638929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455</v>
      </c>
      <c r="D175" s="470"/>
      <c r="E175" s="470">
        <v>36300</v>
      </c>
      <c r="F175" s="471">
        <v>36300</v>
      </c>
      <c r="G175" s="471">
        <v>36600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211280</v>
      </c>
      <c r="F177" s="472">
        <f>SUM(F22:F32)+SUM(F44:F53)+SUM(F65:F72)+F75</f>
        <v>214120</v>
      </c>
      <c r="G177" s="472">
        <f>SUM(G22:G32)+SUM(G44:G53)+SUM(G65:G72)+G75</f>
        <v>218432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223341</v>
      </c>
      <c r="F178" s="472">
        <f>F78-F17-F20-F59-F63-F64</f>
        <v>221314</v>
      </c>
      <c r="G178" s="472">
        <f>G78-G17-G20-G59-G63-G64</f>
        <v>230397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288622</v>
      </c>
      <c r="F179" s="472">
        <f>F178+F170</f>
        <v>279696</v>
      </c>
      <c r="G179" s="472">
        <f>G178+G170</f>
        <v>275756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10308</v>
      </c>
      <c r="F180" s="472">
        <f>F38-F44+F8+F9+F10+F16-F33</f>
        <v>11126</v>
      </c>
      <c r="G180" s="472">
        <f>G38-G44+G8+G9+G10+G16-G33</f>
        <v>12756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209542</v>
      </c>
      <c r="F181" s="475">
        <f>F22+F23+F24+F25+F26+F29+SUM(F44:F47)+SUM(F49:F53)-F54+F32-F33+SUM(F65:F70)+F72</f>
        <v>212327</v>
      </c>
      <c r="G181" s="475">
        <f>G22+G23+G24+G25+G26+G29+SUM(G44:G47)+SUM(G49:G53)-G54+G32-G33+SUM(G65:G70)+G72</f>
        <v>216837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248803</v>
      </c>
      <c r="F182" s="475">
        <f>F181+F171</f>
        <v>249386</v>
      </c>
      <c r="G182" s="475">
        <f>G181+G171</f>
        <v>233539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210996</v>
      </c>
      <c r="F183" s="475">
        <f>F4+F5-F7+F38+F39+F40+F41+F43+F13-F16+F57+F58+F60+F61+F62</f>
        <v>207754</v>
      </c>
      <c r="G183" s="475">
        <f>G4+G5-G7+G38+G39+G40+G41+G43+G13-G16+G57+G58+G60+G61+G62</f>
        <v>216016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276277</v>
      </c>
      <c r="F184" s="475">
        <f>F183+F170</f>
        <v>266136</v>
      </c>
      <c r="G184" s="475">
        <f>G183+G170</f>
        <v>261375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-1454</v>
      </c>
      <c r="F185" s="475">
        <f t="shared" si="1"/>
        <v>4573</v>
      </c>
      <c r="G185" s="475">
        <f t="shared" si="1"/>
        <v>821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-27474</v>
      </c>
      <c r="F186" s="475">
        <f t="shared" si="1"/>
        <v>-16750</v>
      </c>
      <c r="G186" s="475">
        <f t="shared" si="1"/>
        <v>-27836</v>
      </c>
    </row>
  </sheetData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0" customWidth="1"/>
    <col min="5" max="5" width="11.5" style="252" customWidth="1"/>
    <col min="6" max="6" width="12.6640625" style="252" customWidth="1"/>
    <col min="7" max="16384" width="11.5" style="252"/>
  </cols>
  <sheetData>
    <row r="1" spans="1:55" s="243" customFormat="1" ht="18" customHeight="1">
      <c r="A1" s="237" t="s">
        <v>220</v>
      </c>
      <c r="B1" s="532" t="s">
        <v>453</v>
      </c>
      <c r="C1" s="532" t="s">
        <v>109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481">
        <v>71127</v>
      </c>
      <c r="E4" s="257">
        <v>73591.100000000006</v>
      </c>
      <c r="F4" s="531">
        <v>72286.7</v>
      </c>
      <c r="G4" s="259">
        <v>74993.3</v>
      </c>
    </row>
    <row r="5" spans="1:55" s="260" customFormat="1" ht="12.75" customHeight="1">
      <c r="A5" s="261">
        <v>31</v>
      </c>
      <c r="B5" s="262"/>
      <c r="C5" s="263" t="s">
        <v>224</v>
      </c>
      <c r="D5" s="275">
        <v>25939.1</v>
      </c>
      <c r="E5" s="264">
        <v>26000.2</v>
      </c>
      <c r="F5" s="266">
        <v>26851.8</v>
      </c>
      <c r="G5" s="267">
        <v>26646.400000000001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>
        <v>4754.1000000000004</v>
      </c>
      <c r="E6" s="271">
        <v>4561.6000000000004</v>
      </c>
      <c r="F6" s="272">
        <v>5428.9</v>
      </c>
      <c r="G6" s="273">
        <v>4647.2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>
        <v>799.7</v>
      </c>
      <c r="E7" s="271">
        <v>250</v>
      </c>
      <c r="F7" s="272">
        <v>452.6</v>
      </c>
      <c r="G7" s="273">
        <v>750</v>
      </c>
    </row>
    <row r="8" spans="1:55" s="260" customFormat="1" ht="12.75" customHeight="1">
      <c r="A8" s="274">
        <v>330</v>
      </c>
      <c r="B8" s="262"/>
      <c r="C8" s="263" t="s">
        <v>228</v>
      </c>
      <c r="D8" s="275">
        <v>12020.5</v>
      </c>
      <c r="E8" s="275">
        <v>8915</v>
      </c>
      <c r="F8" s="266">
        <v>8712.6</v>
      </c>
      <c r="G8" s="276">
        <v>7898</v>
      </c>
    </row>
    <row r="9" spans="1:55" s="260" customFormat="1" ht="12.75" customHeight="1">
      <c r="A9" s="274">
        <v>332</v>
      </c>
      <c r="B9" s="262"/>
      <c r="C9" s="263" t="s">
        <v>229</v>
      </c>
      <c r="D9" s="275">
        <v>226</v>
      </c>
      <c r="E9" s="275">
        <v>388</v>
      </c>
      <c r="F9" s="266">
        <v>574.29999999999995</v>
      </c>
      <c r="G9" s="276">
        <v>673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234.3</v>
      </c>
      <c r="E11" s="275">
        <v>0</v>
      </c>
      <c r="F11" s="275">
        <v>228.7</v>
      </c>
      <c r="G11" s="277">
        <v>0.3</v>
      </c>
    </row>
    <row r="12" spans="1:55" s="285" customFormat="1" ht="14">
      <c r="A12" s="278">
        <v>351</v>
      </c>
      <c r="B12" s="279"/>
      <c r="C12" s="280" t="s">
        <v>232</v>
      </c>
      <c r="D12" s="282">
        <v>900.47</v>
      </c>
      <c r="E12" s="282">
        <v>244.1</v>
      </c>
      <c r="F12" s="283">
        <v>1090.7</v>
      </c>
      <c r="G12" s="482">
        <v>189.1</v>
      </c>
    </row>
    <row r="13" spans="1:55" s="260" customFormat="1" ht="12.75" customHeight="1">
      <c r="A13" s="261">
        <v>36</v>
      </c>
      <c r="B13" s="262"/>
      <c r="C13" s="263" t="s">
        <v>233</v>
      </c>
      <c r="D13" s="275">
        <v>192488</v>
      </c>
      <c r="E13" s="264">
        <v>191756</v>
      </c>
      <c r="F13" s="266">
        <v>191174.5</v>
      </c>
      <c r="G13" s="276">
        <v>194069.2</v>
      </c>
    </row>
    <row r="14" spans="1:55" s="355" customFormat="1" ht="14">
      <c r="A14" s="287" t="s">
        <v>234</v>
      </c>
      <c r="B14" s="354"/>
      <c r="C14" s="288" t="s">
        <v>235</v>
      </c>
      <c r="D14" s="404">
        <v>24664.3</v>
      </c>
      <c r="E14" s="530">
        <v>26415</v>
      </c>
      <c r="F14" s="312">
        <v>23434.400000000001</v>
      </c>
      <c r="G14" s="321">
        <v>26338</v>
      </c>
    </row>
    <row r="15" spans="1:55" s="355" customFormat="1" ht="14">
      <c r="A15" s="287" t="s">
        <v>236</v>
      </c>
      <c r="B15" s="354"/>
      <c r="C15" s="288" t="s">
        <v>237</v>
      </c>
      <c r="D15" s="404">
        <v>6656.2</v>
      </c>
      <c r="E15" s="530">
        <v>6643.7</v>
      </c>
      <c r="F15" s="312">
        <v>6944.8</v>
      </c>
      <c r="G15" s="321">
        <v>7224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>
        <v>13981.9</v>
      </c>
      <c r="E16" s="294">
        <v>9573</v>
      </c>
      <c r="F16" s="529">
        <v>8947.5</v>
      </c>
      <c r="G16" s="296">
        <v>10313</v>
      </c>
    </row>
    <row r="17" spans="1:7" s="299" customFormat="1">
      <c r="A17" s="261">
        <v>37</v>
      </c>
      <c r="B17" s="262"/>
      <c r="C17" s="263" t="s">
        <v>240</v>
      </c>
      <c r="D17" s="316">
        <v>22038.5</v>
      </c>
      <c r="E17" s="264">
        <v>22356</v>
      </c>
      <c r="F17" s="286">
        <v>22093.4</v>
      </c>
      <c r="G17" s="298">
        <v>22255.7</v>
      </c>
    </row>
    <row r="18" spans="1:7" s="299" customFormat="1">
      <c r="A18" s="322" t="s">
        <v>241</v>
      </c>
      <c r="B18" s="269"/>
      <c r="C18" s="270" t="s">
        <v>242</v>
      </c>
      <c r="D18" s="485">
        <v>0</v>
      </c>
      <c r="E18" s="323">
        <v>0</v>
      </c>
      <c r="F18" s="286">
        <v>0</v>
      </c>
      <c r="G18" s="298">
        <v>0</v>
      </c>
    </row>
    <row r="19" spans="1:7" s="299" customFormat="1">
      <c r="A19" s="322" t="s">
        <v>243</v>
      </c>
      <c r="B19" s="269"/>
      <c r="C19" s="270" t="s">
        <v>244</v>
      </c>
      <c r="D19" s="485">
        <v>0</v>
      </c>
      <c r="E19" s="323">
        <v>3</v>
      </c>
      <c r="F19" s="286">
        <v>0</v>
      </c>
      <c r="G19" s="298">
        <v>0</v>
      </c>
    </row>
    <row r="20" spans="1:7" s="260" customFormat="1" ht="12.75" customHeight="1">
      <c r="A20" s="301">
        <v>39</v>
      </c>
      <c r="B20" s="302"/>
      <c r="C20" s="303" t="s">
        <v>245</v>
      </c>
      <c r="D20" s="306">
        <v>28204.3</v>
      </c>
      <c r="E20" s="304">
        <v>27979.4</v>
      </c>
      <c r="F20" s="307">
        <v>28857.8</v>
      </c>
      <c r="G20" s="308">
        <v>28686.1</v>
      </c>
    </row>
    <row r="21" spans="1:7" ht="12.75" customHeight="1">
      <c r="A21" s="309"/>
      <c r="B21" s="309"/>
      <c r="C21" s="310" t="s">
        <v>246</v>
      </c>
      <c r="D21" s="311">
        <f>D4+D5+SUM(D8:D13)+D17</f>
        <v>324973.87</v>
      </c>
      <c r="E21" s="311">
        <f>E4+E5+SUM(E8:E13)+E17</f>
        <v>323250.40000000002</v>
      </c>
      <c r="F21" s="311">
        <f>F4+F5+SUM(F8:F13)+F17</f>
        <v>323012.7</v>
      </c>
      <c r="G21" s="311">
        <f>G4+G5+SUM(G8:G13)+G17</f>
        <v>326725.00000000006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>
        <f>124291.2+10265.5</f>
        <v>134556.70000000001</v>
      </c>
      <c r="E22" s="275">
        <v>142300</v>
      </c>
      <c r="F22" s="266">
        <v>138090</v>
      </c>
      <c r="G22" s="276">
        <v>145200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>
        <f>15019.8+10715.9</f>
        <v>25735.699999999997</v>
      </c>
      <c r="E23" s="275">
        <v>27265</v>
      </c>
      <c r="F23" s="266">
        <v>26596.2</v>
      </c>
      <c r="G23" s="276">
        <v>26140</v>
      </c>
    </row>
    <row r="24" spans="1:7" s="313" customFormat="1" ht="12.75" customHeight="1">
      <c r="A24" s="261">
        <v>41</v>
      </c>
      <c r="B24" s="262"/>
      <c r="C24" s="263" t="s">
        <v>251</v>
      </c>
      <c r="D24" s="275">
        <v>17288</v>
      </c>
      <c r="E24" s="275">
        <v>8962</v>
      </c>
      <c r="F24" s="266">
        <v>11968.8</v>
      </c>
      <c r="G24" s="276">
        <v>12181</v>
      </c>
    </row>
    <row r="25" spans="1:7" s="260" customFormat="1" ht="12.75" customHeight="1">
      <c r="A25" s="314">
        <v>42</v>
      </c>
      <c r="B25" s="315"/>
      <c r="C25" s="263" t="s">
        <v>252</v>
      </c>
      <c r="D25" s="275">
        <v>22944.2</v>
      </c>
      <c r="E25" s="275">
        <v>20723.599999999999</v>
      </c>
      <c r="F25" s="266">
        <v>20958.099999999999</v>
      </c>
      <c r="G25" s="276">
        <v>20566.5</v>
      </c>
    </row>
    <row r="26" spans="1:7" s="318" customFormat="1" ht="12.75" customHeight="1">
      <c r="A26" s="278">
        <v>430</v>
      </c>
      <c r="B26" s="262"/>
      <c r="C26" s="263" t="s">
        <v>253</v>
      </c>
      <c r="D26" s="316">
        <v>12.3</v>
      </c>
      <c r="E26" s="316">
        <v>1</v>
      </c>
      <c r="F26" s="317">
        <v>65.099999999999994</v>
      </c>
      <c r="G26" s="298">
        <v>2</v>
      </c>
    </row>
    <row r="27" spans="1:7" s="318" customFormat="1" ht="12.75" customHeight="1">
      <c r="A27" s="278">
        <v>431</v>
      </c>
      <c r="B27" s="262"/>
      <c r="C27" s="263" t="s">
        <v>254</v>
      </c>
      <c r="D27" s="316">
        <v>62.9</v>
      </c>
      <c r="E27" s="316">
        <v>30</v>
      </c>
      <c r="F27" s="317">
        <v>4.2</v>
      </c>
      <c r="G27" s="298">
        <v>40</v>
      </c>
    </row>
    <row r="28" spans="1:7" s="318" customFormat="1" ht="12.75" customHeight="1">
      <c r="A28" s="278">
        <v>432</v>
      </c>
      <c r="B28" s="262"/>
      <c r="C28" s="263" t="s">
        <v>255</v>
      </c>
      <c r="D28" s="316">
        <v>0</v>
      </c>
      <c r="E28" s="316">
        <v>0</v>
      </c>
      <c r="F28" s="317">
        <v>0</v>
      </c>
      <c r="G28" s="298"/>
    </row>
    <row r="29" spans="1:7" s="318" customFormat="1" ht="12.75" customHeight="1">
      <c r="A29" s="278">
        <v>439</v>
      </c>
      <c r="B29" s="262"/>
      <c r="C29" s="263" t="s">
        <v>256</v>
      </c>
      <c r="D29" s="316">
        <v>0</v>
      </c>
      <c r="E29" s="316">
        <v>0</v>
      </c>
      <c r="F29" s="317">
        <v>0</v>
      </c>
      <c r="G29" s="298"/>
    </row>
    <row r="30" spans="1:7" s="260" customFormat="1" ht="28">
      <c r="A30" s="525">
        <v>450</v>
      </c>
      <c r="B30" s="524"/>
      <c r="C30" s="523" t="s">
        <v>257</v>
      </c>
      <c r="D30" s="528">
        <v>58.099999999999966</v>
      </c>
      <c r="E30" s="527">
        <v>105.1</v>
      </c>
      <c r="F30" s="527">
        <v>57</v>
      </c>
      <c r="G30" s="526">
        <v>168.9</v>
      </c>
    </row>
    <row r="31" spans="1:7" s="285" customFormat="1" ht="28">
      <c r="A31" s="525">
        <v>451</v>
      </c>
      <c r="B31" s="524"/>
      <c r="C31" s="523" t="s">
        <v>258</v>
      </c>
      <c r="D31" s="265">
        <v>507.2</v>
      </c>
      <c r="E31" s="265">
        <v>278.39999999999998</v>
      </c>
      <c r="F31" s="522">
        <v>195.15</v>
      </c>
      <c r="G31" s="521">
        <v>77.8</v>
      </c>
    </row>
    <row r="32" spans="1:7" s="260" customFormat="1" ht="12.75" customHeight="1">
      <c r="A32" s="261">
        <v>46</v>
      </c>
      <c r="B32" s="262"/>
      <c r="C32" s="263" t="s">
        <v>259</v>
      </c>
      <c r="D32" s="275">
        <v>78341.899999999994</v>
      </c>
      <c r="E32" s="275">
        <v>81046.2</v>
      </c>
      <c r="F32" s="266">
        <v>83435.3</v>
      </c>
      <c r="G32" s="276">
        <v>81318.3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>
        <v>0</v>
      </c>
      <c r="E33" s="275">
        <v>0</v>
      </c>
      <c r="F33" s="266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>
        <v>22038.5</v>
      </c>
      <c r="E34" s="275">
        <v>22356</v>
      </c>
      <c r="F34" s="266">
        <v>22093.4</v>
      </c>
      <c r="G34" s="276">
        <v>22255.7</v>
      </c>
    </row>
    <row r="35" spans="1:7" s="260" customFormat="1" ht="15" customHeight="1">
      <c r="A35" s="301">
        <v>49</v>
      </c>
      <c r="B35" s="302"/>
      <c r="C35" s="303" t="s">
        <v>262</v>
      </c>
      <c r="D35" s="306">
        <v>28204.3</v>
      </c>
      <c r="E35" s="304">
        <v>27979.4</v>
      </c>
      <c r="F35" s="307">
        <v>28857.8</v>
      </c>
      <c r="G35" s="308">
        <v>28686.1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301545.5</v>
      </c>
      <c r="E36" s="311">
        <f>E22+E23+E24+E25+E26+E27+E28+E29+E30+E31+E32+E34</f>
        <v>303067.3</v>
      </c>
      <c r="F36" s="311">
        <f>F22+F23+F24+F25+F26+F27+F28+F29+F30+F31+F32+F34</f>
        <v>303463.25000000006</v>
      </c>
      <c r="G36" s="311">
        <f>G22+G23+G24+G25+G26+G27+G28+G29+G30+G31+G32+G34</f>
        <v>307950.2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-23428.369999999995</v>
      </c>
      <c r="E37" s="311">
        <f>E36-E21</f>
        <v>-20183.100000000035</v>
      </c>
      <c r="F37" s="311">
        <f>F36-F21</f>
        <v>-19549.449999999953</v>
      </c>
      <c r="G37" s="311">
        <f>G36-G21</f>
        <v>-18774.800000000047</v>
      </c>
    </row>
    <row r="38" spans="1:7" s="285" customFormat="1" ht="15" customHeight="1">
      <c r="A38" s="274">
        <v>340</v>
      </c>
      <c r="B38" s="262"/>
      <c r="C38" s="263" t="s">
        <v>265</v>
      </c>
      <c r="D38" s="275">
        <v>3739.8</v>
      </c>
      <c r="E38" s="264">
        <v>3027.5</v>
      </c>
      <c r="F38" s="286">
        <v>3222</v>
      </c>
      <c r="G38" s="276">
        <v>3046.5</v>
      </c>
    </row>
    <row r="39" spans="1:7" s="285" customFormat="1" ht="15" customHeight="1">
      <c r="A39" s="274">
        <v>341</v>
      </c>
      <c r="B39" s="262"/>
      <c r="C39" s="263" t="s">
        <v>266</v>
      </c>
      <c r="D39" s="275">
        <v>322.58</v>
      </c>
      <c r="E39" s="275">
        <v>0</v>
      </c>
      <c r="F39" s="266">
        <v>0.3</v>
      </c>
      <c r="G39" s="276">
        <v>10</v>
      </c>
    </row>
    <row r="40" spans="1:7" s="285" customFormat="1" ht="15" customHeight="1">
      <c r="A40" s="274">
        <v>342</v>
      </c>
      <c r="B40" s="262"/>
      <c r="C40" s="263" t="s">
        <v>267</v>
      </c>
      <c r="D40" s="275">
        <v>0</v>
      </c>
      <c r="E40" s="275">
        <v>0</v>
      </c>
      <c r="F40" s="266">
        <v>66.7</v>
      </c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275">
        <v>13.1</v>
      </c>
      <c r="E41" s="275">
        <v>20</v>
      </c>
      <c r="F41" s="266">
        <v>12.1</v>
      </c>
      <c r="G41" s="276">
        <v>14</v>
      </c>
    </row>
    <row r="42" spans="1:7" s="285" customFormat="1" ht="15" customHeight="1">
      <c r="A42" s="274">
        <v>344</v>
      </c>
      <c r="B42" s="262"/>
      <c r="C42" s="263" t="s">
        <v>269</v>
      </c>
      <c r="D42" s="275">
        <v>6.2</v>
      </c>
      <c r="E42" s="275">
        <v>0</v>
      </c>
      <c r="F42" s="266">
        <v>0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>
        <v>0</v>
      </c>
      <c r="E43" s="275">
        <v>0</v>
      </c>
      <c r="F43" s="266">
        <v>0</v>
      </c>
      <c r="G43" s="276">
        <v>0</v>
      </c>
    </row>
    <row r="44" spans="1:7" s="260" customFormat="1" ht="15" customHeight="1">
      <c r="A44" s="261">
        <v>440</v>
      </c>
      <c r="B44" s="262"/>
      <c r="C44" s="263" t="s">
        <v>271</v>
      </c>
      <c r="D44" s="275">
        <v>2753.7</v>
      </c>
      <c r="E44" s="264">
        <v>2485.6999999999998</v>
      </c>
      <c r="F44" s="286">
        <v>2377.9</v>
      </c>
      <c r="G44" s="276">
        <v>2400.8000000000002</v>
      </c>
    </row>
    <row r="45" spans="1:7" s="260" customFormat="1" ht="15" customHeight="1">
      <c r="A45" s="261">
        <v>441</v>
      </c>
      <c r="B45" s="262"/>
      <c r="C45" s="263" t="s">
        <v>272</v>
      </c>
      <c r="D45" s="275">
        <v>12.5</v>
      </c>
      <c r="E45" s="264">
        <v>0</v>
      </c>
      <c r="F45" s="286">
        <v>0</v>
      </c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275">
        <v>5.4</v>
      </c>
      <c r="E46" s="264">
        <v>3.5</v>
      </c>
      <c r="F46" s="286">
        <v>3.7</v>
      </c>
      <c r="G46" s="276">
        <v>3.5</v>
      </c>
    </row>
    <row r="47" spans="1:7" s="260" customFormat="1" ht="15" customHeight="1">
      <c r="A47" s="261">
        <v>443</v>
      </c>
      <c r="B47" s="262"/>
      <c r="C47" s="263" t="s">
        <v>274</v>
      </c>
      <c r="D47" s="275">
        <v>178.7</v>
      </c>
      <c r="E47" s="264">
        <v>136</v>
      </c>
      <c r="F47" s="286">
        <v>161.5</v>
      </c>
      <c r="G47" s="276">
        <v>150</v>
      </c>
    </row>
    <row r="48" spans="1:7" s="260" customFormat="1" ht="15" customHeight="1">
      <c r="A48" s="261">
        <v>444</v>
      </c>
      <c r="B48" s="262"/>
      <c r="C48" s="263" t="s">
        <v>269</v>
      </c>
      <c r="D48" s="275">
        <v>165.1</v>
      </c>
      <c r="E48" s="264">
        <v>0</v>
      </c>
      <c r="F48" s="286">
        <v>-1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275">
        <v>79.5</v>
      </c>
      <c r="E49" s="264">
        <v>90</v>
      </c>
      <c r="F49" s="286">
        <v>38.5</v>
      </c>
      <c r="G49" s="276">
        <v>90</v>
      </c>
    </row>
    <row r="50" spans="1:7" s="260" customFormat="1" ht="15" customHeight="1">
      <c r="A50" s="261">
        <v>446</v>
      </c>
      <c r="B50" s="262"/>
      <c r="C50" s="263" t="s">
        <v>276</v>
      </c>
      <c r="D50" s="275">
        <v>14180.1</v>
      </c>
      <c r="E50" s="264">
        <v>12818.3</v>
      </c>
      <c r="F50" s="286">
        <v>12989.5</v>
      </c>
      <c r="G50" s="276">
        <v>12897.5</v>
      </c>
    </row>
    <row r="51" spans="1:7" s="260" customFormat="1" ht="15" customHeight="1">
      <c r="A51" s="261">
        <v>447</v>
      </c>
      <c r="B51" s="262"/>
      <c r="C51" s="263" t="s">
        <v>277</v>
      </c>
      <c r="D51" s="275">
        <v>6191.9</v>
      </c>
      <c r="E51" s="264">
        <v>1985</v>
      </c>
      <c r="F51" s="286">
        <v>2047.5</v>
      </c>
      <c r="G51" s="276">
        <v>1971.3</v>
      </c>
    </row>
    <row r="52" spans="1:7" s="260" customFormat="1" ht="15" customHeight="1">
      <c r="A52" s="261">
        <v>448</v>
      </c>
      <c r="B52" s="262"/>
      <c r="C52" s="263" t="s">
        <v>278</v>
      </c>
      <c r="D52" s="275">
        <v>0</v>
      </c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275">
        <v>0</v>
      </c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>
        <v>0</v>
      </c>
      <c r="E54" s="331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19485.22</v>
      </c>
      <c r="E55" s="311">
        <f>SUM(E44:E53)-SUM(E38:E43)</f>
        <v>14471</v>
      </c>
      <c r="F55" s="311">
        <f>SUM(F44:F53)-SUM(F38:F43)</f>
        <v>14316.499999999998</v>
      </c>
      <c r="G55" s="311">
        <f>SUM(G44:G53)-SUM(G38:G43)</f>
        <v>14442.599999999999</v>
      </c>
    </row>
    <row r="56" spans="1:7" ht="14.25" customHeight="1">
      <c r="A56" s="335"/>
      <c r="B56" s="335"/>
      <c r="C56" s="310" t="s">
        <v>283</v>
      </c>
      <c r="D56" s="311">
        <f>D55+D37</f>
        <v>-3943.1499999999942</v>
      </c>
      <c r="E56" s="311">
        <f>E55+E37</f>
        <v>-5712.1000000000349</v>
      </c>
      <c r="F56" s="311">
        <f>F55+F37</f>
        <v>-5232.9499999999553</v>
      </c>
      <c r="G56" s="311">
        <f>G55+G37</f>
        <v>-4332.200000000048</v>
      </c>
    </row>
    <row r="57" spans="1:7" s="260" customFormat="1" ht="15.75" customHeight="1">
      <c r="A57" s="336">
        <v>380</v>
      </c>
      <c r="B57" s="337"/>
      <c r="C57" s="338" t="s">
        <v>284</v>
      </c>
      <c r="D57" s="340">
        <v>0</v>
      </c>
      <c r="E57" s="339">
        <v>0</v>
      </c>
      <c r="F57" s="341">
        <v>0</v>
      </c>
      <c r="G57" s="342">
        <v>-600</v>
      </c>
    </row>
    <row r="58" spans="1:7" s="260" customFormat="1" ht="15.75" customHeight="1">
      <c r="A58" s="336">
        <v>381</v>
      </c>
      <c r="B58" s="337"/>
      <c r="C58" s="338" t="s">
        <v>285</v>
      </c>
      <c r="D58" s="340">
        <v>0</v>
      </c>
      <c r="E58" s="339">
        <v>0</v>
      </c>
      <c r="F58" s="341">
        <v>0</v>
      </c>
      <c r="G58" s="342"/>
    </row>
    <row r="59" spans="1:7" s="285" customFormat="1" ht="28">
      <c r="A59" s="278">
        <v>383</v>
      </c>
      <c r="B59" s="279"/>
      <c r="C59" s="280" t="s">
        <v>286</v>
      </c>
      <c r="D59" s="344">
        <v>-27591.9</v>
      </c>
      <c r="E59" s="343">
        <v>1520</v>
      </c>
      <c r="F59" s="345">
        <v>1449.6</v>
      </c>
      <c r="G59" s="321">
        <v>-2969</v>
      </c>
    </row>
    <row r="60" spans="1:7" s="285" customFormat="1" ht="14">
      <c r="A60" s="278">
        <v>3840</v>
      </c>
      <c r="B60" s="279"/>
      <c r="C60" s="280" t="s">
        <v>287</v>
      </c>
      <c r="D60" s="346">
        <v>0</v>
      </c>
      <c r="E60" s="346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>
        <v>0</v>
      </c>
      <c r="E61" s="346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>
        <v>0</v>
      </c>
      <c r="E62" s="346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>
        <v>4507.1000000000004</v>
      </c>
      <c r="E63" s="346">
        <v>2189</v>
      </c>
      <c r="F63" s="508">
        <v>-1268.4000000000001</v>
      </c>
      <c r="G63" s="482">
        <v>4385</v>
      </c>
    </row>
    <row r="64" spans="1:7" s="285" customFormat="1">
      <c r="A64" s="274">
        <v>389</v>
      </c>
      <c r="B64" s="352"/>
      <c r="C64" s="263" t="s">
        <v>57</v>
      </c>
      <c r="D64" s="275">
        <v>21821.4</v>
      </c>
      <c r="E64" s="275">
        <v>0</v>
      </c>
      <c r="F64" s="266">
        <v>0</v>
      </c>
      <c r="G64" s="276">
        <v>0</v>
      </c>
    </row>
    <row r="65" spans="1:7" s="260" customFormat="1">
      <c r="A65" s="274" t="s">
        <v>291</v>
      </c>
      <c r="B65" s="262"/>
      <c r="C65" s="263" t="s">
        <v>292</v>
      </c>
      <c r="D65" s="275">
        <v>0</v>
      </c>
      <c r="E65" s="275">
        <v>0</v>
      </c>
      <c r="F65" s="266">
        <v>0</v>
      </c>
      <c r="G65" s="276">
        <v>0</v>
      </c>
    </row>
    <row r="66" spans="1:7" s="355" customFormat="1" ht="28">
      <c r="A66" s="492" t="s">
        <v>293</v>
      </c>
      <c r="B66" s="354"/>
      <c r="C66" s="280" t="s">
        <v>294</v>
      </c>
      <c r="D66" s="344">
        <v>0</v>
      </c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>
        <v>0</v>
      </c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>
        <v>0</v>
      </c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>
        <v>0</v>
      </c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>
        <v>0</v>
      </c>
      <c r="E70" s="275">
        <v>0</v>
      </c>
      <c r="F70" s="266">
        <v>0</v>
      </c>
      <c r="G70" s="276"/>
    </row>
    <row r="71" spans="1:7" s="260" customFormat="1">
      <c r="A71" s="353">
        <v>485</v>
      </c>
      <c r="B71" s="262"/>
      <c r="C71" s="263" t="s">
        <v>299</v>
      </c>
      <c r="D71" s="275">
        <v>0</v>
      </c>
      <c r="E71" s="275">
        <v>0</v>
      </c>
      <c r="F71" s="266">
        <v>0</v>
      </c>
      <c r="G71" s="276"/>
    </row>
    <row r="72" spans="1:7" s="260" customFormat="1">
      <c r="A72" s="353">
        <v>486</v>
      </c>
      <c r="B72" s="262"/>
      <c r="C72" s="263" t="s">
        <v>300</v>
      </c>
      <c r="D72" s="275">
        <v>0</v>
      </c>
      <c r="E72" s="275">
        <v>0</v>
      </c>
      <c r="F72" s="266">
        <v>0</v>
      </c>
      <c r="G72" s="276"/>
    </row>
    <row r="73" spans="1:7" s="285" customFormat="1">
      <c r="A73" s="353">
        <v>487</v>
      </c>
      <c r="B73" s="269"/>
      <c r="C73" s="263" t="s">
        <v>301</v>
      </c>
      <c r="D73" s="275">
        <v>0</v>
      </c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>
        <v>3288</v>
      </c>
      <c r="E74" s="264">
        <v>8977</v>
      </c>
      <c r="F74" s="286">
        <v>5577</v>
      </c>
      <c r="G74" s="276">
        <v>4748</v>
      </c>
    </row>
    <row r="75" spans="1:7" s="285" customFormat="1">
      <c r="A75" s="357" t="s">
        <v>302</v>
      </c>
      <c r="B75" s="356"/>
      <c r="C75" s="330" t="s">
        <v>303</v>
      </c>
      <c r="D75" s="275">
        <v>0</v>
      </c>
      <c r="E75" s="275">
        <v>0</v>
      </c>
      <c r="F75" s="266">
        <v>0</v>
      </c>
      <c r="G75" s="276"/>
    </row>
    <row r="76" spans="1:7">
      <c r="A76" s="309"/>
      <c r="B76" s="309"/>
      <c r="C76" s="310" t="s">
        <v>304</v>
      </c>
      <c r="D76" s="311">
        <f>SUM(D65:D74)-SUM(D57:D64)</f>
        <v>4551.4000000000015</v>
      </c>
      <c r="E76" s="311">
        <f>SUM(E65:E74)-SUM(E57:E64)</f>
        <v>5268</v>
      </c>
      <c r="F76" s="311">
        <f>SUM(F65:F74)-SUM(F57:F64)</f>
        <v>5395.8</v>
      </c>
      <c r="G76" s="311">
        <f>SUM(G65:G74)-SUM(G57:G64)</f>
        <v>3932</v>
      </c>
    </row>
    <row r="77" spans="1:7">
      <c r="A77" s="358"/>
      <c r="B77" s="358"/>
      <c r="C77" s="310" t="s">
        <v>305</v>
      </c>
      <c r="D77" s="311">
        <f>D56+D76</f>
        <v>608.25000000000728</v>
      </c>
      <c r="E77" s="311">
        <f>E56+E76</f>
        <v>-444.10000000003492</v>
      </c>
      <c r="F77" s="311">
        <f>F56+F76</f>
        <v>162.85000000004493</v>
      </c>
      <c r="G77" s="311">
        <f>G56+G76</f>
        <v>-400.20000000004802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355996.44999999995</v>
      </c>
      <c r="E78" s="361">
        <f>E20+E21+SUM(E38:E43)+SUM(E57:E64)</f>
        <v>357986.30000000005</v>
      </c>
      <c r="F78" s="361">
        <f>F20+F21+SUM(F38:F43)+SUM(F57:F64)</f>
        <v>355352.8</v>
      </c>
      <c r="G78" s="361">
        <f>G20+G21+SUM(G38:G43)+SUM(G57:G64)</f>
        <v>359297.60000000003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356604.7</v>
      </c>
      <c r="E79" s="361">
        <f>E35+E36+SUM(E44:E53)+SUM(E65:E74)</f>
        <v>357542.2</v>
      </c>
      <c r="F79" s="361">
        <f>F35+F36+SUM(F44:F53)+SUM(F65:F74)</f>
        <v>355515.65</v>
      </c>
      <c r="G79" s="361">
        <f>G35+G36+SUM(G44:G53)+SUM(G65:G74)</f>
        <v>358897.39999999997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275">
        <v>28454.6</v>
      </c>
      <c r="E82" s="275">
        <v>19277</v>
      </c>
      <c r="F82" s="266">
        <v>20542</v>
      </c>
      <c r="G82" s="276">
        <v>14145</v>
      </c>
    </row>
    <row r="83" spans="1:7" s="260" customFormat="1">
      <c r="A83" s="367">
        <v>51</v>
      </c>
      <c r="B83" s="368"/>
      <c r="C83" s="368" t="s">
        <v>310</v>
      </c>
      <c r="D83" s="275">
        <v>813.4</v>
      </c>
      <c r="E83" s="275">
        <v>2300</v>
      </c>
      <c r="F83" s="266">
        <v>33.700000000000003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275">
        <v>1255</v>
      </c>
      <c r="E84" s="275">
        <v>1447</v>
      </c>
      <c r="F84" s="266">
        <v>1454.6</v>
      </c>
      <c r="G84" s="276">
        <v>1320</v>
      </c>
    </row>
    <row r="85" spans="1:7" s="260" customFormat="1">
      <c r="A85" s="369">
        <v>54</v>
      </c>
      <c r="B85" s="370"/>
      <c r="C85" s="370" t="s">
        <v>312</v>
      </c>
      <c r="D85" s="275">
        <v>4897.3999999999996</v>
      </c>
      <c r="E85" s="275">
        <v>1765</v>
      </c>
      <c r="F85" s="266">
        <v>1610.9</v>
      </c>
      <c r="G85" s="276">
        <v>1768</v>
      </c>
    </row>
    <row r="86" spans="1:7" s="260" customFormat="1">
      <c r="A86" s="367">
        <v>55</v>
      </c>
      <c r="B86" s="368"/>
      <c r="C86" s="368" t="s">
        <v>313</v>
      </c>
      <c r="D86" s="275">
        <v>40100</v>
      </c>
      <c r="E86" s="275">
        <v>0</v>
      </c>
      <c r="F86" s="266">
        <v>0</v>
      </c>
      <c r="G86" s="276">
        <v>0</v>
      </c>
    </row>
    <row r="87" spans="1:7" s="260" customFormat="1">
      <c r="A87" s="367">
        <v>56</v>
      </c>
      <c r="B87" s="368"/>
      <c r="C87" s="368" t="s">
        <v>314</v>
      </c>
      <c r="D87" s="275">
        <v>23140.6</v>
      </c>
      <c r="E87" s="275">
        <v>14592</v>
      </c>
      <c r="F87" s="266">
        <v>9709.7999999999993</v>
      </c>
      <c r="G87" s="276">
        <v>20636</v>
      </c>
    </row>
    <row r="88" spans="1:7" s="260" customFormat="1">
      <c r="A88" s="367">
        <v>57</v>
      </c>
      <c r="B88" s="368"/>
      <c r="C88" s="368" t="s">
        <v>315</v>
      </c>
      <c r="D88" s="275">
        <v>1074.5</v>
      </c>
      <c r="E88" s="275">
        <v>1180</v>
      </c>
      <c r="F88" s="266">
        <v>762</v>
      </c>
      <c r="G88" s="276">
        <v>1280</v>
      </c>
    </row>
    <row r="89" spans="1:7" s="260" customFormat="1">
      <c r="A89" s="367">
        <v>580</v>
      </c>
      <c r="B89" s="368"/>
      <c r="C89" s="368" t="s">
        <v>316</v>
      </c>
      <c r="D89" s="275">
        <v>0</v>
      </c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>
        <v>0</v>
      </c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>
        <v>0</v>
      </c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>
        <v>0</v>
      </c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>
        <v>0</v>
      </c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>
        <v>0</v>
      </c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99735.5</v>
      </c>
      <c r="E95" s="376">
        <f>SUM(E82:E94)</f>
        <v>40561</v>
      </c>
      <c r="F95" s="376">
        <f>SUM(F82:F94)</f>
        <v>34113</v>
      </c>
      <c r="G95" s="376">
        <f>SUM(G82:G94)</f>
        <v>39149</v>
      </c>
    </row>
    <row r="96" spans="1:7" s="260" customFormat="1">
      <c r="A96" s="367">
        <v>60</v>
      </c>
      <c r="B96" s="368"/>
      <c r="C96" s="368" t="s">
        <v>323</v>
      </c>
      <c r="D96" s="275">
        <v>40000</v>
      </c>
      <c r="E96" s="275">
        <v>0</v>
      </c>
      <c r="F96" s="266">
        <v>0</v>
      </c>
      <c r="G96" s="276"/>
    </row>
    <row r="97" spans="1:7" s="260" customFormat="1">
      <c r="A97" s="367">
        <v>61</v>
      </c>
      <c r="B97" s="368"/>
      <c r="C97" s="368" t="s">
        <v>324</v>
      </c>
      <c r="D97" s="275">
        <v>813.4</v>
      </c>
      <c r="E97" s="275">
        <v>2300</v>
      </c>
      <c r="F97" s="266">
        <v>33.700000000000003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275">
        <v>0</v>
      </c>
      <c r="E98" s="275">
        <v>0</v>
      </c>
      <c r="F98" s="266">
        <v>0</v>
      </c>
      <c r="G98" s="276"/>
    </row>
    <row r="99" spans="1:7" s="260" customFormat="1">
      <c r="A99" s="367">
        <v>63</v>
      </c>
      <c r="B99" s="368"/>
      <c r="C99" s="368" t="s">
        <v>326</v>
      </c>
      <c r="D99" s="275">
        <v>18045.900000000001</v>
      </c>
      <c r="E99" s="275">
        <v>7344</v>
      </c>
      <c r="F99" s="266">
        <v>9577</v>
      </c>
      <c r="G99" s="276">
        <v>11899</v>
      </c>
    </row>
    <row r="100" spans="1:7" s="260" customFormat="1">
      <c r="A100" s="367">
        <v>64</v>
      </c>
      <c r="B100" s="368"/>
      <c r="C100" s="368" t="s">
        <v>327</v>
      </c>
      <c r="D100" s="275">
        <v>1317.8</v>
      </c>
      <c r="E100" s="275">
        <v>1297</v>
      </c>
      <c r="F100" s="266">
        <v>1416.1</v>
      </c>
      <c r="G100" s="276">
        <v>1244</v>
      </c>
    </row>
    <row r="101" spans="1:7" s="260" customFormat="1">
      <c r="A101" s="367">
        <v>65</v>
      </c>
      <c r="B101" s="368"/>
      <c r="C101" s="368" t="s">
        <v>328</v>
      </c>
      <c r="D101" s="275">
        <v>45</v>
      </c>
      <c r="E101" s="275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275">
        <v>0</v>
      </c>
      <c r="E102" s="275">
        <v>0</v>
      </c>
      <c r="F102" s="266">
        <v>0</v>
      </c>
      <c r="G102" s="276"/>
    </row>
    <row r="103" spans="1:7" s="260" customFormat="1">
      <c r="A103" s="367">
        <v>67</v>
      </c>
      <c r="B103" s="368"/>
      <c r="C103" s="368" t="s">
        <v>315</v>
      </c>
      <c r="D103" s="275">
        <v>1074.5</v>
      </c>
      <c r="E103" s="264">
        <v>1180</v>
      </c>
      <c r="F103" s="286">
        <v>762</v>
      </c>
      <c r="G103" s="267">
        <v>1280</v>
      </c>
    </row>
    <row r="104" spans="1:7" s="260" customFormat="1" ht="28">
      <c r="A104" s="377" t="s">
        <v>330</v>
      </c>
      <c r="B104" s="368"/>
      <c r="C104" s="378" t="s">
        <v>331</v>
      </c>
      <c r="D104" s="275">
        <v>0</v>
      </c>
      <c r="E104" s="264">
        <v>0</v>
      </c>
      <c r="F104" s="286">
        <v>0</v>
      </c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6">
        <v>0</v>
      </c>
      <c r="E105" s="304">
        <v>0</v>
      </c>
      <c r="F105" s="307">
        <v>0</v>
      </c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61296.600000000006</v>
      </c>
      <c r="E106" s="376">
        <f>SUM(E96:E105)</f>
        <v>12121</v>
      </c>
      <c r="F106" s="376">
        <f>SUM(F96:F105)</f>
        <v>11788.800000000001</v>
      </c>
      <c r="G106" s="376">
        <f>SUM(G96:G105)</f>
        <v>14423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38438.899999999994</v>
      </c>
      <c r="E107" s="376">
        <f>(E95-E88)-(E106-E103)</f>
        <v>28440</v>
      </c>
      <c r="F107" s="376">
        <f>(F95-F88)-(F106-F103)</f>
        <v>22324.199999999997</v>
      </c>
      <c r="G107" s="376">
        <f>(G95-G88)-(G106-G103)</f>
        <v>24726</v>
      </c>
    </row>
    <row r="108" spans="1:7">
      <c r="A108" s="387" t="s">
        <v>336</v>
      </c>
      <c r="B108" s="387"/>
      <c r="C108" s="388" t="s">
        <v>337</v>
      </c>
      <c r="D108" s="389">
        <f>ROUND(D107-D85-D86+D100+D101,0)</f>
        <v>-5196</v>
      </c>
      <c r="E108" s="389">
        <f>ROUND(E107-E85-E86+E100+E101,0)</f>
        <v>27972</v>
      </c>
      <c r="F108" s="389">
        <f>ROUND(F107-F85-F86+F100+F101,0)</f>
        <v>22129</v>
      </c>
      <c r="G108" s="389">
        <f>ROUND(G107-G85-G86+G100+G101,0)</f>
        <v>24202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254641</v>
      </c>
      <c r="E111" s="394">
        <f>E112+E117</f>
        <v>0</v>
      </c>
      <c r="F111" s="394">
        <f>F112+F117</f>
        <v>239905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202133</v>
      </c>
      <c r="E112" s="394">
        <f>E113+E114+E115+E116</f>
        <v>0</v>
      </c>
      <c r="F112" s="394">
        <f>F113+F114+F115+F116</f>
        <v>167587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>
        <v>153647</v>
      </c>
      <c r="E113" s="275"/>
      <c r="F113" s="275">
        <f>81166+65913</f>
        <v>147079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>
        <v>31185</v>
      </c>
      <c r="E114" s="344"/>
      <c r="F114" s="344">
        <v>11000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>
        <v>17167</v>
      </c>
      <c r="E115" s="275"/>
      <c r="F115" s="275">
        <v>9383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>
        <v>134</v>
      </c>
      <c r="E116" s="275"/>
      <c r="F116" s="275">
        <v>125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52508</v>
      </c>
      <c r="E117" s="394">
        <f>E118+E119+E120</f>
        <v>0</v>
      </c>
      <c r="F117" s="394">
        <f>F118+F119+F120</f>
        <v>72318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>
        <v>48115</v>
      </c>
      <c r="E118" s="275"/>
      <c r="F118" s="275">
        <v>67925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>
        <v>4393</v>
      </c>
      <c r="E119" s="275"/>
      <c r="F119" s="275">
        <v>4393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>
        <v>0</v>
      </c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142056</v>
      </c>
      <c r="E121" s="394">
        <f>SUM(E122:E130)</f>
        <v>0</v>
      </c>
      <c r="F121" s="394">
        <f>SUM(F122:F130)</f>
        <v>146024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>
        <v>97916</v>
      </c>
      <c r="E122" s="275"/>
      <c r="F122" s="275">
        <v>103154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>
        <v>23002</v>
      </c>
      <c r="E123" s="275"/>
      <c r="F123" s="275">
        <v>23182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>
        <v>118713</v>
      </c>
      <c r="E124" s="412"/>
      <c r="F124" s="275">
        <v>118713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>
        <v>102179</v>
      </c>
      <c r="E125" s="412"/>
      <c r="F125" s="275">
        <v>100910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>
        <v>-199754</v>
      </c>
      <c r="E126" s="416"/>
      <c r="F126" s="281">
        <v>-199935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>
        <v>0</v>
      </c>
      <c r="E127" s="412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>
        <v>0</v>
      </c>
      <c r="E128" s="412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>
        <v>0</v>
      </c>
      <c r="E129" s="412"/>
      <c r="F129" s="275">
        <v>0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>
        <v>0</v>
      </c>
      <c r="E130" s="420"/>
      <c r="F130" s="306">
        <v>0</v>
      </c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396697</v>
      </c>
      <c r="E131" s="424">
        <f>E111+E121</f>
        <v>0</v>
      </c>
      <c r="F131" s="424">
        <f>F111+F121</f>
        <v>385929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266323</v>
      </c>
      <c r="E133" s="425">
        <f>E134+E140</f>
        <v>0</v>
      </c>
      <c r="F133" s="425">
        <f>F134+F140</f>
        <v>268300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131961</v>
      </c>
      <c r="E134" s="394">
        <f>E135+E136+E138+E139</f>
        <v>0</v>
      </c>
      <c r="F134" s="394">
        <f>F135+F136+F138+F139</f>
        <v>109556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>
        <v>98265</v>
      </c>
      <c r="E135" s="275"/>
      <c r="F135" s="275">
        <v>93617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>
        <v>23000</v>
      </c>
      <c r="E136" s="275"/>
      <c r="F136" s="275">
        <v>5000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>
        <v>0</v>
      </c>
      <c r="E137" s="431"/>
      <c r="F137" s="271">
        <v>0</v>
      </c>
      <c r="G137" s="432"/>
    </row>
    <row r="138" spans="1:7" s="429" customFormat="1">
      <c r="A138" s="430">
        <v>204</v>
      </c>
      <c r="B138" s="400"/>
      <c r="C138" s="400" t="s">
        <v>371</v>
      </c>
      <c r="D138" s="271">
        <v>10106</v>
      </c>
      <c r="E138" s="431"/>
      <c r="F138" s="271">
        <v>10209</v>
      </c>
      <c r="G138" s="432"/>
    </row>
    <row r="139" spans="1:7" s="429" customFormat="1">
      <c r="A139" s="430">
        <v>205</v>
      </c>
      <c r="B139" s="400"/>
      <c r="C139" s="400" t="s">
        <v>372</v>
      </c>
      <c r="D139" s="271">
        <v>590</v>
      </c>
      <c r="E139" s="431"/>
      <c r="F139" s="271">
        <v>730</v>
      </c>
      <c r="G139" s="432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134362</v>
      </c>
      <c r="E140" s="394">
        <f>E141+E143+E144</f>
        <v>0</v>
      </c>
      <c r="F140" s="394">
        <f>F141+F143+F144</f>
        <v>158744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>
        <v>119328</v>
      </c>
      <c r="E141" s="412"/>
      <c r="F141" s="275">
        <v>144029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>
        <v>0</v>
      </c>
      <c r="E142" s="43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>
        <v>14010</v>
      </c>
      <c r="E143" s="412"/>
      <c r="F143" s="275">
        <v>13520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>
        <v>1024</v>
      </c>
      <c r="E144" s="416"/>
      <c r="F144" s="281">
        <v>1195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>
        <v>130374</v>
      </c>
      <c r="E145" s="412"/>
      <c r="F145" s="412">
        <v>117629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>
        <v>58788</v>
      </c>
      <c r="E146" s="332"/>
      <c r="F146" s="332">
        <v>58951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396697</v>
      </c>
      <c r="E147" s="424">
        <f>E133+E145</f>
        <v>0</v>
      </c>
      <c r="F147" s="424">
        <f>F133+F145</f>
        <v>385929</v>
      </c>
      <c r="G147" s="424">
        <f>G133+G145</f>
        <v>0</v>
      </c>
    </row>
    <row r="148" spans="1:7" ht="7.5" customHeight="1"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440" t="s">
        <v>386</v>
      </c>
      <c r="B150" s="441"/>
      <c r="C150" s="441" t="s">
        <v>97</v>
      </c>
      <c r="D150" s="442">
        <f>D77+SUM(D8:D12)-D30-D31+D16-D33+D59+D63-D73+D64-D74-D54+D20-D35</f>
        <v>22854.720000000005</v>
      </c>
      <c r="E150" s="442">
        <f>E77+SUM(E8:E12)-E30-E31+E16-E33+E59+E63-E73+E64-E74-E54+E20-E35</f>
        <v>13024.499999999964</v>
      </c>
      <c r="F150" s="442">
        <f>F77+SUM(F8:F12)-F30-F31+F16-F33+F59+F63-F73+F64-F74-F54+F20-F35</f>
        <v>14068.700000000044</v>
      </c>
      <c r="G150" s="442">
        <f>G77+SUM(G8:G12)-G30-G31+G16-G33+G59+G63-G73+G64-G74-G54+G20-G35</f>
        <v>15094.499999999949</v>
      </c>
    </row>
    <row r="151" spans="1:7">
      <c r="A151" s="443" t="s">
        <v>387</v>
      </c>
      <c r="B151" s="444"/>
      <c r="C151" s="444" t="s">
        <v>388</v>
      </c>
      <c r="D151" s="445">
        <f>IF(D177=0,0,D150/D177)</f>
        <v>7.5409726802604923E-2</v>
      </c>
      <c r="E151" s="445">
        <f>IF(E177=0,0,E150/E177)</f>
        <v>4.367269803352973E-2</v>
      </c>
      <c r="F151" s="445">
        <f>IF(F177=0,0,F150/F177)</f>
        <v>4.7054483390523726E-2</v>
      </c>
      <c r="G151" s="445">
        <f>IF(G177=0,0,G150/G177)</f>
        <v>4.9782723124354236E-2</v>
      </c>
    </row>
    <row r="152" spans="1:7" s="328" customFormat="1" ht="28">
      <c r="A152" s="502" t="s">
        <v>389</v>
      </c>
      <c r="B152" s="503"/>
      <c r="C152" s="503" t="s">
        <v>390</v>
      </c>
      <c r="D152" s="594">
        <f t="shared" ref="D152:G153" si="0">IF(IF(D107=0,0,D$150/D107)&lt;0,"negativ",(IF(D107=0,0,D$150/D107)))</f>
        <v>0.59457268548267528</v>
      </c>
      <c r="E152" s="594">
        <f t="shared" si="0"/>
        <v>0.45796413502109579</v>
      </c>
      <c r="F152" s="594">
        <f t="shared" si="0"/>
        <v>0.6301995144282907</v>
      </c>
      <c r="G152" s="594">
        <f t="shared" si="0"/>
        <v>0.61047075952438523</v>
      </c>
    </row>
    <row r="153" spans="1:7" s="328" customFormat="1" ht="28">
      <c r="A153" s="505" t="s">
        <v>389</v>
      </c>
      <c r="B153" s="506"/>
      <c r="C153" s="506" t="s">
        <v>391</v>
      </c>
      <c r="D153" s="593" t="str">
        <f t="shared" si="0"/>
        <v>negativ</v>
      </c>
      <c r="E153" s="593">
        <f t="shared" si="0"/>
        <v>0.46562634062633934</v>
      </c>
      <c r="F153" s="593">
        <f t="shared" si="0"/>
        <v>0.63575850693660108</v>
      </c>
      <c r="G153" s="593">
        <f t="shared" si="0"/>
        <v>0.62368812494834924</v>
      </c>
    </row>
    <row r="154" spans="1:7" ht="28">
      <c r="A154" s="453" t="s">
        <v>392</v>
      </c>
      <c r="B154" s="454"/>
      <c r="C154" s="454" t="s">
        <v>393</v>
      </c>
      <c r="D154" s="455">
        <f>D150-D107</f>
        <v>-15584.179999999989</v>
      </c>
      <c r="E154" s="455">
        <f>E150-E107</f>
        <v>-15415.500000000036</v>
      </c>
      <c r="F154" s="455">
        <f>F150-F107</f>
        <v>-8255.4999999999527</v>
      </c>
      <c r="G154" s="455">
        <f>G150-G107</f>
        <v>-9631.5000000000509</v>
      </c>
    </row>
    <row r="155" spans="1:7" ht="28">
      <c r="A155" s="450" t="s">
        <v>394</v>
      </c>
      <c r="B155" s="451"/>
      <c r="C155" s="451" t="s">
        <v>395</v>
      </c>
      <c r="D155" s="456">
        <f>D150-D108</f>
        <v>28050.720000000005</v>
      </c>
      <c r="E155" s="456">
        <f>E150-E108</f>
        <v>-14947.500000000036</v>
      </c>
      <c r="F155" s="456">
        <f>F150-F108</f>
        <v>-8060.2999999999556</v>
      </c>
      <c r="G155" s="456">
        <f>G150-G108</f>
        <v>-9107.5000000000509</v>
      </c>
    </row>
    <row r="156" spans="1:7">
      <c r="A156" s="440" t="s">
        <v>396</v>
      </c>
      <c r="B156" s="441"/>
      <c r="C156" s="441" t="s">
        <v>397</v>
      </c>
      <c r="D156" s="457">
        <f>D135+D136-D137+D141-D142</f>
        <v>240593</v>
      </c>
      <c r="E156" s="457">
        <f>E135+E136-E137+E141-E142</f>
        <v>0</v>
      </c>
      <c r="F156" s="457">
        <f>F135+F136-F137+F141-F142</f>
        <v>242646</v>
      </c>
      <c r="G156" s="457">
        <f>G135+G136-G137+G141-G142</f>
        <v>0</v>
      </c>
    </row>
    <row r="157" spans="1:7">
      <c r="A157" s="458" t="s">
        <v>398</v>
      </c>
      <c r="B157" s="459"/>
      <c r="C157" s="459" t="s">
        <v>399</v>
      </c>
      <c r="D157" s="460">
        <f>IF(D177=0,0,D156/D177)</f>
        <v>0.79384268985221085</v>
      </c>
      <c r="E157" s="460">
        <f>IF(E177=0,0,E156/E177)</f>
        <v>0</v>
      </c>
      <c r="F157" s="460">
        <f>IF(F177=0,0,F156/F177)</f>
        <v>0.81155914738227308</v>
      </c>
      <c r="G157" s="460">
        <f>IF(G177=0,0,G156/G177)</f>
        <v>0</v>
      </c>
    </row>
    <row r="158" spans="1:7">
      <c r="A158" s="440" t="s">
        <v>400</v>
      </c>
      <c r="B158" s="441"/>
      <c r="C158" s="441" t="s">
        <v>401</v>
      </c>
      <c r="D158" s="457">
        <f>D133-D142-D111</f>
        <v>11682</v>
      </c>
      <c r="E158" s="457">
        <f>E133-E142-E111</f>
        <v>0</v>
      </c>
      <c r="F158" s="457">
        <f>F133-F142-F111</f>
        <v>28395</v>
      </c>
      <c r="G158" s="457">
        <f>G133-G142-G111</f>
        <v>0</v>
      </c>
    </row>
    <row r="159" spans="1:7">
      <c r="A159" s="443" t="s">
        <v>402</v>
      </c>
      <c r="B159" s="444"/>
      <c r="C159" s="444" t="s">
        <v>403</v>
      </c>
      <c r="D159" s="461">
        <f>D121-D123-D124-D142-D145</f>
        <v>-130033</v>
      </c>
      <c r="E159" s="461">
        <f>E121-E123-E124-E142-E145</f>
        <v>0</v>
      </c>
      <c r="F159" s="461">
        <f>F121-F123-F124-F142-F145</f>
        <v>-113500</v>
      </c>
      <c r="G159" s="461">
        <f>G121-G123-G124-G142-G145</f>
        <v>0</v>
      </c>
    </row>
    <row r="160" spans="1:7">
      <c r="A160" s="443" t="s">
        <v>404</v>
      </c>
      <c r="B160" s="444"/>
      <c r="C160" s="444" t="s">
        <v>405</v>
      </c>
      <c r="D160" s="462">
        <f>IF(D175=0,"-",1000*D158/D175)</f>
        <v>283.2549342902866</v>
      </c>
      <c r="E160" s="462">
        <f>IF(E175=0,"-",1000*E158/E175)</f>
        <v>0</v>
      </c>
      <c r="F160" s="462">
        <f>IF(F175=0,"-",1000*F158/F175)</f>
        <v>683.36060839430115</v>
      </c>
      <c r="G160" s="462">
        <f>IF(G175=0,"-",1000*G158/G175)</f>
        <v>0</v>
      </c>
    </row>
    <row r="161" spans="1:7">
      <c r="A161" s="443" t="s">
        <v>404</v>
      </c>
      <c r="B161" s="444"/>
      <c r="C161" s="444" t="s">
        <v>406</v>
      </c>
      <c r="D161" s="461">
        <f>IF(D175=0,0,1000*(D159/D175))</f>
        <v>-3152.9266281945588</v>
      </c>
      <c r="E161" s="461">
        <f>IF(E175=0,0,1000*(E159/E175))</f>
        <v>0</v>
      </c>
      <c r="F161" s="461">
        <f>IF(F175=0,0,1000*(F159/F175))</f>
        <v>-2731.5171351559493</v>
      </c>
      <c r="G161" s="461">
        <f>IF(G175=0,0,1000*(G159/G175))</f>
        <v>0</v>
      </c>
    </row>
    <row r="162" spans="1:7">
      <c r="A162" s="458" t="s">
        <v>407</v>
      </c>
      <c r="B162" s="459"/>
      <c r="C162" s="459" t="s">
        <v>408</v>
      </c>
      <c r="D162" s="460">
        <f>IF((D22+D23+D65+D66)=0,0,D158/(D22+D23+D65+D66))</f>
        <v>7.2879313055391262E-2</v>
      </c>
      <c r="E162" s="460">
        <f>IF((E22+E23+E65+E66)=0,0,E158/(E22+E23+E65+E66))</f>
        <v>0</v>
      </c>
      <c r="F162" s="460">
        <f>IF((F22+F23+F65+F66)=0,0,F158/(F22+F23+F65+F66))</f>
        <v>0.17241881833450526</v>
      </c>
      <c r="G162" s="460">
        <f>IF((G22+G23+G65+G66)=0,0,G158/(G22+G23+G65+G66))</f>
        <v>0</v>
      </c>
    </row>
    <row r="163" spans="1:7">
      <c r="A163" s="443" t="s">
        <v>409</v>
      </c>
      <c r="B163" s="444"/>
      <c r="C163" s="444" t="s">
        <v>380</v>
      </c>
      <c r="D163" s="442">
        <f>D145</f>
        <v>130374</v>
      </c>
      <c r="E163" s="442">
        <f>E145</f>
        <v>0</v>
      </c>
      <c r="F163" s="442">
        <f>F145</f>
        <v>117629</v>
      </c>
      <c r="G163" s="442">
        <f>G145</f>
        <v>0</v>
      </c>
    </row>
    <row r="164" spans="1:7" ht="28">
      <c r="A164" s="450" t="s">
        <v>411</v>
      </c>
      <c r="B164" s="463"/>
      <c r="C164" s="463" t="s">
        <v>412</v>
      </c>
      <c r="D164" s="452">
        <f>IF(D178=0,0,D146/D178)</f>
        <v>0.19148122229693759</v>
      </c>
      <c r="E164" s="452">
        <f>IF(E178=0,0,E146/E178)</f>
        <v>0</v>
      </c>
      <c r="F164" s="452">
        <f>IF(F178=0,0,F146/F178)</f>
        <v>0.19377727463378522</v>
      </c>
      <c r="G164" s="452">
        <f>IF(G178=0,0,G146/G178)</f>
        <v>0</v>
      </c>
    </row>
    <row r="165" spans="1:7">
      <c r="A165" s="464" t="s">
        <v>681</v>
      </c>
      <c r="B165" s="464"/>
      <c r="C165" s="464" t="s">
        <v>414</v>
      </c>
      <c r="D165" s="465">
        <f>IF(D177=0,0,D180/D177)</f>
        <v>8.9794931203247788E-2</v>
      </c>
      <c r="E165" s="465">
        <f>IF(E177=0,0,E180/E177)</f>
        <v>6.5110193548733222E-2</v>
      </c>
      <c r="F165" s="465">
        <f>IF(F177=0,0,F180/F177)</f>
        <v>6.3810370635958125E-2</v>
      </c>
      <c r="G165" s="465">
        <f>IF(G177=0,0,G180/G177)</f>
        <v>6.4410324807161828E-2</v>
      </c>
    </row>
    <row r="166" spans="1:7">
      <c r="A166" s="443" t="s">
        <v>415</v>
      </c>
      <c r="B166" s="444"/>
      <c r="C166" s="444" t="s">
        <v>282</v>
      </c>
      <c r="D166" s="442">
        <f>D55</f>
        <v>19485.22</v>
      </c>
      <c r="E166" s="442">
        <f>E55</f>
        <v>14471</v>
      </c>
      <c r="F166" s="442">
        <f>F55</f>
        <v>14316.499999999998</v>
      </c>
      <c r="G166" s="442">
        <f>G55</f>
        <v>14442.599999999999</v>
      </c>
    </row>
    <row r="167" spans="1:7">
      <c r="A167" s="458" t="s">
        <v>416</v>
      </c>
      <c r="B167" s="459"/>
      <c r="C167" s="459" t="s">
        <v>417</v>
      </c>
      <c r="D167" s="460">
        <f>IF(0=D111,0,(D44+D45+D46+D47+D48)/D111)</f>
        <v>1.2234479129441055E-2</v>
      </c>
      <c r="E167" s="460">
        <f>IF(0=E111,0,(E44+E45+E46+E47+E48)/E111)</f>
        <v>0</v>
      </c>
      <c r="F167" s="460">
        <f>IF(0=F111,0,(F44+F45+F46+F47+F48)/F111)</f>
        <v>1.0596277693253579E-2</v>
      </c>
      <c r="G167" s="460">
        <f>IF(0=G111,0,(G44+G45+G46+G47+G48)/G111)</f>
        <v>0</v>
      </c>
    </row>
    <row r="168" spans="1:7">
      <c r="A168" s="443" t="s">
        <v>418</v>
      </c>
      <c r="B168" s="441"/>
      <c r="C168" s="441" t="s">
        <v>419</v>
      </c>
      <c r="D168" s="442">
        <f>D38-D44</f>
        <v>986.10000000000036</v>
      </c>
      <c r="E168" s="442">
        <f>E38-E44</f>
        <v>541.80000000000018</v>
      </c>
      <c r="F168" s="442">
        <f>F38-F44</f>
        <v>844.09999999999991</v>
      </c>
      <c r="G168" s="442">
        <f>G38-G44</f>
        <v>645.69999999999982</v>
      </c>
    </row>
    <row r="169" spans="1:7">
      <c r="A169" s="458" t="s">
        <v>420</v>
      </c>
      <c r="B169" s="459"/>
      <c r="C169" s="459" t="s">
        <v>421</v>
      </c>
      <c r="D169" s="445">
        <f>IF(D177=0,0,D168/D177)</f>
        <v>3.2536618956630721E-3</v>
      </c>
      <c r="E169" s="445">
        <f>IF(E177=0,0,E168/E177)</f>
        <v>1.8167198583106054E-3</v>
      </c>
      <c r="F169" s="445">
        <f>IF(F177=0,0,F168/F177)</f>
        <v>2.8231954217476348E-3</v>
      </c>
      <c r="G169" s="445">
        <f>IF(G177=0,0,G168/G177)</f>
        <v>2.1295640346745922E-3</v>
      </c>
    </row>
    <row r="170" spans="1:7">
      <c r="A170" s="443" t="s">
        <v>422</v>
      </c>
      <c r="B170" s="444"/>
      <c r="C170" s="444" t="s">
        <v>423</v>
      </c>
      <c r="D170" s="442">
        <f>SUM(D82:D87)+SUM(D89:D94)</f>
        <v>98661</v>
      </c>
      <c r="E170" s="442">
        <f>SUM(E82:E87)+SUM(E89:E94)</f>
        <v>39381</v>
      </c>
      <c r="F170" s="442">
        <f>SUM(F82:F87)+SUM(F89:F94)</f>
        <v>33351</v>
      </c>
      <c r="G170" s="442">
        <f>SUM(G82:G87)+SUM(G89:G94)</f>
        <v>37869</v>
      </c>
    </row>
    <row r="171" spans="1:7">
      <c r="A171" s="443" t="s">
        <v>424</v>
      </c>
      <c r="B171" s="444"/>
      <c r="C171" s="444" t="s">
        <v>425</v>
      </c>
      <c r="D171" s="461">
        <f>SUM(D96:D102)+SUM(D104:D105)</f>
        <v>60222.100000000006</v>
      </c>
      <c r="E171" s="461">
        <f>SUM(E96:E102)+SUM(E104:E105)</f>
        <v>10941</v>
      </c>
      <c r="F171" s="461">
        <f>SUM(F96:F102)+SUM(F104:F105)</f>
        <v>11026.800000000001</v>
      </c>
      <c r="G171" s="461">
        <f>SUM(G96:G102)+SUM(G104:G105)</f>
        <v>13143</v>
      </c>
    </row>
    <row r="172" spans="1:7">
      <c r="A172" s="466" t="s">
        <v>413</v>
      </c>
      <c r="B172" s="464"/>
      <c r="C172" s="464" t="s">
        <v>426</v>
      </c>
      <c r="D172" s="465">
        <f>IF(D184=0,0,D170/D184)</f>
        <v>0.26134742543078049</v>
      </c>
      <c r="E172" s="465">
        <f>IF(E184=0,0,E170/E184)</f>
        <v>0.12156400562057189</v>
      </c>
      <c r="F172" s="465">
        <f>IF(F184=0,0,F170/F184)</f>
        <v>0.1050210193188796</v>
      </c>
      <c r="G172" s="465">
        <f>IF(G184=0,0,G170/G184)</f>
        <v>0.11652523467208065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69">
        <v>41242</v>
      </c>
      <c r="E175" s="470">
        <v>41552</v>
      </c>
      <c r="F175" s="470">
        <v>41552</v>
      </c>
      <c r="G175" s="470">
        <v>41800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303073.90000000002</v>
      </c>
      <c r="E177" s="472">
        <f>SUM(E22:E32)+SUM(E44:E53)+SUM(E65:E72)+E75</f>
        <v>298229.8</v>
      </c>
      <c r="F177" s="472">
        <f>SUM(F22:F32)+SUM(F44:F53)+SUM(F65:F72)+F75</f>
        <v>298987.45</v>
      </c>
      <c r="G177" s="472">
        <f>SUM(G22:G32)+SUM(G44:G53)+SUM(G65:G72)+G75</f>
        <v>303207.59999999998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307017.05</v>
      </c>
      <c r="E178" s="472">
        <f>E78-E17-E20-E59-E63-E64</f>
        <v>303941.90000000002</v>
      </c>
      <c r="F178" s="472">
        <f>F78-F17-F20-F59-F63-F64</f>
        <v>304220.40000000002</v>
      </c>
      <c r="G178" s="472">
        <f>G78-G17-G20-G59-G63-G64</f>
        <v>306939.80000000005</v>
      </c>
    </row>
    <row r="179" spans="1:7">
      <c r="A179" s="468"/>
      <c r="B179" s="468"/>
      <c r="C179" s="468" t="s">
        <v>435</v>
      </c>
      <c r="D179" s="472">
        <f>D178+D170</f>
        <v>405678.05</v>
      </c>
      <c r="E179" s="472">
        <f>E178+E170</f>
        <v>343322.9</v>
      </c>
      <c r="F179" s="472">
        <f>F178+F170</f>
        <v>337571.4</v>
      </c>
      <c r="G179" s="472">
        <f>G178+G170</f>
        <v>344808.80000000005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27214.5</v>
      </c>
      <c r="E180" s="472">
        <f>E38-E44+E8+E9+E10+E16-E33</f>
        <v>19417.8</v>
      </c>
      <c r="F180" s="472">
        <f>F38-F44+F8+F9+F10+F16-F33</f>
        <v>19078.5</v>
      </c>
      <c r="G180" s="472">
        <f>G38-G44+G8+G9+G10+G16-G33</f>
        <v>19529.7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302280.59999999998</v>
      </c>
      <c r="E181" s="475">
        <f>E22+E23+E24+E25+E26+E29+SUM(E44:E47)+SUM(E49:E53)-E54+E32-E33+SUM(E65:E70)+E72</f>
        <v>297816.3</v>
      </c>
      <c r="F181" s="475">
        <f>F22+F23+F24+F25+F26+F29+SUM(F44:F47)+SUM(F49:F53)-F54+F32-F33+SUM(F65:F70)+F72</f>
        <v>298732.10000000003</v>
      </c>
      <c r="G181" s="475">
        <f>G22+G23+G24+G25+G26+G29+SUM(G44:G47)+SUM(G49:G53)-G54+G32-G33+SUM(G65:G70)+G72</f>
        <v>302920.89999999997</v>
      </c>
    </row>
    <row r="182" spans="1:7">
      <c r="A182" s="474" t="s">
        <v>440</v>
      </c>
      <c r="B182" s="474"/>
      <c r="C182" s="474" t="s">
        <v>441</v>
      </c>
      <c r="D182" s="475">
        <f>D181+D171</f>
        <v>362502.69999999995</v>
      </c>
      <c r="E182" s="475">
        <f>E181+E171</f>
        <v>308757.3</v>
      </c>
      <c r="F182" s="475">
        <f>F181+F171</f>
        <v>309758.90000000002</v>
      </c>
      <c r="G182" s="475">
        <f>G181+G171</f>
        <v>316063.89999999997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278847.98</v>
      </c>
      <c r="E183" s="475">
        <f>E4+E5-E7+E38+E39+E40+E41+E43+E13-E16+E57+E58+E60+E61+E62</f>
        <v>284571.8</v>
      </c>
      <c r="F183" s="475">
        <f>F4+F5-F7+F38+F39+F40+F41+F43+F13-F16+F57+F58+F60+F61+F62</f>
        <v>284214</v>
      </c>
      <c r="G183" s="475">
        <f>G4+G5-G7+G38+G39+G40+G41+G43+G13-G16+G57+G58+G60+G61+G62</f>
        <v>287116.40000000002</v>
      </c>
    </row>
    <row r="184" spans="1:7">
      <c r="A184" s="474" t="s">
        <v>444</v>
      </c>
      <c r="B184" s="474"/>
      <c r="C184" s="474" t="s">
        <v>445</v>
      </c>
      <c r="D184" s="475">
        <f>D183+D170</f>
        <v>377508.98</v>
      </c>
      <c r="E184" s="475">
        <f>E183+E170</f>
        <v>323952.8</v>
      </c>
      <c r="F184" s="475">
        <f>F183+F170</f>
        <v>317565</v>
      </c>
      <c r="G184" s="475">
        <f>G183+G170</f>
        <v>324985.40000000002</v>
      </c>
    </row>
    <row r="185" spans="1:7">
      <c r="A185" s="474"/>
      <c r="B185" s="474"/>
      <c r="C185" s="474" t="s">
        <v>446</v>
      </c>
      <c r="D185" s="475">
        <f t="shared" ref="D185:G186" si="1">D181-D183</f>
        <v>23432.619999999995</v>
      </c>
      <c r="E185" s="475">
        <f t="shared" si="1"/>
        <v>13244.5</v>
      </c>
      <c r="F185" s="475">
        <f t="shared" si="1"/>
        <v>14518.100000000035</v>
      </c>
      <c r="G185" s="475">
        <f t="shared" si="1"/>
        <v>15804.499999999942</v>
      </c>
    </row>
    <row r="186" spans="1:7">
      <c r="A186" s="474"/>
      <c r="B186" s="474"/>
      <c r="C186" s="474" t="s">
        <v>447</v>
      </c>
      <c r="D186" s="475">
        <f t="shared" si="1"/>
        <v>-15006.280000000028</v>
      </c>
      <c r="E186" s="475">
        <f t="shared" si="1"/>
        <v>-15195.5</v>
      </c>
      <c r="F186" s="475">
        <f t="shared" si="1"/>
        <v>-7806.0999999999767</v>
      </c>
      <c r="G186" s="475">
        <f t="shared" si="1"/>
        <v>-8921.5000000000582</v>
      </c>
    </row>
  </sheetData>
  <mergeCells count="2">
    <mergeCell ref="A3:C3"/>
    <mergeCell ref="A81:C81"/>
  </mergeCells>
  <pageMargins left="0.25" right="0.25" top="0.75" bottom="0.75" header="0.3" footer="0.3"/>
  <pageSetup paperSize="9" orientation="portrait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80" max="8" man="1"/>
    <brk id="148" max="8" man="1"/>
  </rowBreak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237" t="s">
        <v>220</v>
      </c>
      <c r="B1" s="532" t="s">
        <v>666</v>
      </c>
      <c r="C1" s="532" t="s">
        <v>110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>
        <v>71379.199999999997</v>
      </c>
      <c r="E4" s="257">
        <v>67758.5</v>
      </c>
      <c r="F4" s="258">
        <v>64902.7</v>
      </c>
      <c r="G4" s="259">
        <v>69060.100000000006</v>
      </c>
    </row>
    <row r="5" spans="1:55" s="260" customFormat="1" ht="12.75" customHeight="1">
      <c r="A5" s="261">
        <v>31</v>
      </c>
      <c r="B5" s="262"/>
      <c r="C5" s="263" t="s">
        <v>224</v>
      </c>
      <c r="D5" s="264">
        <v>31330.799999999999</v>
      </c>
      <c r="E5" s="264">
        <v>29880.5</v>
      </c>
      <c r="F5" s="266">
        <v>29960.2</v>
      </c>
      <c r="G5" s="267">
        <v>32457.200000000001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>
        <v>8902.0499999999993</v>
      </c>
      <c r="E6" s="271">
        <v>7040</v>
      </c>
      <c r="F6" s="272">
        <v>7587.5</v>
      </c>
      <c r="G6" s="273">
        <v>8509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>
        <v>1463.8</v>
      </c>
      <c r="E7" s="271">
        <v>119</v>
      </c>
      <c r="F7" s="272">
        <v>401.8</v>
      </c>
      <c r="G7" s="273">
        <v>52.4</v>
      </c>
    </row>
    <row r="8" spans="1:55" s="260" customFormat="1" ht="12.75" customHeight="1">
      <c r="A8" s="274">
        <v>330</v>
      </c>
      <c r="B8" s="262"/>
      <c r="C8" s="263" t="s">
        <v>228</v>
      </c>
      <c r="D8" s="275">
        <v>9019</v>
      </c>
      <c r="E8" s="275">
        <v>13896</v>
      </c>
      <c r="F8" s="266">
        <v>8547.1</v>
      </c>
      <c r="G8" s="276">
        <v>9108</v>
      </c>
    </row>
    <row r="9" spans="1:55" s="260" customFormat="1" ht="12.75" customHeight="1">
      <c r="A9" s="274">
        <v>332</v>
      </c>
      <c r="B9" s="262"/>
      <c r="C9" s="263" t="s">
        <v>229</v>
      </c>
      <c r="D9" s="275">
        <v>0</v>
      </c>
      <c r="E9" s="275">
        <v>0</v>
      </c>
      <c r="F9" s="266">
        <v>0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2428.3999999999996</v>
      </c>
      <c r="E11" s="275">
        <v>2262</v>
      </c>
      <c r="F11" s="275">
        <v>2990.9</v>
      </c>
      <c r="G11" s="277">
        <v>2262</v>
      </c>
    </row>
    <row r="12" spans="1:55" s="285" customFormat="1" ht="14">
      <c r="A12" s="278">
        <v>351</v>
      </c>
      <c r="B12" s="279"/>
      <c r="C12" s="280" t="s">
        <v>232</v>
      </c>
      <c r="D12" s="282">
        <v>877.8</v>
      </c>
      <c r="E12" s="282">
        <v>1313.1</v>
      </c>
      <c r="F12" s="508">
        <v>1787.5</v>
      </c>
      <c r="G12" s="482">
        <v>1351</v>
      </c>
    </row>
    <row r="13" spans="1:55" s="260" customFormat="1" ht="12.75" customHeight="1">
      <c r="A13" s="261">
        <v>36</v>
      </c>
      <c r="B13" s="262"/>
      <c r="C13" s="263" t="s">
        <v>233</v>
      </c>
      <c r="D13" s="275">
        <v>189993.1</v>
      </c>
      <c r="E13" s="264">
        <v>160896</v>
      </c>
      <c r="F13" s="286">
        <v>160428.79999999999</v>
      </c>
      <c r="G13" s="276">
        <v>163541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>
        <v>3190.5</v>
      </c>
      <c r="E14" s="323">
        <v>39847.9</v>
      </c>
      <c r="F14" s="286">
        <v>42626.3</v>
      </c>
      <c r="G14" s="276">
        <v>40827.9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>
        <v>2087.5</v>
      </c>
      <c r="E15" s="323">
        <v>2178.3000000000002</v>
      </c>
      <c r="F15" s="286">
        <v>2130.1</v>
      </c>
      <c r="G15" s="276">
        <v>2517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>
        <v>4981.3999999999996</v>
      </c>
      <c r="E16" s="294">
        <v>5762.9</v>
      </c>
      <c r="F16" s="295">
        <v>4490.1000000000004</v>
      </c>
      <c r="G16" s="296">
        <v>5657</v>
      </c>
    </row>
    <row r="17" spans="1:7" s="299" customFormat="1">
      <c r="A17" s="261">
        <v>37</v>
      </c>
      <c r="B17" s="262"/>
      <c r="C17" s="263" t="s">
        <v>240</v>
      </c>
      <c r="D17" s="316">
        <v>28430.6</v>
      </c>
      <c r="E17" s="264">
        <v>24177.5</v>
      </c>
      <c r="F17" s="286">
        <v>25377.8</v>
      </c>
      <c r="G17" s="298">
        <v>25543.5</v>
      </c>
    </row>
    <row r="18" spans="1:7" s="299" customFormat="1">
      <c r="A18" s="322" t="s">
        <v>241</v>
      </c>
      <c r="B18" s="269"/>
      <c r="C18" s="270" t="s">
        <v>242</v>
      </c>
      <c r="D18" s="485">
        <v>703.8</v>
      </c>
      <c r="E18" s="323">
        <v>0</v>
      </c>
      <c r="F18" s="286">
        <v>799</v>
      </c>
      <c r="G18" s="298">
        <v>800</v>
      </c>
    </row>
    <row r="19" spans="1:7" s="299" customFormat="1">
      <c r="A19" s="322" t="s">
        <v>243</v>
      </c>
      <c r="B19" s="269"/>
      <c r="C19" s="270" t="s">
        <v>244</v>
      </c>
      <c r="D19" s="485">
        <v>0</v>
      </c>
      <c r="E19" s="323">
        <v>0</v>
      </c>
      <c r="F19" s="286">
        <v>0</v>
      </c>
      <c r="G19" s="298">
        <v>0</v>
      </c>
    </row>
    <row r="20" spans="1:7" s="260" customFormat="1" ht="12.75" customHeight="1">
      <c r="A20" s="301">
        <v>39</v>
      </c>
      <c r="B20" s="302"/>
      <c r="C20" s="303" t="s">
        <v>245</v>
      </c>
      <c r="D20" s="306">
        <v>10680.1</v>
      </c>
      <c r="E20" s="304">
        <v>12372.6</v>
      </c>
      <c r="F20" s="307">
        <v>11007.8</v>
      </c>
      <c r="G20" s="308">
        <v>11451.9</v>
      </c>
    </row>
    <row r="21" spans="1:7" ht="12.75" customHeight="1">
      <c r="A21" s="309"/>
      <c r="B21" s="309"/>
      <c r="C21" s="310" t="s">
        <v>246</v>
      </c>
      <c r="D21" s="311">
        <f>D4+D5+SUM(D8:D13)+D17</f>
        <v>333458.90000000002</v>
      </c>
      <c r="E21" s="311">
        <f>E4+E5+SUM(E8:E13)+E17</f>
        <v>300183.59999999998</v>
      </c>
      <c r="F21" s="311">
        <f>F4+F5+SUM(F8:F13)+F17</f>
        <v>293994.99999999994</v>
      </c>
      <c r="G21" s="311">
        <f>G4+G5+SUM(G8:G13)+G17</f>
        <v>303322.8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>
        <f>83896.4+12438</f>
        <v>96334.399999999994</v>
      </c>
      <c r="E22" s="275">
        <v>88068</v>
      </c>
      <c r="F22" s="266">
        <v>81222.8</v>
      </c>
      <c r="G22" s="276">
        <v>79900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>
        <f>3008.4+10733.2</f>
        <v>13741.6</v>
      </c>
      <c r="E23" s="275">
        <v>12701</v>
      </c>
      <c r="F23" s="266">
        <v>14099.7</v>
      </c>
      <c r="G23" s="276">
        <v>13391</v>
      </c>
    </row>
    <row r="24" spans="1:7" s="313" customFormat="1" ht="12.75" customHeight="1">
      <c r="A24" s="261">
        <v>41</v>
      </c>
      <c r="B24" s="262"/>
      <c r="C24" s="263" t="s">
        <v>251</v>
      </c>
      <c r="D24" s="275">
        <v>16143.6</v>
      </c>
      <c r="E24" s="275">
        <v>7413.1</v>
      </c>
      <c r="F24" s="266">
        <v>12378.2</v>
      </c>
      <c r="G24" s="276">
        <v>11185</v>
      </c>
    </row>
    <row r="25" spans="1:7" s="260" customFormat="1" ht="12.75" customHeight="1">
      <c r="A25" s="314">
        <v>42</v>
      </c>
      <c r="B25" s="315"/>
      <c r="C25" s="263" t="s">
        <v>252</v>
      </c>
      <c r="D25" s="275">
        <v>58263.1</v>
      </c>
      <c r="E25" s="275">
        <v>29413.9</v>
      </c>
      <c r="F25" s="266">
        <v>33444.5</v>
      </c>
      <c r="G25" s="276">
        <v>29194</v>
      </c>
    </row>
    <row r="26" spans="1:7" s="318" customFormat="1" ht="12.75" customHeight="1">
      <c r="A26" s="278">
        <v>430</v>
      </c>
      <c r="B26" s="262"/>
      <c r="C26" s="263" t="s">
        <v>253</v>
      </c>
      <c r="D26" s="316">
        <v>48.29</v>
      </c>
      <c r="E26" s="316">
        <v>44.5</v>
      </c>
      <c r="F26" s="317">
        <v>41.3</v>
      </c>
      <c r="G26" s="298">
        <v>43.5</v>
      </c>
    </row>
    <row r="27" spans="1:7" s="318" customFormat="1" ht="12.75" customHeight="1">
      <c r="A27" s="278">
        <v>431</v>
      </c>
      <c r="B27" s="262"/>
      <c r="C27" s="263" t="s">
        <v>254</v>
      </c>
      <c r="D27" s="316">
        <v>87.29</v>
      </c>
      <c r="E27" s="316">
        <v>190</v>
      </c>
      <c r="F27" s="317">
        <v>38.200000000000003</v>
      </c>
      <c r="G27" s="298">
        <v>300</v>
      </c>
    </row>
    <row r="28" spans="1:7" s="318" customFormat="1" ht="12.75" customHeight="1">
      <c r="A28" s="278">
        <v>432</v>
      </c>
      <c r="B28" s="262"/>
      <c r="C28" s="263" t="s">
        <v>255</v>
      </c>
      <c r="D28" s="316">
        <v>0</v>
      </c>
      <c r="E28" s="316">
        <v>0</v>
      </c>
      <c r="F28" s="317">
        <v>14.4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>
        <v>0</v>
      </c>
      <c r="E29" s="316">
        <v>0</v>
      </c>
      <c r="F29" s="317">
        <v>2.2000000000000002</v>
      </c>
      <c r="G29" s="298">
        <v>0</v>
      </c>
    </row>
    <row r="30" spans="1:7" s="260" customFormat="1" ht="31.25" customHeight="1">
      <c r="A30" s="278">
        <v>450</v>
      </c>
      <c r="B30" s="279"/>
      <c r="C30" s="280" t="s">
        <v>257</v>
      </c>
      <c r="D30" s="264">
        <v>2518.9499999999998</v>
      </c>
      <c r="E30" s="264">
        <v>363.80000000000007</v>
      </c>
      <c r="F30" s="264">
        <v>570.70000000000005</v>
      </c>
      <c r="G30" s="319">
        <v>373.6</v>
      </c>
    </row>
    <row r="31" spans="1:7" s="285" customFormat="1" ht="29.5" customHeight="1">
      <c r="A31" s="278">
        <v>451</v>
      </c>
      <c r="B31" s="279"/>
      <c r="C31" s="280" t="s">
        <v>258</v>
      </c>
      <c r="D31" s="281">
        <v>12409.7</v>
      </c>
      <c r="E31" s="281">
        <v>997.1</v>
      </c>
      <c r="F31" s="266">
        <v>920.8</v>
      </c>
      <c r="G31" s="276">
        <v>2565.4</v>
      </c>
    </row>
    <row r="32" spans="1:7" s="260" customFormat="1" ht="12.75" customHeight="1">
      <c r="A32" s="261">
        <v>46</v>
      </c>
      <c r="B32" s="262"/>
      <c r="C32" s="263" t="s">
        <v>259</v>
      </c>
      <c r="D32" s="275">
        <v>118667.8</v>
      </c>
      <c r="E32" s="275">
        <v>122864.9</v>
      </c>
      <c r="F32" s="266">
        <v>122530</v>
      </c>
      <c r="G32" s="276">
        <v>128255.7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>
        <v>0</v>
      </c>
      <c r="E33" s="275">
        <v>0</v>
      </c>
      <c r="F33" s="266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>
        <v>28430.6</v>
      </c>
      <c r="E34" s="275">
        <v>24177.5</v>
      </c>
      <c r="F34" s="266">
        <v>25377.8</v>
      </c>
      <c r="G34" s="276">
        <v>25543.5</v>
      </c>
    </row>
    <row r="35" spans="1:7" s="260" customFormat="1" ht="15" customHeight="1">
      <c r="A35" s="301">
        <v>49</v>
      </c>
      <c r="B35" s="302"/>
      <c r="C35" s="303" t="s">
        <v>262</v>
      </c>
      <c r="D35" s="306">
        <v>10680.1</v>
      </c>
      <c r="E35" s="304">
        <v>12372.6</v>
      </c>
      <c r="F35" s="307">
        <v>11007.8</v>
      </c>
      <c r="G35" s="308">
        <v>11451.9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346645.33</v>
      </c>
      <c r="E36" s="311">
        <f>E22+E23+E24+E25+E26+E27+E28+E29+E30+E31+E32+E34</f>
        <v>286233.8</v>
      </c>
      <c r="F36" s="311">
        <f>F22+F23+F24+F25+F26+F27+F28+F29+F30+F31+F32+F34</f>
        <v>290640.60000000003</v>
      </c>
      <c r="G36" s="311">
        <f>G22+G23+G24+G25+G26+G27+G28+G29+G30+G31+G32+G34</f>
        <v>290751.7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13186.429999999993</v>
      </c>
      <c r="E37" s="311">
        <f>E36-E21</f>
        <v>-13949.799999999988</v>
      </c>
      <c r="F37" s="311">
        <f>F36-F21</f>
        <v>-3354.3999999999069</v>
      </c>
      <c r="G37" s="311">
        <f>G36-G21</f>
        <v>-12571.099999999977</v>
      </c>
    </row>
    <row r="38" spans="1:7" s="285" customFormat="1" ht="15" customHeight="1">
      <c r="A38" s="274">
        <v>340</v>
      </c>
      <c r="B38" s="262"/>
      <c r="C38" s="263" t="s">
        <v>265</v>
      </c>
      <c r="D38" s="275">
        <v>2813.5</v>
      </c>
      <c r="E38" s="264">
        <v>2371.5</v>
      </c>
      <c r="F38" s="286">
        <v>2368.8000000000002</v>
      </c>
      <c r="G38" s="276">
        <v>1652</v>
      </c>
    </row>
    <row r="39" spans="1:7" s="285" customFormat="1" ht="15" customHeight="1">
      <c r="A39" s="274">
        <v>341</v>
      </c>
      <c r="B39" s="262"/>
      <c r="C39" s="263" t="s">
        <v>266</v>
      </c>
      <c r="D39" s="275">
        <v>0</v>
      </c>
      <c r="E39" s="275">
        <v>0</v>
      </c>
      <c r="F39" s="266">
        <v>0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275">
        <v>0</v>
      </c>
      <c r="E40" s="275">
        <v>0</v>
      </c>
      <c r="F40" s="266">
        <v>0</v>
      </c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275">
        <v>361.28</v>
      </c>
      <c r="E41" s="275">
        <v>150</v>
      </c>
      <c r="F41" s="266">
        <v>144.9</v>
      </c>
      <c r="G41" s="276">
        <v>1160</v>
      </c>
    </row>
    <row r="42" spans="1:7" s="285" customFormat="1" ht="15" customHeight="1">
      <c r="A42" s="274">
        <v>344</v>
      </c>
      <c r="B42" s="262"/>
      <c r="C42" s="263" t="s">
        <v>269</v>
      </c>
      <c r="D42" s="275">
        <v>1067</v>
      </c>
      <c r="E42" s="275">
        <v>0</v>
      </c>
      <c r="F42" s="266">
        <v>11780.6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>
        <v>1301.76</v>
      </c>
      <c r="E43" s="275">
        <v>1850</v>
      </c>
      <c r="F43" s="266">
        <v>2408.9</v>
      </c>
      <c r="G43" s="276">
        <v>4100</v>
      </c>
    </row>
    <row r="44" spans="1:7" s="260" customFormat="1" ht="15" customHeight="1">
      <c r="A44" s="261">
        <v>440</v>
      </c>
      <c r="B44" s="262"/>
      <c r="C44" s="263" t="s">
        <v>271</v>
      </c>
      <c r="D44" s="275">
        <v>6678.3</v>
      </c>
      <c r="E44" s="264">
        <v>6425.1</v>
      </c>
      <c r="F44" s="286">
        <v>6401.9</v>
      </c>
      <c r="G44" s="276">
        <v>6454.1</v>
      </c>
    </row>
    <row r="45" spans="1:7" s="260" customFormat="1" ht="15" customHeight="1">
      <c r="A45" s="261">
        <v>441</v>
      </c>
      <c r="B45" s="262"/>
      <c r="C45" s="263" t="s">
        <v>272</v>
      </c>
      <c r="D45" s="275">
        <v>0</v>
      </c>
      <c r="E45" s="264">
        <v>0</v>
      </c>
      <c r="F45" s="286">
        <v>0</v>
      </c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275">
        <v>1733.7</v>
      </c>
      <c r="E46" s="264">
        <v>2250</v>
      </c>
      <c r="F46" s="286">
        <v>2321.9</v>
      </c>
      <c r="G46" s="276">
        <v>4000</v>
      </c>
    </row>
    <row r="47" spans="1:7" s="260" customFormat="1" ht="15" customHeight="1">
      <c r="A47" s="261">
        <v>443</v>
      </c>
      <c r="B47" s="262"/>
      <c r="C47" s="263" t="s">
        <v>274</v>
      </c>
      <c r="D47" s="275">
        <v>1131.9000000000001</v>
      </c>
      <c r="E47" s="264">
        <v>1063.2</v>
      </c>
      <c r="F47" s="286">
        <v>1262.9000000000001</v>
      </c>
      <c r="G47" s="276">
        <v>1268.2</v>
      </c>
    </row>
    <row r="48" spans="1:7" s="260" customFormat="1" ht="15" customHeight="1">
      <c r="A48" s="261">
        <v>444</v>
      </c>
      <c r="B48" s="262"/>
      <c r="C48" s="263" t="s">
        <v>269</v>
      </c>
      <c r="D48" s="275">
        <v>1067</v>
      </c>
      <c r="E48" s="264">
        <v>0</v>
      </c>
      <c r="F48" s="286">
        <v>11780.6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275">
        <v>8.9600000000000009</v>
      </c>
      <c r="E49" s="264">
        <v>20</v>
      </c>
      <c r="F49" s="286">
        <v>1.9</v>
      </c>
      <c r="G49" s="276">
        <v>2010</v>
      </c>
    </row>
    <row r="50" spans="1:7" s="260" customFormat="1" ht="15" customHeight="1">
      <c r="A50" s="261">
        <v>446</v>
      </c>
      <c r="B50" s="262"/>
      <c r="C50" s="263" t="s">
        <v>276</v>
      </c>
      <c r="D50" s="275">
        <v>2304.4</v>
      </c>
      <c r="E50" s="264">
        <v>1880</v>
      </c>
      <c r="F50" s="286">
        <v>1830.2</v>
      </c>
      <c r="G50" s="276">
        <v>1382</v>
      </c>
    </row>
    <row r="51" spans="1:7" s="260" customFormat="1" ht="15" customHeight="1">
      <c r="A51" s="261">
        <v>447</v>
      </c>
      <c r="B51" s="262"/>
      <c r="C51" s="263" t="s">
        <v>277</v>
      </c>
      <c r="D51" s="275">
        <v>301.8</v>
      </c>
      <c r="E51" s="264">
        <v>135.5</v>
      </c>
      <c r="F51" s="286">
        <v>449</v>
      </c>
      <c r="G51" s="276">
        <v>425.5</v>
      </c>
    </row>
    <row r="52" spans="1:7" s="260" customFormat="1" ht="15" customHeight="1">
      <c r="A52" s="261">
        <v>448</v>
      </c>
      <c r="B52" s="262"/>
      <c r="C52" s="263" t="s">
        <v>278</v>
      </c>
      <c r="D52" s="275">
        <v>0</v>
      </c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275">
        <v>0</v>
      </c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>
        <v>0</v>
      </c>
      <c r="E54" s="331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7682.5199999999977</v>
      </c>
      <c r="E55" s="311">
        <f>SUM(E44:E53)-SUM(E38:E43)</f>
        <v>7402.3000000000011</v>
      </c>
      <c r="F55" s="311">
        <f>SUM(F44:F53)-SUM(F38:F43)</f>
        <v>7345.2000000000007</v>
      </c>
      <c r="G55" s="311">
        <f>SUM(G44:G53)-SUM(G38:G43)</f>
        <v>8627.8000000000011</v>
      </c>
    </row>
    <row r="56" spans="1:7" ht="14.25" customHeight="1">
      <c r="A56" s="335"/>
      <c r="B56" s="335"/>
      <c r="C56" s="310" t="s">
        <v>283</v>
      </c>
      <c r="D56" s="311">
        <f>D55+D37</f>
        <v>20868.94999999999</v>
      </c>
      <c r="E56" s="311">
        <f>E55+E37</f>
        <v>-6547.4999999999873</v>
      </c>
      <c r="F56" s="311">
        <f>F55+F37</f>
        <v>3990.8000000000939</v>
      </c>
      <c r="G56" s="311">
        <f>G55+G37</f>
        <v>-3943.2999999999756</v>
      </c>
    </row>
    <row r="57" spans="1:7" s="260" customFormat="1" ht="15.75" customHeight="1">
      <c r="A57" s="336">
        <v>380</v>
      </c>
      <c r="B57" s="337"/>
      <c r="C57" s="338" t="s">
        <v>284</v>
      </c>
      <c r="D57" s="340">
        <v>0</v>
      </c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>
        <v>0</v>
      </c>
      <c r="E58" s="339"/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286</v>
      </c>
      <c r="D59" s="344">
        <v>9727.1</v>
      </c>
      <c r="E59" s="343">
        <v>0</v>
      </c>
      <c r="F59" s="345">
        <v>4031.6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>
        <v>0</v>
      </c>
      <c r="E60" s="346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>
        <v>0</v>
      </c>
      <c r="E61" s="346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>
        <v>0</v>
      </c>
      <c r="E62" s="346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>
        <v>2666.6</v>
      </c>
      <c r="E63" s="346">
        <v>0</v>
      </c>
      <c r="F63" s="508">
        <v>2482.5</v>
      </c>
      <c r="G63" s="482">
        <v>0</v>
      </c>
    </row>
    <row r="64" spans="1:7" s="285" customFormat="1">
      <c r="A64" s="274">
        <v>389</v>
      </c>
      <c r="B64" s="352"/>
      <c r="C64" s="263" t="s">
        <v>57</v>
      </c>
      <c r="D64" s="275">
        <v>507.3</v>
      </c>
      <c r="E64" s="275">
        <v>200</v>
      </c>
      <c r="F64" s="266">
        <v>366</v>
      </c>
      <c r="G64" s="276">
        <v>300</v>
      </c>
    </row>
    <row r="65" spans="1:7" s="260" customFormat="1">
      <c r="A65" s="274" t="s">
        <v>291</v>
      </c>
      <c r="B65" s="262"/>
      <c r="C65" s="263" t="s">
        <v>292</v>
      </c>
      <c r="D65" s="275">
        <v>0</v>
      </c>
      <c r="E65" s="275">
        <v>0</v>
      </c>
      <c r="F65" s="266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>
        <v>0</v>
      </c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>
        <v>0</v>
      </c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>
        <v>0</v>
      </c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>
        <v>0</v>
      </c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>
        <v>0</v>
      </c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>
        <v>0</v>
      </c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>
        <v>0</v>
      </c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>
        <v>0</v>
      </c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>
        <v>134.4</v>
      </c>
      <c r="E74" s="264">
        <v>3587.6</v>
      </c>
      <c r="F74" s="286">
        <v>3595.6</v>
      </c>
      <c r="G74" s="276">
        <v>3584.6</v>
      </c>
    </row>
    <row r="75" spans="1:7" s="285" customFormat="1">
      <c r="A75" s="357" t="s">
        <v>302</v>
      </c>
      <c r="B75" s="356"/>
      <c r="C75" s="330" t="s">
        <v>303</v>
      </c>
      <c r="D75" s="275">
        <v>0</v>
      </c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-12766.6</v>
      </c>
      <c r="E76" s="311">
        <f>SUM(E65:E74)-SUM(E57:E64)</f>
        <v>3387.6</v>
      </c>
      <c r="F76" s="311">
        <f>SUM(F65:F74)-SUM(F57:F64)</f>
        <v>-3284.5000000000005</v>
      </c>
      <c r="G76" s="311">
        <f>SUM(G65:G74)-SUM(G57:G64)</f>
        <v>3284.6</v>
      </c>
    </row>
    <row r="77" spans="1:7">
      <c r="A77" s="358"/>
      <c r="B77" s="358"/>
      <c r="C77" s="310" t="s">
        <v>305</v>
      </c>
      <c r="D77" s="311">
        <f>D56+D76</f>
        <v>8102.3499999999894</v>
      </c>
      <c r="E77" s="311">
        <f>E56+E76</f>
        <v>-3159.8999999999874</v>
      </c>
      <c r="F77" s="311">
        <f>F56+F76</f>
        <v>706.30000000009341</v>
      </c>
      <c r="G77" s="311">
        <f>G56+G76</f>
        <v>-658.69999999997572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362583.54</v>
      </c>
      <c r="E78" s="361">
        <f>E20+E21+SUM(E38:E43)+SUM(E57:E64)</f>
        <v>317127.69999999995</v>
      </c>
      <c r="F78" s="361">
        <f>F20+F21+SUM(F38:F43)+SUM(F57:F64)</f>
        <v>328586.09999999992</v>
      </c>
      <c r="G78" s="361">
        <f>G20+G21+SUM(G38:G43)+SUM(G57:G64)</f>
        <v>321986.7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370685.89</v>
      </c>
      <c r="E79" s="361">
        <f>E35+E36+SUM(E44:E53)+SUM(E65:E74)</f>
        <v>313967.79999999993</v>
      </c>
      <c r="F79" s="361">
        <f>F35+F36+SUM(F44:F53)+SUM(F65:F74)</f>
        <v>329292.40000000002</v>
      </c>
      <c r="G79" s="361">
        <f>G35+G36+SUM(G44:G53)+SUM(G65:G74)</f>
        <v>321328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275">
        <v>11527.6</v>
      </c>
      <c r="E82" s="275">
        <v>11637.1</v>
      </c>
      <c r="F82" s="266">
        <v>11228.8</v>
      </c>
      <c r="G82" s="276">
        <v>12410</v>
      </c>
    </row>
    <row r="83" spans="1:7" s="260" customFormat="1">
      <c r="A83" s="367">
        <v>51</v>
      </c>
      <c r="B83" s="368"/>
      <c r="C83" s="368" t="s">
        <v>310</v>
      </c>
      <c r="D83" s="275">
        <v>0</v>
      </c>
      <c r="E83" s="275">
        <v>0</v>
      </c>
      <c r="F83" s="266">
        <v>0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275">
        <v>1277.3</v>
      </c>
      <c r="E84" s="275">
        <v>1165</v>
      </c>
      <c r="F84" s="266">
        <v>1248.5999999999999</v>
      </c>
      <c r="G84" s="276">
        <v>900</v>
      </c>
    </row>
    <row r="85" spans="1:7" s="260" customFormat="1">
      <c r="A85" s="367">
        <v>54</v>
      </c>
      <c r="B85" s="368"/>
      <c r="C85" s="368" t="s">
        <v>312</v>
      </c>
      <c r="D85" s="275">
        <v>70</v>
      </c>
      <c r="E85" s="275">
        <v>900</v>
      </c>
      <c r="F85" s="266">
        <v>10</v>
      </c>
      <c r="G85" s="276">
        <v>150</v>
      </c>
    </row>
    <row r="86" spans="1:7" s="260" customFormat="1">
      <c r="A86" s="367">
        <v>55</v>
      </c>
      <c r="B86" s="368"/>
      <c r="C86" s="368" t="s">
        <v>313</v>
      </c>
      <c r="D86" s="275">
        <v>40</v>
      </c>
      <c r="E86" s="275">
        <v>0</v>
      </c>
      <c r="F86" s="266">
        <v>0</v>
      </c>
      <c r="G86" s="276">
        <v>0</v>
      </c>
    </row>
    <row r="87" spans="1:7" s="260" customFormat="1">
      <c r="A87" s="367">
        <v>56</v>
      </c>
      <c r="B87" s="368"/>
      <c r="C87" s="368" t="s">
        <v>314</v>
      </c>
      <c r="D87" s="275">
        <v>13617.8</v>
      </c>
      <c r="E87" s="275">
        <v>13296.7</v>
      </c>
      <c r="F87" s="266">
        <v>8914</v>
      </c>
      <c r="G87" s="276">
        <v>12639.9</v>
      </c>
    </row>
    <row r="88" spans="1:7" s="260" customFormat="1">
      <c r="A88" s="367">
        <v>57</v>
      </c>
      <c r="B88" s="368"/>
      <c r="C88" s="368" t="s">
        <v>315</v>
      </c>
      <c r="D88" s="275">
        <v>3607.3</v>
      </c>
      <c r="E88" s="275">
        <v>1970</v>
      </c>
      <c r="F88" s="266">
        <v>3940.3</v>
      </c>
      <c r="G88" s="276">
        <v>1475</v>
      </c>
    </row>
    <row r="89" spans="1:7" s="260" customFormat="1">
      <c r="A89" s="367">
        <v>580</v>
      </c>
      <c r="B89" s="368"/>
      <c r="C89" s="368" t="s">
        <v>316</v>
      </c>
      <c r="D89" s="275">
        <v>0</v>
      </c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>
        <v>0</v>
      </c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>
        <v>0</v>
      </c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>
        <v>0</v>
      </c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>
        <v>0</v>
      </c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>
        <v>0</v>
      </c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30139.999999999996</v>
      </c>
      <c r="E95" s="376">
        <f>SUM(E82:E94)</f>
        <v>28968.800000000003</v>
      </c>
      <c r="F95" s="376">
        <f>SUM(F82:F94)</f>
        <v>25341.7</v>
      </c>
      <c r="G95" s="376">
        <f>SUM(G82:G94)</f>
        <v>27574.9</v>
      </c>
    </row>
    <row r="96" spans="1:7" s="260" customFormat="1">
      <c r="A96" s="367">
        <v>60</v>
      </c>
      <c r="B96" s="368"/>
      <c r="C96" s="368" t="s">
        <v>323</v>
      </c>
      <c r="D96" s="275">
        <v>0</v>
      </c>
      <c r="E96" s="275">
        <v>0</v>
      </c>
      <c r="F96" s="266">
        <v>0</v>
      </c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275">
        <v>0</v>
      </c>
      <c r="E97" s="275">
        <v>0</v>
      </c>
      <c r="F97" s="266">
        <v>0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275">
        <v>0</v>
      </c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275">
        <v>8564.2000000000007</v>
      </c>
      <c r="E99" s="275">
        <v>8381.5</v>
      </c>
      <c r="F99" s="266">
        <v>7288.4</v>
      </c>
      <c r="G99" s="276">
        <v>8269.6</v>
      </c>
    </row>
    <row r="100" spans="1:7" s="260" customFormat="1">
      <c r="A100" s="367">
        <v>64</v>
      </c>
      <c r="B100" s="368"/>
      <c r="C100" s="368" t="s">
        <v>327</v>
      </c>
      <c r="D100" s="275">
        <v>282.8</v>
      </c>
      <c r="E100" s="275">
        <v>600</v>
      </c>
      <c r="F100" s="266">
        <v>475.9</v>
      </c>
      <c r="G100" s="276">
        <v>570</v>
      </c>
    </row>
    <row r="101" spans="1:7" s="260" customFormat="1">
      <c r="A101" s="367">
        <v>65</v>
      </c>
      <c r="B101" s="368"/>
      <c r="C101" s="368" t="s">
        <v>328</v>
      </c>
      <c r="D101" s="275">
        <v>0</v>
      </c>
      <c r="E101" s="275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275">
        <v>0</v>
      </c>
      <c r="E102" s="275">
        <v>0</v>
      </c>
      <c r="F102" s="266">
        <v>0</v>
      </c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275">
        <v>3607.3</v>
      </c>
      <c r="E103" s="275">
        <v>1970</v>
      </c>
      <c r="F103" s="286">
        <v>3940.4</v>
      </c>
      <c r="G103" s="267">
        <v>1475</v>
      </c>
    </row>
    <row r="104" spans="1:7" s="355" customFormat="1" ht="28">
      <c r="A104" s="377" t="s">
        <v>330</v>
      </c>
      <c r="B104" s="549"/>
      <c r="C104" s="378" t="s">
        <v>331</v>
      </c>
      <c r="D104" s="344">
        <v>0</v>
      </c>
      <c r="E104" s="344">
        <v>0</v>
      </c>
      <c r="F104" s="312">
        <v>0</v>
      </c>
      <c r="G104" s="321">
        <v>0</v>
      </c>
    </row>
    <row r="105" spans="1:7" s="355" customFormat="1" ht="42">
      <c r="A105" s="381" t="s">
        <v>332</v>
      </c>
      <c r="B105" s="543"/>
      <c r="C105" s="382" t="s">
        <v>333</v>
      </c>
      <c r="D105" s="550">
        <v>0</v>
      </c>
      <c r="E105" s="550">
        <v>0</v>
      </c>
      <c r="F105" s="551">
        <v>0</v>
      </c>
      <c r="G105" s="552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12454.3</v>
      </c>
      <c r="E106" s="376">
        <f>SUM(E96:E105)</f>
        <v>10951.5</v>
      </c>
      <c r="F106" s="376">
        <f>SUM(F96:F105)</f>
        <v>11704.699999999999</v>
      </c>
      <c r="G106" s="376">
        <f>SUM(G96:G105)</f>
        <v>10314.6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17685.699999999997</v>
      </c>
      <c r="E107" s="376">
        <f>(E95-E88)-(E106-E103)</f>
        <v>18017.300000000003</v>
      </c>
      <c r="F107" s="376">
        <f>(F95-F88)-(F106-F103)</f>
        <v>13637.100000000002</v>
      </c>
      <c r="G107" s="376">
        <f>(G95-G88)-(G106-G103)</f>
        <v>17260.300000000003</v>
      </c>
    </row>
    <row r="108" spans="1:7">
      <c r="A108" s="387" t="s">
        <v>336</v>
      </c>
      <c r="B108" s="387"/>
      <c r="C108" s="388" t="s">
        <v>337</v>
      </c>
      <c r="D108" s="376">
        <f>ROUND(D107-D85-D86+D100+D101,0)</f>
        <v>17859</v>
      </c>
      <c r="E108" s="376">
        <f>ROUND(E107-E85-E86+E100+E101,0)</f>
        <v>17717</v>
      </c>
      <c r="F108" s="376">
        <f>ROUND(F107-F85-F86+F100+F101,0)</f>
        <v>14103</v>
      </c>
      <c r="G108" s="376">
        <f>ROUND(G107-G85-G86+G100+G101,0)</f>
        <v>17680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373964.75999999995</v>
      </c>
      <c r="E111" s="394">
        <f>E112+E117</f>
        <v>0</v>
      </c>
      <c r="F111" s="394">
        <f>F112+F117</f>
        <v>368619.89999999997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93650.93</v>
      </c>
      <c r="E112" s="394">
        <f>E113+E114+E115+E116</f>
        <v>0</v>
      </c>
      <c r="F112" s="394">
        <f>F113+F114+F115+F116</f>
        <v>92962.3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>
        <f>46.93+13235+5751.6+0+16453.6+35520.4+15145.7+252.3+59.4</f>
        <v>86464.93</v>
      </c>
      <c r="E113" s="275"/>
      <c r="F113" s="275">
        <v>89762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>
        <v>0</v>
      </c>
      <c r="E114" s="344"/>
      <c r="F114" s="344">
        <v>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>
        <f>736.1+5027.5+511+911.4</f>
        <v>7186</v>
      </c>
      <c r="E115" s="275"/>
      <c r="F115" s="275">
        <v>3200.3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>
        <v>0</v>
      </c>
      <c r="E116" s="275"/>
      <c r="F116" s="275"/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280313.82999999996</v>
      </c>
      <c r="E117" s="394">
        <f>E118+E119+E120</f>
        <v>0</v>
      </c>
      <c r="F117" s="394">
        <f>F118+F119+F120</f>
        <v>275657.59999999998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>
        <f>261798.95+4615.66</f>
        <v>266414.61</v>
      </c>
      <c r="E118" s="275"/>
      <c r="F118" s="275">
        <v>261808.4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>
        <f>2494.22+11405</f>
        <v>13899.22</v>
      </c>
      <c r="E119" s="275"/>
      <c r="F119" s="275">
        <v>13849.2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>
        <v>0</v>
      </c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199271.88</v>
      </c>
      <c r="E121" s="394">
        <f>SUM(E122:E130)</f>
        <v>0</v>
      </c>
      <c r="F121" s="394">
        <f>SUM(F122:F130)</f>
        <v>202299.8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>
        <f>-1994.6+0+22697.2+0+0</f>
        <v>20702.600000000002</v>
      </c>
      <c r="E122" s="275"/>
      <c r="F122" s="275">
        <v>19800.5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>
        <f>1230.7+4748+3721.85+239.3+18496.58</f>
        <v>28436.43</v>
      </c>
      <c r="E123" s="275"/>
      <c r="F123" s="275">
        <v>28583.7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>
        <f>386.1+2232.5+76959.95+166.3</f>
        <v>79744.850000000006</v>
      </c>
      <c r="E124" s="412"/>
      <c r="F124" s="275">
        <v>91484.3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>
        <f>13438.4+28065.1+29340.4-455.9</f>
        <v>70388</v>
      </c>
      <c r="E125" s="412"/>
      <c r="F125" s="275">
        <v>68945.399999999994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>
        <v>0</v>
      </c>
      <c r="E126" s="416"/>
      <c r="F126" s="281">
        <v>-1743.9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>
        <v>0</v>
      </c>
      <c r="E127" s="412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>
        <v>0</v>
      </c>
      <c r="E128" s="412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>
        <v>0</v>
      </c>
      <c r="E129" s="412"/>
      <c r="F129" s="275">
        <v>-4770.2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>
        <v>0</v>
      </c>
      <c r="E130" s="420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573236.6399999999</v>
      </c>
      <c r="E131" s="424">
        <f>E111+E121</f>
        <v>0</v>
      </c>
      <c r="F131" s="424">
        <f>F111+F121</f>
        <v>570919.69999999995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194722.06</v>
      </c>
      <c r="E133" s="425">
        <f>E134+E140</f>
        <v>0</v>
      </c>
      <c r="F133" s="425">
        <f>F134+F140</f>
        <v>189156.6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90720.8</v>
      </c>
      <c r="E134" s="394">
        <f>E135+E136+E138+E139</f>
        <v>0</v>
      </c>
      <c r="F134" s="394">
        <f>F135+F136+F138+F139</f>
        <v>106117.1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>
        <f>51392.9+1369.5+5872.4+170.3</f>
        <v>58805.100000000006</v>
      </c>
      <c r="E135" s="275"/>
      <c r="F135" s="275">
        <v>76604.800000000003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>
        <v>20425</v>
      </c>
      <c r="E136" s="275"/>
      <c r="F136" s="275">
        <v>22525</v>
      </c>
      <c r="G136" s="277"/>
    </row>
    <row r="137" spans="1:7" s="429" customFormat="1">
      <c r="A137" s="430" t="s">
        <v>667</v>
      </c>
      <c r="B137" s="400"/>
      <c r="C137" s="400" t="s">
        <v>370</v>
      </c>
      <c r="D137" s="271">
        <v>0</v>
      </c>
      <c r="E137" s="43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>
        <f>276.3+0+6314.65+1005.65+128.4+2769.8+3.2</f>
        <v>10498</v>
      </c>
      <c r="E138" s="412"/>
      <c r="F138" s="275">
        <v>6031.2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>
        <v>992.7</v>
      </c>
      <c r="E139" s="412"/>
      <c r="F139" s="275">
        <v>956.1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104001.26</v>
      </c>
      <c r="E140" s="394">
        <f>E141+E143+E144</f>
        <v>0</v>
      </c>
      <c r="F140" s="394">
        <f>F141+F143+F144</f>
        <v>83039.5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>
        <v>82935.199999999997</v>
      </c>
      <c r="E141" s="412"/>
      <c r="F141" s="275">
        <v>61525.599999999999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>
        <v>0</v>
      </c>
      <c r="E142" s="43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>
        <v>0</v>
      </c>
      <c r="E143" s="412"/>
      <c r="F143" s="275">
        <v>0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>
        <f>10145.92+10920.14</f>
        <v>21066.059999999998</v>
      </c>
      <c r="E144" s="416"/>
      <c r="F144" s="281">
        <v>21513.9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>
        <v>378514.9</v>
      </c>
      <c r="E145" s="412"/>
      <c r="F145" s="412">
        <v>381762.9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>
        <v>51349.5</v>
      </c>
      <c r="E146" s="332"/>
      <c r="F146" s="332"/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573236.96</v>
      </c>
      <c r="E147" s="424">
        <f>E133+E145</f>
        <v>0</v>
      </c>
      <c r="F147" s="424">
        <f>F133+F145</f>
        <v>570919.5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509"/>
      <c r="C150" s="509" t="s">
        <v>97</v>
      </c>
      <c r="D150" s="442">
        <f>D77+SUM(D8:D12)-D30-D31+D16-D33+D59+D63-D73+D64-D74-D54+D20-D35</f>
        <v>23246.899999999987</v>
      </c>
      <c r="E150" s="442">
        <f>E77+SUM(E8:E12)-E30-E31+E16-E33+E59+E63-E73+E64-E74-E54+E20-E35</f>
        <v>15325.600000000011</v>
      </c>
      <c r="F150" s="442">
        <f>F77+SUM(F8:F12)-F30-F31+F16-F33+F59+F63-F73+F64-F74-F54+F20-F35</f>
        <v>20314.900000000096</v>
      </c>
      <c r="G150" s="442">
        <f>G77+SUM(G8:G12)-G30-G31+G16-G33+G59+G63-G73+G64-G74-G54+G20-G35</f>
        <v>11495.700000000024</v>
      </c>
    </row>
    <row r="151" spans="1:7">
      <c r="A151" s="510" t="s">
        <v>387</v>
      </c>
      <c r="B151" s="510"/>
      <c r="C151" s="510" t="s">
        <v>388</v>
      </c>
      <c r="D151" s="445">
        <f>IF(D177=0,0,D150/D177)</f>
        <v>7.013892285255531E-2</v>
      </c>
      <c r="E151" s="445">
        <f>IF(E177=0,0,E150/E177)</f>
        <v>5.5967550681974017E-2</v>
      </c>
      <c r="F151" s="445">
        <f>IF(F177=0,0,F150/F177)</f>
        <v>7.021815954584576E-2</v>
      </c>
      <c r="G151" s="445">
        <f>IF(G177=0,0,G150/G177)</f>
        <v>4.0946685283599613E-2</v>
      </c>
    </row>
    <row r="152" spans="1:7" s="449" customFormat="1" ht="28">
      <c r="A152" s="511" t="s">
        <v>389</v>
      </c>
      <c r="B152" s="511"/>
      <c r="C152" s="511" t="s">
        <v>390</v>
      </c>
      <c r="D152" s="448">
        <f t="shared" ref="D152:G153" si="0">IF(IF(D107=0,0,D$150/D107)&lt;0,"negativ",(IF(D107=0,0,D$150/D107)))</f>
        <v>1.3144461344476039</v>
      </c>
      <c r="E152" s="448">
        <f t="shared" si="0"/>
        <v>0.85060469659715987</v>
      </c>
      <c r="F152" s="448">
        <f t="shared" si="0"/>
        <v>1.4896788906732439</v>
      </c>
      <c r="G152" s="448">
        <f t="shared" si="0"/>
        <v>0.66601970997027993</v>
      </c>
    </row>
    <row r="153" spans="1:7" s="449" customFormat="1" ht="28">
      <c r="A153" s="512" t="s">
        <v>389</v>
      </c>
      <c r="B153" s="512"/>
      <c r="C153" s="512" t="s">
        <v>391</v>
      </c>
      <c r="D153" s="452">
        <f t="shared" si="0"/>
        <v>1.3016910241334894</v>
      </c>
      <c r="E153" s="452">
        <f t="shared" si="0"/>
        <v>0.86502229497093253</v>
      </c>
      <c r="F153" s="452">
        <f t="shared" si="0"/>
        <v>1.4404665673970145</v>
      </c>
      <c r="G153" s="452">
        <f t="shared" si="0"/>
        <v>0.65020927601810097</v>
      </c>
    </row>
    <row r="154" spans="1:7" s="449" customFormat="1" ht="28">
      <c r="A154" s="513" t="s">
        <v>392</v>
      </c>
      <c r="B154" s="513"/>
      <c r="C154" s="513" t="s">
        <v>393</v>
      </c>
      <c r="D154" s="455">
        <f>D150-D107</f>
        <v>5561.1999999999898</v>
      </c>
      <c r="E154" s="455">
        <f>E150-E107</f>
        <v>-2691.6999999999916</v>
      </c>
      <c r="F154" s="455">
        <f>F150-F107</f>
        <v>6677.8000000000939</v>
      </c>
      <c r="G154" s="455">
        <f>G150-G107</f>
        <v>-5764.5999999999785</v>
      </c>
    </row>
    <row r="155" spans="1:7" ht="28">
      <c r="A155" s="512" t="s">
        <v>394</v>
      </c>
      <c r="B155" s="512"/>
      <c r="C155" s="512" t="s">
        <v>395</v>
      </c>
      <c r="D155" s="456">
        <f>D150-D108</f>
        <v>5387.8999999999869</v>
      </c>
      <c r="E155" s="456">
        <f>E150-E108</f>
        <v>-2391.3999999999887</v>
      </c>
      <c r="F155" s="456">
        <f>F150-F108</f>
        <v>6211.900000000096</v>
      </c>
      <c r="G155" s="456">
        <f>G150-G108</f>
        <v>-6184.2999999999756</v>
      </c>
    </row>
    <row r="156" spans="1:7">
      <c r="A156" s="509" t="s">
        <v>396</v>
      </c>
      <c r="B156" s="509"/>
      <c r="C156" s="509" t="s">
        <v>397</v>
      </c>
      <c r="D156" s="457">
        <f>D135+D136-D137+D141-D142</f>
        <v>162165.29999999999</v>
      </c>
      <c r="E156" s="457">
        <f>E135+E136-E137+E141-E142</f>
        <v>0</v>
      </c>
      <c r="F156" s="457">
        <f>F135+F136-F137+F141-F142</f>
        <v>160655.4</v>
      </c>
      <c r="G156" s="457">
        <f>G135+G136-G137+G141-G142</f>
        <v>0</v>
      </c>
    </row>
    <row r="157" spans="1:7">
      <c r="A157" s="514" t="s">
        <v>398</v>
      </c>
      <c r="B157" s="514"/>
      <c r="C157" s="514" t="s">
        <v>399</v>
      </c>
      <c r="D157" s="460">
        <f>IF(D177=0,0,D156/D177)</f>
        <v>0.48927381569419975</v>
      </c>
      <c r="E157" s="460">
        <f>IF(E177=0,0,E156/E177)</f>
        <v>0</v>
      </c>
      <c r="F157" s="460">
        <f>IF(F177=0,0,F156/F177)</f>
        <v>0.55530307848434468</v>
      </c>
      <c r="G157" s="460">
        <f>IF(G177=0,0,G156/G177)</f>
        <v>0</v>
      </c>
    </row>
    <row r="158" spans="1:7">
      <c r="A158" s="509" t="s">
        <v>400</v>
      </c>
      <c r="B158" s="509"/>
      <c r="C158" s="509" t="s">
        <v>401</v>
      </c>
      <c r="D158" s="457">
        <f>D133-D142-D111</f>
        <v>-179242.69999999995</v>
      </c>
      <c r="E158" s="457">
        <f>E133-E142-E111</f>
        <v>0</v>
      </c>
      <c r="F158" s="457">
        <f>F133-F142-F111</f>
        <v>-179463.29999999996</v>
      </c>
      <c r="G158" s="457">
        <f>G133-G142-G111</f>
        <v>0</v>
      </c>
    </row>
    <row r="159" spans="1:7">
      <c r="A159" s="510" t="s">
        <v>402</v>
      </c>
      <c r="B159" s="510"/>
      <c r="C159" s="510" t="s">
        <v>403</v>
      </c>
      <c r="D159" s="461">
        <f>D121-D123-D124-D142-D145</f>
        <v>-287424.30000000005</v>
      </c>
      <c r="E159" s="461">
        <f>E121-E123-E124-E142-E145</f>
        <v>0</v>
      </c>
      <c r="F159" s="461">
        <f>F121-F123-F124-F142-F145</f>
        <v>-299531.10000000003</v>
      </c>
      <c r="G159" s="461">
        <f>G121-G123-G124-G142-G145</f>
        <v>0</v>
      </c>
    </row>
    <row r="160" spans="1:7">
      <c r="A160" s="510" t="s">
        <v>404</v>
      </c>
      <c r="B160" s="510"/>
      <c r="C160" s="510" t="s">
        <v>405</v>
      </c>
      <c r="D160" s="462">
        <f>IF(D175=0,"-",1000*D158/D175)</f>
        <v>-4643.9541933310866</v>
      </c>
      <c r="E160" s="462">
        <f>IF(E175=0,"-",1000*E158/E175)</f>
        <v>0</v>
      </c>
      <c r="F160" s="462">
        <f>IF(F175=0,"-",1000*F158/F175)</f>
        <v>-4649.6696634453447</v>
      </c>
      <c r="G160" s="462">
        <f>IF(G175=0,"-",1000*G158/G175)</f>
        <v>0</v>
      </c>
    </row>
    <row r="161" spans="1:7">
      <c r="A161" s="510" t="s">
        <v>404</v>
      </c>
      <c r="B161" s="510"/>
      <c r="C161" s="510" t="s">
        <v>406</v>
      </c>
      <c r="D161" s="461">
        <f>IF(D175=0,0,1000*(D159/D175))</f>
        <v>-7446.8041557634024</v>
      </c>
      <c r="E161" s="461">
        <f>IF(E175=0,0,1000*(E159/E175))</f>
        <v>0</v>
      </c>
      <c r="F161" s="461">
        <f>IF(F175=0,0,1000*(F159/F175))</f>
        <v>-7760.4762028136911</v>
      </c>
      <c r="G161" s="461">
        <f>IF(G175=0,0,1000*(G159/G175))</f>
        <v>0</v>
      </c>
    </row>
    <row r="162" spans="1:7">
      <c r="A162" s="514" t="s">
        <v>407</v>
      </c>
      <c r="B162" s="514"/>
      <c r="C162" s="514" t="s">
        <v>408</v>
      </c>
      <c r="D162" s="460">
        <f>IF((D22+D23+D65+D66)=0,0,D158/(D22+D23+D65+D66))</f>
        <v>-1.6283540462952866</v>
      </c>
      <c r="E162" s="460">
        <f>IF((E22+E23+E65+E66)=0,0,E158/(E22+E23+E65+E66))</f>
        <v>0</v>
      </c>
      <c r="F162" s="460">
        <f>IF((F22+F23+F65+F66)=0,0,F158/(F22+F23+F65+F66))</f>
        <v>-1.882696110572005</v>
      </c>
      <c r="G162" s="460">
        <f>IF((G22+G23+G65+G66)=0,0,G158/(G22+G23+G65+G66))</f>
        <v>0</v>
      </c>
    </row>
    <row r="163" spans="1:7">
      <c r="A163" s="510" t="s">
        <v>409</v>
      </c>
      <c r="B163" s="510"/>
      <c r="C163" s="510" t="s">
        <v>380</v>
      </c>
      <c r="D163" s="442">
        <f>D145</f>
        <v>378514.9</v>
      </c>
      <c r="E163" s="442">
        <f>E145</f>
        <v>0</v>
      </c>
      <c r="F163" s="442">
        <f>F145</f>
        <v>381762.9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0.1653385574171824</v>
      </c>
      <c r="E164" s="452">
        <f>IF(E178=0,0,E146/E178)</f>
        <v>0</v>
      </c>
      <c r="F164" s="452">
        <f>IF(F178=0,0,F146/F178)</f>
        <v>0</v>
      </c>
      <c r="G164" s="452">
        <f>IF(G178=0,0,G146/G178)</f>
        <v>0</v>
      </c>
    </row>
    <row r="165" spans="1:7">
      <c r="A165" s="515" t="s">
        <v>681</v>
      </c>
      <c r="B165" s="515"/>
      <c r="C165" s="515" t="s">
        <v>414</v>
      </c>
      <c r="D165" s="465">
        <f>IF(D177=0,0,D180/D177)</f>
        <v>3.0580424334614931E-2</v>
      </c>
      <c r="E165" s="465">
        <f>IF(E177=0,0,E180/E177)</f>
        <v>5.6988986966735947E-2</v>
      </c>
      <c r="F165" s="465">
        <f>IF(F177=0,0,F180/F177)</f>
        <v>3.1122542093081774E-2</v>
      </c>
      <c r="G165" s="465">
        <f>IF(G177=0,0,G180/G177)</f>
        <v>3.5486984769259267E-2</v>
      </c>
    </row>
    <row r="166" spans="1:7">
      <c r="A166" s="510" t="s">
        <v>415</v>
      </c>
      <c r="B166" s="510"/>
      <c r="C166" s="510" t="s">
        <v>282</v>
      </c>
      <c r="D166" s="442">
        <f>D55</f>
        <v>7682.5199999999977</v>
      </c>
      <c r="E166" s="442">
        <f>E55</f>
        <v>7402.3000000000011</v>
      </c>
      <c r="F166" s="442">
        <f>F55</f>
        <v>7345.2000000000007</v>
      </c>
      <c r="G166" s="442">
        <f>G55</f>
        <v>8627.8000000000011</v>
      </c>
    </row>
    <row r="167" spans="1:7">
      <c r="A167" s="514" t="s">
        <v>416</v>
      </c>
      <c r="B167" s="514"/>
      <c r="C167" s="514" t="s">
        <v>417</v>
      </c>
      <c r="D167" s="460">
        <f>IF(0=D111,0,(D44+D45+D46+D47+D48)/D111)</f>
        <v>2.8374063909123417E-2</v>
      </c>
      <c r="E167" s="460">
        <f>IF(0=E111,0,(E44+E45+E46+E47+E48)/E111)</f>
        <v>0</v>
      </c>
      <c r="F167" s="460">
        <f>IF(0=F111,0,(F44+F45+F46+F47+F48)/F111)</f>
        <v>5.9050800024632422E-2</v>
      </c>
      <c r="G167" s="460">
        <f>IF(0=G111,0,(G44+G45+G46+G47+G48)/G111)</f>
        <v>0</v>
      </c>
    </row>
    <row r="168" spans="1:7">
      <c r="A168" s="510" t="s">
        <v>418</v>
      </c>
      <c r="B168" s="509"/>
      <c r="C168" s="509" t="s">
        <v>419</v>
      </c>
      <c r="D168" s="442">
        <f>D38-D44</f>
        <v>-3864.8</v>
      </c>
      <c r="E168" s="442">
        <f>E38-E44</f>
        <v>-4053.6000000000004</v>
      </c>
      <c r="F168" s="442">
        <f>F38-F44</f>
        <v>-4033.0999999999995</v>
      </c>
      <c r="G168" s="442">
        <f>G38-G44</f>
        <v>-4802.1000000000004</v>
      </c>
    </row>
    <row r="169" spans="1:7">
      <c r="A169" s="514" t="s">
        <v>420</v>
      </c>
      <c r="B169" s="514"/>
      <c r="C169" s="514" t="s">
        <v>421</v>
      </c>
      <c r="D169" s="445">
        <f>IF(D177=0,0,D168/D177)</f>
        <v>-1.1660604598486505E-2</v>
      </c>
      <c r="E169" s="445">
        <f>IF(E177=0,0,E168/E177)</f>
        <v>-1.4803339735113125E-2</v>
      </c>
      <c r="F169" s="445">
        <f>IF(F177=0,0,F168/F177)</f>
        <v>-1.3940352119102193E-2</v>
      </c>
      <c r="G169" s="445">
        <f>IF(G177=0,0,G168/G177)</f>
        <v>-1.7104663256728454E-2</v>
      </c>
    </row>
    <row r="170" spans="1:7">
      <c r="A170" s="510" t="s">
        <v>422</v>
      </c>
      <c r="B170" s="510"/>
      <c r="C170" s="510" t="s">
        <v>423</v>
      </c>
      <c r="D170" s="442">
        <f>SUM(D82:D87)+SUM(D89:D94)</f>
        <v>26532.699999999997</v>
      </c>
      <c r="E170" s="442">
        <f>SUM(E82:E87)+SUM(E89:E94)</f>
        <v>26998.800000000003</v>
      </c>
      <c r="F170" s="442">
        <f>SUM(F82:F87)+SUM(F89:F94)</f>
        <v>21401.4</v>
      </c>
      <c r="G170" s="442">
        <f>SUM(G82:G87)+SUM(G89:G94)</f>
        <v>26099.9</v>
      </c>
    </row>
    <row r="171" spans="1:7">
      <c r="A171" s="510" t="s">
        <v>424</v>
      </c>
      <c r="B171" s="510"/>
      <c r="C171" s="510" t="s">
        <v>425</v>
      </c>
      <c r="D171" s="461">
        <f>SUM(D96:D102)+SUM(D104:D105)</f>
        <v>8847</v>
      </c>
      <c r="E171" s="461">
        <f>SUM(E96:E102)+SUM(E104:E105)</f>
        <v>8981.5</v>
      </c>
      <c r="F171" s="461">
        <f>SUM(F96:F102)+SUM(F104:F105)</f>
        <v>7764.2999999999993</v>
      </c>
      <c r="G171" s="461">
        <f>SUM(G96:G102)+SUM(G104:G105)</f>
        <v>8839.6</v>
      </c>
    </row>
    <row r="172" spans="1:7">
      <c r="A172" s="515" t="s">
        <v>413</v>
      </c>
      <c r="B172" s="515"/>
      <c r="C172" s="515" t="s">
        <v>426</v>
      </c>
      <c r="D172" s="465">
        <f>IF(D184=0,0,D170/D184)</f>
        <v>8.3628893934619267E-2</v>
      </c>
      <c r="E172" s="465">
        <f>IF(E184=0,0,E170/E184)</f>
        <v>9.5058364909370141E-2</v>
      </c>
      <c r="F172" s="465">
        <f>IF(F184=0,0,F170/F184)</f>
        <v>7.7338486967871947E-2</v>
      </c>
      <c r="G172" s="465">
        <f>IF(G184=0,0,G170/G184)</f>
        <v>8.9272912100391011E-2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455</v>
      </c>
      <c r="D175" s="470">
        <v>38597</v>
      </c>
      <c r="E175" s="470">
        <v>38597</v>
      </c>
      <c r="F175" s="470">
        <v>38597</v>
      </c>
      <c r="G175" s="470">
        <v>38597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331440.79000000004</v>
      </c>
      <c r="E177" s="472">
        <f>SUM(E22:E32)+SUM(E44:E53)+SUM(E65:E72)+E75</f>
        <v>273830.09999999998</v>
      </c>
      <c r="F177" s="472">
        <f>SUM(F22:F32)+SUM(F44:F53)+SUM(F65:F72)+F75</f>
        <v>289311.20000000007</v>
      </c>
      <c r="G177" s="472">
        <f>SUM(G22:G32)+SUM(G44:G53)+SUM(G65:G72)+G75</f>
        <v>280748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310571.84000000008</v>
      </c>
      <c r="E178" s="472">
        <f>E78-E17-E20-E59-E63-E64</f>
        <v>280377.59999999998</v>
      </c>
      <c r="F178" s="472">
        <f>F78-F17-F20-F59-F63-F64</f>
        <v>285320.39999999997</v>
      </c>
      <c r="G178" s="472">
        <f>G78-G17-G20-G59-G63-G64</f>
        <v>284691.3</v>
      </c>
    </row>
    <row r="179" spans="1:7">
      <c r="A179" s="468"/>
      <c r="B179" s="468"/>
      <c r="C179" s="468" t="s">
        <v>435</v>
      </c>
      <c r="D179" s="472">
        <f>D178+D170</f>
        <v>337104.5400000001</v>
      </c>
      <c r="E179" s="472">
        <f>E178+E170</f>
        <v>307376.39999999997</v>
      </c>
      <c r="F179" s="472">
        <f>F178+F170</f>
        <v>306721.8</v>
      </c>
      <c r="G179" s="472">
        <f>G178+G170</f>
        <v>310791.2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10135.599999999999</v>
      </c>
      <c r="E180" s="472">
        <f>E38-E44+E8+E9+E10+E16-E33</f>
        <v>15605.3</v>
      </c>
      <c r="F180" s="472">
        <f>F38-F44+F8+F9+F10+F16-F33</f>
        <v>9004.1000000000022</v>
      </c>
      <c r="G180" s="472">
        <f>G38-G44+G8+G9+G10+G16-G33</f>
        <v>9962.9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315357.85000000003</v>
      </c>
      <c r="E181" s="475">
        <f>E22+E23+E24+E25+E26+E29+SUM(E44:E47)+SUM(E49:E53)-E54+E32-E33+SUM(E65:E70)+E72</f>
        <v>272279.19999999995</v>
      </c>
      <c r="F181" s="475">
        <f>F22+F23+F24+F25+F26+F29+SUM(F44:F47)+SUM(F49:F53)-F54+F32-F33+SUM(F65:F70)+F72</f>
        <v>275986.5</v>
      </c>
      <c r="G181" s="475">
        <f>G22+G23+G24+G25+G26+G29+SUM(G44:G47)+SUM(G49:G53)-G54+G32-G33+SUM(G65:G70)+G72</f>
        <v>277509</v>
      </c>
    </row>
    <row r="182" spans="1:7">
      <c r="A182" s="474" t="s">
        <v>440</v>
      </c>
      <c r="B182" s="474"/>
      <c r="C182" s="474" t="s">
        <v>441</v>
      </c>
      <c r="D182" s="475">
        <f>D181+D171</f>
        <v>324204.85000000003</v>
      </c>
      <c r="E182" s="475">
        <f>E181+E171</f>
        <v>281260.69999999995</v>
      </c>
      <c r="F182" s="475">
        <f>F181+F171</f>
        <v>283750.8</v>
      </c>
      <c r="G182" s="475">
        <f>G181+G171</f>
        <v>286348.59999999998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290734.43999999994</v>
      </c>
      <c r="E183" s="475">
        <f>E4+E5-E7+E38+E39+E40+E41+E43+E13-E16+E57+E58+E60+E61+E62</f>
        <v>257024.6</v>
      </c>
      <c r="F183" s="475">
        <f>F4+F5-F7+F38+F39+F40+F41+F43+F13-F16+F57+F58+F60+F61+F62</f>
        <v>255322.39999999997</v>
      </c>
      <c r="G183" s="475">
        <f>G4+G5-G7+G38+G39+G40+G41+G43+G13-G16+G57+G58+G60+G61+G62</f>
        <v>266260.90000000002</v>
      </c>
    </row>
    <row r="184" spans="1:7">
      <c r="A184" s="474" t="s">
        <v>444</v>
      </c>
      <c r="B184" s="474"/>
      <c r="C184" s="474" t="s">
        <v>445</v>
      </c>
      <c r="D184" s="475">
        <f>D183+D170</f>
        <v>317267.13999999996</v>
      </c>
      <c r="E184" s="475">
        <f>E183+E170</f>
        <v>284023.40000000002</v>
      </c>
      <c r="F184" s="475">
        <f>F183+F170</f>
        <v>276723.8</v>
      </c>
      <c r="G184" s="475">
        <f>G183+G170</f>
        <v>292360.80000000005</v>
      </c>
    </row>
    <row r="185" spans="1:7">
      <c r="A185" s="474"/>
      <c r="B185" s="474"/>
      <c r="C185" s="474" t="s">
        <v>446</v>
      </c>
      <c r="D185" s="475">
        <f t="shared" ref="D185:G186" si="1">D181-D183</f>
        <v>24623.410000000091</v>
      </c>
      <c r="E185" s="475">
        <f t="shared" si="1"/>
        <v>15254.599999999948</v>
      </c>
      <c r="F185" s="475">
        <f t="shared" si="1"/>
        <v>20664.100000000035</v>
      </c>
      <c r="G185" s="475">
        <f t="shared" si="1"/>
        <v>11248.099999999977</v>
      </c>
    </row>
    <row r="186" spans="1:7">
      <c r="A186" s="474"/>
      <c r="B186" s="474"/>
      <c r="C186" s="474" t="s">
        <v>447</v>
      </c>
      <c r="D186" s="475">
        <f t="shared" si="1"/>
        <v>6937.7100000000792</v>
      </c>
      <c r="E186" s="475">
        <f t="shared" si="1"/>
        <v>-2762.7000000000698</v>
      </c>
      <c r="F186" s="475">
        <f t="shared" si="1"/>
        <v>7027</v>
      </c>
      <c r="G186" s="475">
        <f t="shared" si="1"/>
        <v>-6012.2000000000698</v>
      </c>
    </row>
  </sheetData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1.5" bestFit="1" customWidth="1"/>
    <col min="2" max="2" width="44.6640625" customWidth="1"/>
    <col min="3" max="3" width="12.33203125" bestFit="1" customWidth="1"/>
    <col min="4" max="4" width="7" customWidth="1"/>
    <col min="5" max="5" width="12.33203125" bestFit="1" customWidth="1"/>
    <col min="6" max="6" width="7.33203125" customWidth="1"/>
    <col min="7" max="7" width="12.33203125" bestFit="1" customWidth="1"/>
    <col min="8" max="8" width="6.5" customWidth="1"/>
    <col min="9" max="9" width="12.33203125" bestFit="1" customWidth="1"/>
  </cols>
  <sheetData>
    <row r="1" spans="1:9">
      <c r="A1" s="5" t="s">
        <v>20</v>
      </c>
      <c r="B1" s="6" t="s">
        <v>111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298004.2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109846.39999999999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26017.8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11147.3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6823.6</v>
      </c>
      <c r="D8" s="16"/>
      <c r="E8" s="15"/>
      <c r="F8" s="16"/>
      <c r="G8" s="15"/>
      <c r="H8" s="16"/>
      <c r="I8" s="17"/>
    </row>
    <row r="9" spans="1:9">
      <c r="A9" s="13" t="s">
        <v>112</v>
      </c>
      <c r="B9" s="14" t="s">
        <v>39</v>
      </c>
      <c r="C9" s="15">
        <v>67126.3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785461.4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766.7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78846.8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97590.3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41817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56</v>
      </c>
      <c r="C17" s="15">
        <v>14500.1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4264.3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1297173.6000000001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678279.5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28429.3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61364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96963.199999999997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508805.1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3854.5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4264.3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1381959.9000000001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80</v>
      </c>
      <c r="C30" s="33">
        <v>84786.300000000047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79928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32720.1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19693.8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132341.9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0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93</v>
      </c>
      <c r="C37" s="15">
        <v>25976.799999999999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25976.799999999999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106365.09999999999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151912.60000000003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45547.500000000044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1336801.1999999997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1.4282184663954629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7" t="s">
        <v>448</v>
      </c>
      <c r="C1" s="477" t="s">
        <v>111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305417.09000000003</v>
      </c>
      <c r="F4" s="257">
        <v>295886.69</v>
      </c>
      <c r="G4" s="259">
        <v>310180.71000000002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112700.45600000001</v>
      </c>
      <c r="F5" s="275">
        <v>110727.85</v>
      </c>
      <c r="G5" s="267">
        <v>115666.07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22959.599999999999</v>
      </c>
      <c r="F6" s="271">
        <v>22849.81</v>
      </c>
      <c r="G6" s="273">
        <v>23138.15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0</v>
      </c>
      <c r="F7" s="271">
        <v>2261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64301</v>
      </c>
      <c r="F8" s="275">
        <v>58415.35</v>
      </c>
      <c r="G8" s="276">
        <v>68133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0</v>
      </c>
      <c r="F9" s="275">
        <v>0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75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0</v>
      </c>
      <c r="F11" s="275">
        <v>0</v>
      </c>
      <c r="G11" s="277">
        <v>0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>
        <v>8170.5</v>
      </c>
      <c r="F12" s="282">
        <v>10168.4</v>
      </c>
      <c r="G12" s="482">
        <v>8528.7870000000003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>
        <v>776025.22400000005</v>
      </c>
      <c r="F13" s="271">
        <v>757703.91</v>
      </c>
      <c r="G13" s="267">
        <v>824296.14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/>
      <c r="E14" s="323">
        <v>141367.5</v>
      </c>
      <c r="F14" s="271">
        <v>123072.99</v>
      </c>
      <c r="G14" s="267">
        <v>149642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/>
      <c r="E15" s="323">
        <v>29479.7</v>
      </c>
      <c r="F15" s="271">
        <v>31748.66</v>
      </c>
      <c r="G15" s="267">
        <v>32317.9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>
        <v>11642</v>
      </c>
      <c r="F16" s="293">
        <v>10377.25</v>
      </c>
      <c r="G16" s="484">
        <v>11100</v>
      </c>
    </row>
    <row r="17" spans="1:7" s="299" customFormat="1">
      <c r="A17" s="261">
        <v>37</v>
      </c>
      <c r="B17" s="262"/>
      <c r="C17" s="263" t="s">
        <v>240</v>
      </c>
      <c r="D17" s="316"/>
      <c r="E17" s="264">
        <v>79002.8</v>
      </c>
      <c r="F17" s="316">
        <v>77529.919999999998</v>
      </c>
      <c r="G17" s="267">
        <v>79549.8</v>
      </c>
    </row>
    <row r="18" spans="1:7" s="299" customFormat="1">
      <c r="A18" s="274" t="s">
        <v>241</v>
      </c>
      <c r="B18" s="262"/>
      <c r="C18" s="263" t="s">
        <v>242</v>
      </c>
      <c r="D18" s="485"/>
      <c r="E18" s="323">
        <v>0</v>
      </c>
      <c r="F18" s="485">
        <v>0</v>
      </c>
      <c r="G18" s="267">
        <v>0</v>
      </c>
    </row>
    <row r="19" spans="1:7" s="299" customFormat="1">
      <c r="A19" s="274" t="s">
        <v>243</v>
      </c>
      <c r="B19" s="262"/>
      <c r="C19" s="263" t="s">
        <v>244</v>
      </c>
      <c r="D19" s="485"/>
      <c r="E19" s="323">
        <v>44793</v>
      </c>
      <c r="F19" s="485">
        <v>44605.11</v>
      </c>
      <c r="G19" s="267">
        <v>45068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4977.5829999999996</v>
      </c>
      <c r="F20" s="306">
        <v>3127.63</v>
      </c>
      <c r="G20" s="486">
        <v>4114.8100000000004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1345617.07</v>
      </c>
      <c r="F21" s="311">
        <f>F4+F5+SUM(F8:F13)+F17</f>
        <v>1310432.1200000001</v>
      </c>
      <c r="G21" s="311">
        <f>G4+G5+SUM(G8:G13)+G17</f>
        <v>1406354.507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665300</v>
      </c>
      <c r="F22" s="275">
        <v>609229.9</v>
      </c>
      <c r="G22" s="276">
        <v>654900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29500</v>
      </c>
      <c r="F23" s="275">
        <v>32090.228999999999</v>
      </c>
      <c r="G23" s="276">
        <v>30412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11757</v>
      </c>
      <c r="F24" s="275">
        <v>11625.44</v>
      </c>
      <c r="G24" s="276">
        <v>11557.3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65493.4</v>
      </c>
      <c r="F25" s="275">
        <v>64760.51</v>
      </c>
      <c r="G25" s="276">
        <v>65475.199999999997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45</v>
      </c>
      <c r="F26" s="316">
        <v>47.539000000000001</v>
      </c>
      <c r="G26" s="276">
        <v>45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6391</v>
      </c>
      <c r="F27" s="316">
        <v>5921</v>
      </c>
      <c r="G27" s="276">
        <v>6318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-3</v>
      </c>
      <c r="F28" s="316">
        <v>-4.95</v>
      </c>
      <c r="G28" s="276">
        <v>-2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20</v>
      </c>
      <c r="F29" s="316">
        <v>18.286999999999999</v>
      </c>
      <c r="G29" s="276">
        <v>14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0</v>
      </c>
      <c r="F30" s="264">
        <v>0</v>
      </c>
      <c r="G30" s="319">
        <v>0</v>
      </c>
    </row>
    <row r="31" spans="1:7" s="285" customFormat="1" ht="28">
      <c r="A31" s="278">
        <v>451</v>
      </c>
      <c r="B31" s="279"/>
      <c r="C31" s="280" t="s">
        <v>258</v>
      </c>
      <c r="D31" s="275"/>
      <c r="E31" s="281">
        <v>42.411999999999999</v>
      </c>
      <c r="F31" s="281">
        <v>0</v>
      </c>
      <c r="G31" s="276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444405.57400000002</v>
      </c>
      <c r="F32" s="275">
        <v>478479.59100000001</v>
      </c>
      <c r="G32" s="267">
        <v>451683.185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>
        <v>0</v>
      </c>
      <c r="F33" s="271">
        <v>0</v>
      </c>
      <c r="G33" s="267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79002.8</v>
      </c>
      <c r="F34" s="275">
        <v>77529.915999999997</v>
      </c>
      <c r="G34" s="267">
        <v>79549.8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4977.5829999999996</v>
      </c>
      <c r="F35" s="306">
        <v>3127.625</v>
      </c>
      <c r="G35" s="486">
        <v>4114.8100000000004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1301954.186</v>
      </c>
      <c r="F36" s="311">
        <f>F22+F23+F24+F25+F26+F27+F28+F29+F30+F31+F32+F34</f>
        <v>1279697.4620000001</v>
      </c>
      <c r="G36" s="311">
        <f>G22+G23+G24+G25+G26+G27+G28+G29+G30+G31+G32+G34</f>
        <v>1299952.4850000001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-43662.884000000078</v>
      </c>
      <c r="F37" s="311">
        <f>F36-F21</f>
        <v>-30734.658000000054</v>
      </c>
      <c r="G37" s="311">
        <f>G36-G21</f>
        <v>-106402.02199999988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>
        <v>40</v>
      </c>
      <c r="F38" s="275">
        <v>33.65</v>
      </c>
      <c r="G38" s="267">
        <v>42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>
        <v>0</v>
      </c>
      <c r="F39" s="275">
        <v>7.5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>
        <v>0</v>
      </c>
      <c r="F40" s="275">
        <v>0</v>
      </c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>
        <v>1627.38</v>
      </c>
      <c r="F41" s="275">
        <v>1414.2</v>
      </c>
      <c r="G41" s="276">
        <v>1372.7149999999999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>
        <v>0</v>
      </c>
      <c r="F42" s="275">
        <v>0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>
        <v>10070</v>
      </c>
      <c r="F43" s="275">
        <v>9684.6</v>
      </c>
      <c r="G43" s="276">
        <v>10740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>
        <v>11417.8</v>
      </c>
      <c r="F44" s="275">
        <v>8907.69</v>
      </c>
      <c r="G44" s="267">
        <v>7643.4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>
        <v>0</v>
      </c>
      <c r="F45" s="275">
        <v>351.58699999999999</v>
      </c>
      <c r="G45" s="267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>
        <v>726</v>
      </c>
      <c r="F46" s="275">
        <v>713</v>
      </c>
      <c r="G46" s="267">
        <v>713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>
        <v>1439</v>
      </c>
      <c r="F47" s="275">
        <v>1661.2049999999999</v>
      </c>
      <c r="G47" s="267">
        <v>1097.1099999999999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>
        <v>0</v>
      </c>
      <c r="F48" s="275">
        <v>0</v>
      </c>
      <c r="G48" s="267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>
        <v>28666.799999999999</v>
      </c>
      <c r="F49" s="275">
        <v>28560.973999999998</v>
      </c>
      <c r="G49" s="267">
        <v>28626.715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>
        <v>0</v>
      </c>
      <c r="F50" s="275">
        <v>6</v>
      </c>
      <c r="G50" s="267">
        <v>6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>
        <v>8546.4480000000003</v>
      </c>
      <c r="F51" s="275">
        <v>7197.4110000000001</v>
      </c>
      <c r="G51" s="267">
        <v>7592.0420000000004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>
        <v>581.76599999999996</v>
      </c>
      <c r="F52" s="275">
        <v>589.65300000000002</v>
      </c>
      <c r="G52" s="267">
        <v>568.29999999999995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>
        <v>0</v>
      </c>
      <c r="F53" s="275">
        <v>0</v>
      </c>
      <c r="G53" s="267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88"/>
      <c r="E54" s="332">
        <v>0</v>
      </c>
      <c r="F54" s="332">
        <v>0</v>
      </c>
      <c r="G54" s="486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39640.433999999994</v>
      </c>
      <c r="F55" s="311">
        <f>SUM(F44:F53)-SUM(F38:F43)</f>
        <v>36847.569999999992</v>
      </c>
      <c r="G55" s="311">
        <f>SUM(G44:G53)-SUM(G38:G43)</f>
        <v>34091.851999999999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-4022.4500000000844</v>
      </c>
      <c r="F56" s="311">
        <f>F55+F37</f>
        <v>6112.9119999999384</v>
      </c>
      <c r="G56" s="311">
        <f>G55+G37</f>
        <v>-72310.169999999882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/>
      <c r="F57" s="340"/>
      <c r="G57" s="489"/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/>
      <c r="F58" s="340"/>
      <c r="G58" s="489"/>
    </row>
    <row r="59" spans="1:7" s="490" customFormat="1" ht="28">
      <c r="A59" s="278">
        <v>383</v>
      </c>
      <c r="B59" s="279"/>
      <c r="C59" s="280" t="s">
        <v>286</v>
      </c>
      <c r="D59" s="344"/>
      <c r="E59" s="343">
        <v>3330</v>
      </c>
      <c r="F59" s="344">
        <v>3330</v>
      </c>
      <c r="G59" s="380">
        <v>8529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491">
        <v>0</v>
      </c>
      <c r="F60" s="346">
        <v>0</v>
      </c>
      <c r="G60" s="348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491">
        <v>0</v>
      </c>
      <c r="F61" s="346">
        <v>0</v>
      </c>
      <c r="G61" s="348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491">
        <v>0</v>
      </c>
      <c r="F62" s="346">
        <v>0</v>
      </c>
      <c r="G62" s="348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491">
        <v>0</v>
      </c>
      <c r="F63" s="346">
        <v>0</v>
      </c>
      <c r="G63" s="348">
        <v>0</v>
      </c>
    </row>
    <row r="64" spans="1:7" s="285" customFormat="1">
      <c r="A64" s="274">
        <v>389</v>
      </c>
      <c r="B64" s="352"/>
      <c r="C64" s="263" t="s">
        <v>57</v>
      </c>
      <c r="D64" s="275"/>
      <c r="E64" s="275">
        <v>242.9</v>
      </c>
      <c r="F64" s="275">
        <v>312.13</v>
      </c>
      <c r="G64" s="276">
        <v>402.9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75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44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75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75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75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75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75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75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>
        <v>0</v>
      </c>
      <c r="F73" s="275">
        <v>0</v>
      </c>
      <c r="G73" s="267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3796</v>
      </c>
      <c r="F74" s="275">
        <v>3566.89</v>
      </c>
      <c r="G74" s="267">
        <v>56398.364999999998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/>
      <c r="F75" s="275"/>
      <c r="G75" s="276"/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223.09999999999991</v>
      </c>
      <c r="F76" s="311">
        <f>SUM(F65:F74)-SUM(F57:F64)</f>
        <v>-75.240000000000236</v>
      </c>
      <c r="G76" s="311">
        <f>SUM(G65:G74)-SUM(G57:G64)</f>
        <v>47466.464999999997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-3799.3500000000845</v>
      </c>
      <c r="F77" s="311">
        <f>F56+F76</f>
        <v>6037.6719999999386</v>
      </c>
      <c r="G77" s="311">
        <f>G56+G76</f>
        <v>-24843.704999999885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1365904.933</v>
      </c>
      <c r="F78" s="361">
        <f>F20+F21+SUM(F38:F43)+SUM(F57:F64)</f>
        <v>1328341.8299999998</v>
      </c>
      <c r="G78" s="361">
        <f>G20+G21+SUM(G38:G43)+SUM(G57:G64)</f>
        <v>1431555.932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1362105.5830000001</v>
      </c>
      <c r="F79" s="361">
        <f>F35+F36+SUM(F44:F53)+SUM(F65:F74)</f>
        <v>1334379.497</v>
      </c>
      <c r="G79" s="361">
        <f>G35+G36+SUM(G44:G53)+SUM(G65:G74)</f>
        <v>1406712.2270000002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316"/>
      <c r="E82" s="275">
        <v>87373.5</v>
      </c>
      <c r="F82" s="275">
        <v>70084.25</v>
      </c>
      <c r="G82" s="276">
        <v>109236.2</v>
      </c>
    </row>
    <row r="83" spans="1:7" s="260" customFormat="1">
      <c r="A83" s="367">
        <v>51</v>
      </c>
      <c r="B83" s="368"/>
      <c r="C83" s="368" t="s">
        <v>310</v>
      </c>
      <c r="D83" s="316"/>
      <c r="E83" s="275">
        <v>1800</v>
      </c>
      <c r="F83" s="275">
        <v>0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316"/>
      <c r="E84" s="275">
        <v>0</v>
      </c>
      <c r="F84" s="275">
        <v>0</v>
      </c>
      <c r="G84" s="276">
        <v>0</v>
      </c>
    </row>
    <row r="85" spans="1:7" s="260" customFormat="1">
      <c r="A85" s="369">
        <v>54</v>
      </c>
      <c r="B85" s="370"/>
      <c r="C85" s="370" t="s">
        <v>312</v>
      </c>
      <c r="D85" s="316"/>
      <c r="E85" s="271">
        <v>1750</v>
      </c>
      <c r="F85" s="271">
        <v>3148.6</v>
      </c>
      <c r="G85" s="276">
        <v>4450</v>
      </c>
    </row>
    <row r="86" spans="1:7" s="260" customFormat="1">
      <c r="A86" s="369">
        <v>55</v>
      </c>
      <c r="B86" s="370"/>
      <c r="C86" s="370" t="s">
        <v>313</v>
      </c>
      <c r="D86" s="316"/>
      <c r="E86" s="271">
        <v>0</v>
      </c>
      <c r="F86" s="271">
        <v>1E-3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316"/>
      <c r="E87" s="271">
        <v>20247.2</v>
      </c>
      <c r="F87" s="271">
        <v>29962.799999999999</v>
      </c>
      <c r="G87" s="276">
        <v>10388.6</v>
      </c>
    </row>
    <row r="88" spans="1:7" s="260" customFormat="1">
      <c r="A88" s="367">
        <v>57</v>
      </c>
      <c r="B88" s="368"/>
      <c r="C88" s="368" t="s">
        <v>315</v>
      </c>
      <c r="D88" s="316"/>
      <c r="E88" s="275">
        <v>2424</v>
      </c>
      <c r="F88" s="275">
        <v>3824.31</v>
      </c>
      <c r="G88" s="276">
        <v>4100</v>
      </c>
    </row>
    <row r="89" spans="1:7" s="260" customFormat="1">
      <c r="A89" s="367">
        <v>580</v>
      </c>
      <c r="B89" s="368"/>
      <c r="C89" s="368" t="s">
        <v>316</v>
      </c>
      <c r="D89" s="275"/>
      <c r="E89" s="275">
        <v>0</v>
      </c>
      <c r="F89" s="275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>
        <v>0</v>
      </c>
      <c r="F90" s="275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>
        <v>0</v>
      </c>
      <c r="F91" s="275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>
        <v>0</v>
      </c>
      <c r="F92" s="275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>
        <v>0</v>
      </c>
      <c r="F93" s="275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>
        <v>0</v>
      </c>
      <c r="F94" s="306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113594.7</v>
      </c>
      <c r="F95" s="376">
        <f>SUM(F82:F94)</f>
        <v>107019.96100000001</v>
      </c>
      <c r="G95" s="376">
        <f>SUM(G82:G94)</f>
        <v>128174.8</v>
      </c>
    </row>
    <row r="96" spans="1:7" s="260" customFormat="1">
      <c r="A96" s="367">
        <v>60</v>
      </c>
      <c r="B96" s="368"/>
      <c r="C96" s="368" t="s">
        <v>323</v>
      </c>
      <c r="D96" s="316"/>
      <c r="E96" s="275">
        <v>0</v>
      </c>
      <c r="F96" s="275">
        <v>12.34</v>
      </c>
      <c r="G96" s="276">
        <v>5</v>
      </c>
    </row>
    <row r="97" spans="1:7" s="260" customFormat="1">
      <c r="A97" s="367">
        <v>61</v>
      </c>
      <c r="B97" s="368"/>
      <c r="C97" s="368" t="s">
        <v>324</v>
      </c>
      <c r="D97" s="316"/>
      <c r="E97" s="275">
        <v>1800</v>
      </c>
      <c r="F97" s="275">
        <v>0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316"/>
      <c r="E98" s="275">
        <v>0</v>
      </c>
      <c r="F98" s="275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>
        <v>15043</v>
      </c>
      <c r="F99" s="275">
        <v>12788.62</v>
      </c>
      <c r="G99" s="276">
        <v>12105.5</v>
      </c>
    </row>
    <row r="100" spans="1:7" s="260" customFormat="1">
      <c r="A100" s="367">
        <v>64</v>
      </c>
      <c r="B100" s="368"/>
      <c r="C100" s="368" t="s">
        <v>327</v>
      </c>
      <c r="D100" s="316"/>
      <c r="E100" s="271">
        <v>350</v>
      </c>
      <c r="F100" s="271">
        <v>9781.74</v>
      </c>
      <c r="G100" s="276">
        <v>3150</v>
      </c>
    </row>
    <row r="101" spans="1:7" s="260" customFormat="1">
      <c r="A101" s="367">
        <v>65</v>
      </c>
      <c r="B101" s="368"/>
      <c r="C101" s="368" t="s">
        <v>328</v>
      </c>
      <c r="D101" s="316"/>
      <c r="E101" s="275">
        <v>0</v>
      </c>
      <c r="F101" s="275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316"/>
      <c r="E102" s="271">
        <v>0</v>
      </c>
      <c r="F102" s="271">
        <v>0</v>
      </c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75">
        <v>2424</v>
      </c>
      <c r="F103" s="275">
        <v>3824.31</v>
      </c>
      <c r="G103" s="267">
        <v>4100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>
        <v>0</v>
      </c>
      <c r="F104" s="264">
        <v>0</v>
      </c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>
        <v>0</v>
      </c>
      <c r="F105" s="304">
        <v>0</v>
      </c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19617</v>
      </c>
      <c r="F106" s="376">
        <f>SUM(F96:F105)</f>
        <v>26407.010000000002</v>
      </c>
      <c r="G106" s="376">
        <f>SUM(G96:G105)</f>
        <v>19360.5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93977.7</v>
      </c>
      <c r="F107" s="376">
        <f>(F95-F88)-(F106-F103)</f>
        <v>80612.951000000015</v>
      </c>
      <c r="G107" s="376">
        <f>(G95-G88)-(G106-G103)</f>
        <v>108814.3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92577.7</v>
      </c>
      <c r="F108" s="389">
        <f>F107-F85-F86+F100+F101</f>
        <v>87246.090000000011</v>
      </c>
      <c r="G108" s="389">
        <f>G107-G85-G86+G100+G101</f>
        <v>107514.3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1483467.5300000003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1363750.2300000002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>
        <v>795070.16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550000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>
        <v>17514.3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>
        <v>1165.77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119717.3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>
        <v>29055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>
        <v>90662.3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442439.37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>
        <v>237489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>
        <v>39635.370000000003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>
        <v>72112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>
        <v>93203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>
        <v>0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>
        <v>0</v>
      </c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1925906.9000000004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721913.79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701149.9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636550.42000000004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0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271"/>
      <c r="F137" s="271">
        <v>0</v>
      </c>
      <c r="G137" s="401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>
        <v>54936.480000000003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>
        <v>9663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20763.89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>
        <v>20639.39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>
        <v>0</v>
      </c>
      <c r="G142" s="401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>
        <v>124.5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281"/>
      <c r="F144" s="281">
        <v>0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>
        <v>1203993.1299999999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>
        <v>515356.63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1925906.92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440" t="s">
        <v>386</v>
      </c>
      <c r="B150" s="441"/>
      <c r="C150" s="441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80048.637999999919</v>
      </c>
      <c r="F150" s="442">
        <f>F77+SUM(F8:F12)-F30-F31+F16-F33+F59+F63-F73+F64-F74-F54+F20-F35</f>
        <v>85073.916999999943</v>
      </c>
      <c r="G150" s="442">
        <f>G77+SUM(G8:G12)-G30-G31+G16-G33+G59+G63-G73+G64-G74-G54+G20-G35</f>
        <v>15451.617000000108</v>
      </c>
    </row>
    <row r="151" spans="1:7">
      <c r="A151" s="443" t="s">
        <v>387</v>
      </c>
      <c r="B151" s="444"/>
      <c r="C151" s="444" t="s">
        <v>388</v>
      </c>
      <c r="D151" s="445">
        <f>IF(D177=0,0,D150/D177)</f>
        <v>0</v>
      </c>
      <c r="E151" s="445">
        <f>IF(E177=0,0,E150/E177)</f>
        <v>6.281629425112438E-2</v>
      </c>
      <c r="F151" s="445">
        <f>IF(F177=0,0,F150/F177)</f>
        <v>6.8050691721149997E-2</v>
      </c>
      <c r="G151" s="445">
        <f>IF(G177=0,0,G150/G177)</f>
        <v>1.2198812714413624E-2</v>
      </c>
    </row>
    <row r="152" spans="1:7" s="449" customFormat="1" ht="28">
      <c r="A152" s="446" t="s">
        <v>389</v>
      </c>
      <c r="B152" s="447"/>
      <c r="C152" s="447" t="s">
        <v>390</v>
      </c>
      <c r="D152" s="448">
        <f t="shared" ref="D152:G153" si="0">IF(IF(D107=0,0,D$150/D107)&lt;0,"negativ",(IF(D107=0,0,D$150/D107)))</f>
        <v>0</v>
      </c>
      <c r="E152" s="448">
        <f t="shared" si="0"/>
        <v>0.85178332732126794</v>
      </c>
      <c r="F152" s="448">
        <f t="shared" si="0"/>
        <v>1.0553380808500601</v>
      </c>
      <c r="G152" s="448">
        <f t="shared" si="0"/>
        <v>0.14199987501642805</v>
      </c>
    </row>
    <row r="153" spans="1:7" s="449" customFormat="1" ht="28">
      <c r="A153" s="450" t="s">
        <v>389</v>
      </c>
      <c r="B153" s="451"/>
      <c r="C153" s="451" t="s">
        <v>391</v>
      </c>
      <c r="D153" s="452">
        <f t="shared" si="0"/>
        <v>0</v>
      </c>
      <c r="E153" s="452">
        <f t="shared" si="0"/>
        <v>0.86466436301614669</v>
      </c>
      <c r="F153" s="452">
        <f t="shared" si="0"/>
        <v>0.97510291865228493</v>
      </c>
      <c r="G153" s="452">
        <f t="shared" si="0"/>
        <v>0.1437168544091354</v>
      </c>
    </row>
    <row r="154" spans="1:7" ht="28">
      <c r="A154" s="453" t="s">
        <v>392</v>
      </c>
      <c r="B154" s="454"/>
      <c r="C154" s="454" t="s">
        <v>393</v>
      </c>
      <c r="D154" s="455">
        <f>D150-D107</f>
        <v>0</v>
      </c>
      <c r="E154" s="455">
        <f>E150-E107</f>
        <v>-13929.062000000078</v>
      </c>
      <c r="F154" s="455">
        <f>F150-F107</f>
        <v>4460.9659999999276</v>
      </c>
      <c r="G154" s="455">
        <f>G150-G107</f>
        <v>-93362.682999999903</v>
      </c>
    </row>
    <row r="155" spans="1:7" ht="28">
      <c r="A155" s="450" t="s">
        <v>394</v>
      </c>
      <c r="B155" s="451"/>
      <c r="C155" s="451" t="s">
        <v>395</v>
      </c>
      <c r="D155" s="456">
        <f>D150-D108</f>
        <v>0</v>
      </c>
      <c r="E155" s="456">
        <f>E150-E108</f>
        <v>-12529.062000000078</v>
      </c>
      <c r="F155" s="456">
        <f>F150-F108</f>
        <v>-2172.173000000068</v>
      </c>
      <c r="G155" s="456">
        <f>G150-G108</f>
        <v>-92062.682999999903</v>
      </c>
    </row>
    <row r="156" spans="1:7">
      <c r="A156" s="440" t="s">
        <v>396</v>
      </c>
      <c r="B156" s="441"/>
      <c r="C156" s="441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657189.81000000006</v>
      </c>
      <c r="G156" s="457">
        <f>G135+G136-G137+G141-G142</f>
        <v>0</v>
      </c>
    </row>
    <row r="157" spans="1:7">
      <c r="A157" s="458" t="s">
        <v>398</v>
      </c>
      <c r="B157" s="459"/>
      <c r="C157" s="459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0.52568663510099312</v>
      </c>
      <c r="G157" s="460">
        <f>IF(G177=0,0,G156/G177)</f>
        <v>0</v>
      </c>
    </row>
    <row r="158" spans="1:7">
      <c r="A158" s="440" t="s">
        <v>400</v>
      </c>
      <c r="B158" s="441"/>
      <c r="C158" s="441" t="s">
        <v>401</v>
      </c>
      <c r="D158" s="457">
        <f>D133-D142-D111</f>
        <v>0</v>
      </c>
      <c r="E158" s="457">
        <f>E133-E142-E111</f>
        <v>0</v>
      </c>
      <c r="F158" s="457">
        <f>F133-F142-F111</f>
        <v>-761553.74000000022</v>
      </c>
      <c r="G158" s="457">
        <f>G133-G142-G111</f>
        <v>0</v>
      </c>
    </row>
    <row r="159" spans="1:7">
      <c r="A159" s="443" t="s">
        <v>402</v>
      </c>
      <c r="B159" s="444"/>
      <c r="C159" s="444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-873301.12999999989</v>
      </c>
      <c r="G159" s="461">
        <f>G121-G123-G124-G142-G145</f>
        <v>0</v>
      </c>
    </row>
    <row r="160" spans="1:7">
      <c r="A160" s="443" t="s">
        <v>404</v>
      </c>
      <c r="B160" s="444"/>
      <c r="C160" s="444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-6533.633095685449</v>
      </c>
      <c r="G160" s="462">
        <f>IF(G175=0,"-",1000*G158/G175)</f>
        <v>0</v>
      </c>
    </row>
    <row r="161" spans="1:7">
      <c r="A161" s="443" t="s">
        <v>404</v>
      </c>
      <c r="B161" s="444"/>
      <c r="C161" s="444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-7492.3526282826715</v>
      </c>
      <c r="G161" s="461">
        <f>IF(G175=0,0,1000*(G159/G175))</f>
        <v>0</v>
      </c>
    </row>
    <row r="162" spans="1:7">
      <c r="A162" s="458" t="s">
        <v>407</v>
      </c>
      <c r="B162" s="459"/>
      <c r="C162" s="459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-1.187478305394029</v>
      </c>
      <c r="G162" s="460">
        <f>IF((G22+G23+G65+G66)=0,0,G158/(G22+G23+G65+G66))</f>
        <v>0</v>
      </c>
    </row>
    <row r="163" spans="1:7">
      <c r="A163" s="443" t="s">
        <v>409</v>
      </c>
      <c r="B163" s="444"/>
      <c r="C163" s="444" t="s">
        <v>380</v>
      </c>
      <c r="D163" s="442">
        <f>D145</f>
        <v>0</v>
      </c>
      <c r="E163" s="442">
        <f>E145</f>
        <v>0</v>
      </c>
      <c r="F163" s="442">
        <f>F145</f>
        <v>1203993.1299999999</v>
      </c>
      <c r="G163" s="442">
        <f>G145</f>
        <v>0</v>
      </c>
    </row>
    <row r="164" spans="1:7" ht="28">
      <c r="A164" s="450" t="s">
        <v>411</v>
      </c>
      <c r="B164" s="463"/>
      <c r="C164" s="463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0.4142597821142957</v>
      </c>
      <c r="G164" s="452">
        <f>IF(G178=0,0,G146/G178)</f>
        <v>0</v>
      </c>
    </row>
    <row r="165" spans="1:7">
      <c r="A165" s="464" t="s">
        <v>681</v>
      </c>
      <c r="B165" s="464"/>
      <c r="C165" s="464" t="s">
        <v>414</v>
      </c>
      <c r="D165" s="465">
        <f>IF(D177=0,0,D180/D177)</f>
        <v>0</v>
      </c>
      <c r="E165" s="465">
        <f>IF(E177=0,0,E180/E177)</f>
        <v>5.0666028840899192E-2</v>
      </c>
      <c r="F165" s="465">
        <f>IF(F177=0,0,F180/F177)</f>
        <v>4.7928902285470552E-2</v>
      </c>
      <c r="G165" s="465">
        <f>IF(G177=0,0,G180/G177)</f>
        <v>5.6552040659161106E-2</v>
      </c>
    </row>
    <row r="166" spans="1:7">
      <c r="A166" s="443" t="s">
        <v>415</v>
      </c>
      <c r="B166" s="444"/>
      <c r="C166" s="444" t="s">
        <v>282</v>
      </c>
      <c r="D166" s="442">
        <f>D55</f>
        <v>0</v>
      </c>
      <c r="E166" s="442">
        <f>E55</f>
        <v>39640.433999999994</v>
      </c>
      <c r="F166" s="442">
        <f>F55</f>
        <v>36847.569999999992</v>
      </c>
      <c r="G166" s="442">
        <f>G55</f>
        <v>34091.851999999999</v>
      </c>
    </row>
    <row r="167" spans="1:7">
      <c r="A167" s="458" t="s">
        <v>416</v>
      </c>
      <c r="B167" s="459"/>
      <c r="C167" s="459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7.8420873829304488E-3</v>
      </c>
      <c r="G167" s="460">
        <f>IF(0=G111,0,(G44+G45+G46+G47+G48)/G111)</f>
        <v>0</v>
      </c>
    </row>
    <row r="168" spans="1:7">
      <c r="A168" s="443" t="s">
        <v>418</v>
      </c>
      <c r="B168" s="441"/>
      <c r="C168" s="441" t="s">
        <v>419</v>
      </c>
      <c r="D168" s="442">
        <f>D38-D44</f>
        <v>0</v>
      </c>
      <c r="E168" s="442">
        <f>E38-E44</f>
        <v>-11377.8</v>
      </c>
      <c r="F168" s="442">
        <f>F38-F44</f>
        <v>-8874.0400000000009</v>
      </c>
      <c r="G168" s="442">
        <f>G38-G44</f>
        <v>-7601.4</v>
      </c>
    </row>
    <row r="169" spans="1:7">
      <c r="A169" s="458" t="s">
        <v>420</v>
      </c>
      <c r="B169" s="459"/>
      <c r="C169" s="459" t="s">
        <v>421</v>
      </c>
      <c r="D169" s="445">
        <f>IF(D177=0,0,D168/D177)</f>
        <v>0</v>
      </c>
      <c r="E169" s="445">
        <f>IF(E177=0,0,E168/E177)</f>
        <v>-8.9284621273686571E-3</v>
      </c>
      <c r="F169" s="445">
        <f>IF(F177=0,0,F168/F177)</f>
        <v>-7.0983514296297703E-3</v>
      </c>
      <c r="G169" s="445">
        <f>IF(G177=0,0,G168/G177)</f>
        <v>-6.0011877700141721E-3</v>
      </c>
    </row>
    <row r="170" spans="1:7">
      <c r="A170" s="443" t="s">
        <v>422</v>
      </c>
      <c r="B170" s="444"/>
      <c r="C170" s="444" t="s">
        <v>423</v>
      </c>
      <c r="D170" s="442">
        <f>SUM(D82:D87)+SUM(D89:D94)</f>
        <v>0</v>
      </c>
      <c r="E170" s="442">
        <f>SUM(E82:E87)+SUM(E89:E94)</f>
        <v>111170.7</v>
      </c>
      <c r="F170" s="442">
        <f>SUM(F82:F87)+SUM(F89:F94)</f>
        <v>103195.65100000001</v>
      </c>
      <c r="G170" s="442">
        <f>SUM(G82:G87)+SUM(G89:G94)</f>
        <v>124074.8</v>
      </c>
    </row>
    <row r="171" spans="1:7">
      <c r="A171" s="443" t="s">
        <v>424</v>
      </c>
      <c r="B171" s="444"/>
      <c r="C171" s="444" t="s">
        <v>425</v>
      </c>
      <c r="D171" s="461">
        <f>SUM(D96:D102)+SUM(D104:D105)</f>
        <v>0</v>
      </c>
      <c r="E171" s="461">
        <f>SUM(E96:E102)+SUM(E104:E105)</f>
        <v>17193</v>
      </c>
      <c r="F171" s="461">
        <f>SUM(F96:F102)+SUM(F104:F105)</f>
        <v>22582.7</v>
      </c>
      <c r="G171" s="461">
        <f>SUM(G96:G102)+SUM(G104:G105)</f>
        <v>15260.5</v>
      </c>
    </row>
    <row r="172" spans="1:7">
      <c r="A172" s="466" t="s">
        <v>413</v>
      </c>
      <c r="B172" s="464"/>
      <c r="C172" s="464" t="s">
        <v>426</v>
      </c>
      <c r="D172" s="465">
        <f>IF(D184=0,0,D170/D184)</f>
        <v>0</v>
      </c>
      <c r="E172" s="465">
        <f>IF(E184=0,0,E170/E184)</f>
        <v>8.5161595158482331E-2</v>
      </c>
      <c r="F172" s="465">
        <f>IF(F184=0,0,F170/F184)</f>
        <v>8.1512135092222271E-2</v>
      </c>
      <c r="G172" s="465">
        <f>IF(G184=0,0,G170/G184)</f>
        <v>9.0218342811473562E-2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2"/>
      <c r="E175" s="472">
        <v>116559</v>
      </c>
      <c r="F175" s="472">
        <v>116559</v>
      </c>
      <c r="G175" s="472">
        <v>116559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1274329.2</v>
      </c>
      <c r="F177" s="472">
        <f>SUM(F22:F32)+SUM(F44:F53)+SUM(F65:F72)+F75</f>
        <v>1250155.0660000001</v>
      </c>
      <c r="G177" s="472">
        <f>SUM(G22:G32)+SUM(G44:G53)+SUM(G65:G72)+G75</f>
        <v>1266649.2520000001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1278351.6499999999</v>
      </c>
      <c r="F178" s="472">
        <f>F78-F17-F20-F59-F63-F64</f>
        <v>1244042.1500000001</v>
      </c>
      <c r="G178" s="472">
        <f>G78-G17-G20-G59-G63-G64</f>
        <v>1338959.422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1389522.3499999999</v>
      </c>
      <c r="F179" s="472">
        <f>F178+F170</f>
        <v>1347237.8010000002</v>
      </c>
      <c r="G179" s="472">
        <f>G178+G170</f>
        <v>1463034.2220000001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64565.2</v>
      </c>
      <c r="F180" s="472">
        <f>F38-F44+F8+F9+F10+F16-F33</f>
        <v>59918.559999999998</v>
      </c>
      <c r="G180" s="472">
        <f>G38-G44+G8+G9+G10+G16-G33</f>
        <v>71631.600000000006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1267898.7880000002</v>
      </c>
      <c r="F181" s="475">
        <f>F22+F23+F24+F25+F26+F29+SUM(F44:F47)+SUM(F49:F53)-F54+F32-F33+SUM(F65:F70)+F72</f>
        <v>1244239.0159999998</v>
      </c>
      <c r="G181" s="475">
        <f>G22+G23+G24+G25+G26+G29+SUM(G44:G47)+SUM(G49:G53)-G54+G32-G33+SUM(G65:G70)+G72</f>
        <v>1260333.2520000001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1285091.7880000002</v>
      </c>
      <c r="F182" s="475">
        <f>F181+F171</f>
        <v>1266821.7159999998</v>
      </c>
      <c r="G182" s="475">
        <f>G181+G171</f>
        <v>1275593.7520000001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1194238.1500000001</v>
      </c>
      <c r="F183" s="475">
        <f>F4+F5-F7+F38+F39+F40+F41+F43+F13-F16+F57+F58+F60+F61+F62</f>
        <v>1162820.1500000001</v>
      </c>
      <c r="G183" s="475">
        <f>G4+G5-G7+G38+G39+G40+G41+G43+G13-G16+G57+G58+G60+G61+G62</f>
        <v>1251197.635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1305408.8500000001</v>
      </c>
      <c r="F184" s="475">
        <f>F183+F170</f>
        <v>1266015.8010000002</v>
      </c>
      <c r="G184" s="475">
        <f>G183+G170</f>
        <v>1375272.4350000001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73660.638000000035</v>
      </c>
      <c r="F185" s="475">
        <f t="shared" si="1"/>
        <v>81418.865999999689</v>
      </c>
      <c r="G185" s="475">
        <f t="shared" si="1"/>
        <v>9135.6170000000857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-20317.061999999918</v>
      </c>
      <c r="F186" s="475">
        <f t="shared" si="1"/>
        <v>805.91499999957159</v>
      </c>
      <c r="G186" s="475">
        <f t="shared" si="1"/>
        <v>-99678.682999999961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16383" man="1"/>
    <brk id="1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Normal="100" workbookViewId="0">
      <selection sqref="A1:G186"/>
    </sheetView>
  </sheetViews>
  <sheetFormatPr baseColWidth="10" defaultColWidth="11.5" defaultRowHeight="13"/>
  <cols>
    <col min="1" max="1" width="16.33203125" style="478" customWidth="1"/>
    <col min="2" max="2" width="3.6640625" style="252" customWidth="1"/>
    <col min="3" max="3" width="44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553" t="s">
        <v>113</v>
      </c>
      <c r="B1" s="532" t="s">
        <v>668</v>
      </c>
      <c r="C1" s="532" t="s">
        <v>114</v>
      </c>
      <c r="D1" s="241" t="s">
        <v>115</v>
      </c>
      <c r="E1" s="240" t="s">
        <v>105</v>
      </c>
      <c r="F1" s="241" t="s">
        <v>115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554"/>
      <c r="B2" s="245"/>
      <c r="C2" s="246" t="s">
        <v>669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459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555">
        <v>30</v>
      </c>
      <c r="B4" s="480"/>
      <c r="C4" s="256" t="s">
        <v>117</v>
      </c>
      <c r="D4" s="257">
        <v>1442602</v>
      </c>
      <c r="E4" s="257">
        <v>1487746.86</v>
      </c>
      <c r="F4" s="257">
        <v>1158331.8999999999</v>
      </c>
      <c r="G4" s="259">
        <v>1173958.3999999999</v>
      </c>
    </row>
    <row r="5" spans="1:55" s="260" customFormat="1" ht="12.75" customHeight="1">
      <c r="A5" s="274">
        <v>31</v>
      </c>
      <c r="B5" s="262"/>
      <c r="C5" s="263" t="s">
        <v>460</v>
      </c>
      <c r="D5" s="264">
        <v>446295.5</v>
      </c>
      <c r="E5" s="264">
        <v>442640</v>
      </c>
      <c r="F5" s="275">
        <v>318554</v>
      </c>
      <c r="G5" s="267">
        <v>323472</v>
      </c>
    </row>
    <row r="6" spans="1:55" s="260" customFormat="1" ht="12.75" customHeight="1">
      <c r="A6" s="268" t="s">
        <v>119</v>
      </c>
      <c r="B6" s="269"/>
      <c r="C6" s="270" t="s">
        <v>461</v>
      </c>
      <c r="D6" s="271">
        <v>58900</v>
      </c>
      <c r="E6" s="271">
        <v>53439</v>
      </c>
      <c r="F6" s="271">
        <v>49697.8</v>
      </c>
      <c r="G6" s="273"/>
    </row>
    <row r="7" spans="1:55" s="260" customFormat="1" ht="12.75" customHeight="1">
      <c r="A7" s="268" t="s">
        <v>462</v>
      </c>
      <c r="B7" s="269"/>
      <c r="C7" s="270" t="s">
        <v>463</v>
      </c>
      <c r="D7" s="271">
        <v>13826</v>
      </c>
      <c r="E7" s="271">
        <v>14390</v>
      </c>
      <c r="F7" s="271">
        <v>13764.4</v>
      </c>
      <c r="G7" s="273"/>
    </row>
    <row r="8" spans="1:55" s="260" customFormat="1" ht="12.75" customHeight="1">
      <c r="A8" s="274">
        <v>330</v>
      </c>
      <c r="B8" s="262"/>
      <c r="C8" s="263" t="s">
        <v>464</v>
      </c>
      <c r="D8" s="275">
        <v>94256.17</v>
      </c>
      <c r="E8" s="275">
        <v>80394</v>
      </c>
      <c r="F8" s="275">
        <v>61027.6</v>
      </c>
      <c r="G8" s="276">
        <v>66129</v>
      </c>
    </row>
    <row r="9" spans="1:55" s="260" customFormat="1" ht="12.75" customHeight="1">
      <c r="A9" s="274">
        <v>332</v>
      </c>
      <c r="B9" s="262"/>
      <c r="C9" s="263" t="s">
        <v>465</v>
      </c>
      <c r="D9" s="275"/>
      <c r="E9" s="275"/>
      <c r="F9" s="275"/>
      <c r="G9" s="276"/>
    </row>
    <row r="10" spans="1:55" s="260" customFormat="1" ht="12.75" customHeight="1">
      <c r="A10" s="274">
        <v>339</v>
      </c>
      <c r="B10" s="262"/>
      <c r="C10" s="263" t="s">
        <v>466</v>
      </c>
      <c r="D10" s="275">
        <v>0</v>
      </c>
      <c r="E10" s="275">
        <v>0</v>
      </c>
      <c r="F10" s="275">
        <v>0</v>
      </c>
      <c r="G10" s="276"/>
    </row>
    <row r="11" spans="1:55" s="538" customFormat="1" ht="28.25" customHeight="1">
      <c r="A11" s="278">
        <v>350</v>
      </c>
      <c r="B11" s="537"/>
      <c r="C11" s="280" t="s">
        <v>467</v>
      </c>
      <c r="D11" s="281">
        <v>0</v>
      </c>
      <c r="E11" s="281">
        <v>0</v>
      </c>
      <c r="F11" s="281"/>
      <c r="G11" s="496">
        <v>0</v>
      </c>
    </row>
    <row r="12" spans="1:55" s="285" customFormat="1" ht="28">
      <c r="A12" s="278">
        <v>351</v>
      </c>
      <c r="B12" s="279"/>
      <c r="C12" s="280" t="s">
        <v>468</v>
      </c>
      <c r="D12" s="282">
        <v>69046</v>
      </c>
      <c r="E12" s="282">
        <v>33460.199999999997</v>
      </c>
      <c r="F12" s="282">
        <v>60782.7</v>
      </c>
      <c r="G12" s="482">
        <v>38853</v>
      </c>
    </row>
    <row r="13" spans="1:55" s="260" customFormat="1" ht="12.75" customHeight="1">
      <c r="A13" s="274">
        <v>36</v>
      </c>
      <c r="B13" s="262"/>
      <c r="C13" s="263" t="s">
        <v>469</v>
      </c>
      <c r="D13" s="271">
        <v>1019332.8</v>
      </c>
      <c r="E13" s="323">
        <v>1092659.8999999999</v>
      </c>
      <c r="F13" s="271">
        <v>1277176.3999999999</v>
      </c>
      <c r="G13" s="276">
        <v>1332254</v>
      </c>
    </row>
    <row r="14" spans="1:55" s="260" customFormat="1" ht="12.75" customHeight="1">
      <c r="A14" s="287" t="s">
        <v>470</v>
      </c>
      <c r="B14" s="262"/>
      <c r="C14" s="288" t="s">
        <v>471</v>
      </c>
      <c r="D14" s="271">
        <v>38708.199999999997</v>
      </c>
      <c r="E14" s="323">
        <v>622088.9</v>
      </c>
      <c r="F14" s="271">
        <v>241570</v>
      </c>
      <c r="G14" s="276">
        <v>267841.59999999998</v>
      </c>
    </row>
    <row r="15" spans="1:55" s="260" customFormat="1" ht="12.75" customHeight="1">
      <c r="A15" s="287" t="s">
        <v>472</v>
      </c>
      <c r="B15" s="262"/>
      <c r="C15" s="288" t="s">
        <v>473</v>
      </c>
      <c r="D15" s="271">
        <v>4866.3</v>
      </c>
      <c r="E15" s="323">
        <v>30815.200000000001</v>
      </c>
      <c r="F15" s="271">
        <v>33878</v>
      </c>
      <c r="G15" s="276">
        <v>31421</v>
      </c>
    </row>
    <row r="16" spans="1:55" s="297" customFormat="1" ht="26.25" customHeight="1">
      <c r="A16" s="287" t="s">
        <v>474</v>
      </c>
      <c r="B16" s="483"/>
      <c r="C16" s="288" t="s">
        <v>475</v>
      </c>
      <c r="D16" s="293">
        <v>55924.1</v>
      </c>
      <c r="E16" s="294">
        <v>168659.3</v>
      </c>
      <c r="F16" s="293">
        <v>32494</v>
      </c>
      <c r="G16" s="296">
        <v>42931.5</v>
      </c>
    </row>
    <row r="17" spans="1:8" s="299" customFormat="1">
      <c r="A17" s="274">
        <v>37</v>
      </c>
      <c r="B17" s="262"/>
      <c r="C17" s="263" t="s">
        <v>476</v>
      </c>
      <c r="D17" s="316">
        <v>221987.1</v>
      </c>
      <c r="E17" s="264">
        <v>227488.43</v>
      </c>
      <c r="F17" s="316">
        <v>218860</v>
      </c>
      <c r="G17" s="298">
        <v>228228.7</v>
      </c>
      <c r="H17" s="260"/>
    </row>
    <row r="18" spans="1:8" s="299" customFormat="1">
      <c r="A18" s="322" t="s">
        <v>477</v>
      </c>
      <c r="B18" s="269"/>
      <c r="C18" s="270" t="s">
        <v>478</v>
      </c>
      <c r="D18" s="485">
        <v>15.9</v>
      </c>
      <c r="E18" s="323">
        <v>100</v>
      </c>
      <c r="F18" s="485">
        <v>20</v>
      </c>
      <c r="G18" s="298">
        <v>200</v>
      </c>
      <c r="H18" s="318"/>
    </row>
    <row r="19" spans="1:8" s="299" customFormat="1">
      <c r="A19" s="322" t="s">
        <v>479</v>
      </c>
      <c r="B19" s="269"/>
      <c r="C19" s="270" t="s">
        <v>480</v>
      </c>
      <c r="D19" s="485">
        <v>0</v>
      </c>
      <c r="E19" s="323">
        <v>0</v>
      </c>
      <c r="F19" s="485">
        <v>0</v>
      </c>
      <c r="G19" s="298"/>
      <c r="H19" s="318"/>
    </row>
    <row r="20" spans="1:8" s="260" customFormat="1" ht="12.75" customHeight="1">
      <c r="A20" s="556">
        <v>39</v>
      </c>
      <c r="B20" s="302"/>
      <c r="C20" s="303" t="s">
        <v>139</v>
      </c>
      <c r="D20" s="306">
        <v>28468.3</v>
      </c>
      <c r="E20" s="304">
        <v>231835.26</v>
      </c>
      <c r="F20" s="306">
        <v>24977</v>
      </c>
      <c r="G20" s="308">
        <v>26483.8</v>
      </c>
    </row>
    <row r="21" spans="1:8" ht="12.75" customHeight="1">
      <c r="A21" s="557"/>
      <c r="B21" s="309"/>
      <c r="C21" s="310" t="s">
        <v>481</v>
      </c>
      <c r="D21" s="311">
        <f>D4+D5+SUM(D8:D13)+D17</f>
        <v>3293519.57</v>
      </c>
      <c r="E21" s="311">
        <f>E4+E5+SUM(E8:E13)+E17</f>
        <v>3364389.39</v>
      </c>
      <c r="F21" s="311">
        <f>F4+F5+SUM(F8:F13)+F17</f>
        <v>3094732.5999999996</v>
      </c>
      <c r="G21" s="311">
        <f>G4+G5+SUM(G8:G13)+G17</f>
        <v>3162895.1</v>
      </c>
    </row>
    <row r="22" spans="1:8" s="538" customFormat="1" ht="12.75" customHeight="1">
      <c r="A22" s="278" t="s">
        <v>247</v>
      </c>
      <c r="B22" s="537"/>
      <c r="C22" s="280" t="s">
        <v>482</v>
      </c>
      <c r="D22" s="281">
        <v>941944</v>
      </c>
      <c r="E22" s="281">
        <v>938400</v>
      </c>
      <c r="F22" s="281">
        <v>930024.6</v>
      </c>
      <c r="G22" s="558">
        <v>923400</v>
      </c>
    </row>
    <row r="23" spans="1:8" s="538" customFormat="1" ht="14">
      <c r="A23" s="278" t="s">
        <v>249</v>
      </c>
      <c r="B23" s="537"/>
      <c r="C23" s="280" t="s">
        <v>483</v>
      </c>
      <c r="D23" s="281">
        <v>185376</v>
      </c>
      <c r="E23" s="281">
        <v>185914</v>
      </c>
      <c r="F23" s="281">
        <v>189937.7</v>
      </c>
      <c r="G23" s="558">
        <v>190660</v>
      </c>
    </row>
    <row r="24" spans="1:8" s="313" customFormat="1" ht="12.75" customHeight="1">
      <c r="A24" s="274">
        <v>41</v>
      </c>
      <c r="B24" s="262"/>
      <c r="C24" s="263" t="s">
        <v>484</v>
      </c>
      <c r="D24" s="275">
        <v>85596.3</v>
      </c>
      <c r="E24" s="275">
        <v>57441.57</v>
      </c>
      <c r="F24" s="275">
        <v>59665</v>
      </c>
      <c r="G24" s="276">
        <v>58371</v>
      </c>
      <c r="H24" s="260"/>
    </row>
    <row r="25" spans="1:8" s="260" customFormat="1" ht="12.75" customHeight="1">
      <c r="A25" s="559">
        <v>42</v>
      </c>
      <c r="B25" s="315"/>
      <c r="C25" s="263" t="s">
        <v>485</v>
      </c>
      <c r="D25" s="275">
        <v>453492.6</v>
      </c>
      <c r="E25" s="275">
        <v>475229.01</v>
      </c>
      <c r="F25" s="275">
        <v>210168</v>
      </c>
      <c r="G25" s="276">
        <v>208532</v>
      </c>
    </row>
    <row r="26" spans="1:8" s="318" customFormat="1" ht="12.75" customHeight="1">
      <c r="A26" s="278">
        <v>430</v>
      </c>
      <c r="B26" s="262"/>
      <c r="C26" s="263" t="s">
        <v>670</v>
      </c>
      <c r="D26" s="316">
        <v>8892</v>
      </c>
      <c r="E26" s="316">
        <v>8975</v>
      </c>
      <c r="F26" s="316">
        <v>1996</v>
      </c>
      <c r="G26" s="298">
        <v>1997</v>
      </c>
      <c r="H26" s="260"/>
    </row>
    <row r="27" spans="1:8" s="318" customFormat="1" ht="12.75" customHeight="1">
      <c r="A27" s="278">
        <v>431</v>
      </c>
      <c r="B27" s="262"/>
      <c r="C27" s="263" t="s">
        <v>487</v>
      </c>
      <c r="D27" s="316">
        <v>145</v>
      </c>
      <c r="E27" s="316">
        <v>382</v>
      </c>
      <c r="F27" s="316">
        <v>78</v>
      </c>
      <c r="G27" s="298">
        <v>285</v>
      </c>
      <c r="H27" s="260"/>
    </row>
    <row r="28" spans="1:8" s="318" customFormat="1" ht="12.75" customHeight="1">
      <c r="A28" s="278">
        <v>432</v>
      </c>
      <c r="B28" s="262"/>
      <c r="C28" s="263" t="s">
        <v>488</v>
      </c>
      <c r="D28" s="316">
        <v>0</v>
      </c>
      <c r="E28" s="316">
        <v>0</v>
      </c>
      <c r="F28" s="316">
        <v>0</v>
      </c>
      <c r="G28" s="298">
        <v>0</v>
      </c>
      <c r="H28" s="260"/>
    </row>
    <row r="29" spans="1:8" s="318" customFormat="1" ht="12.75" customHeight="1">
      <c r="A29" s="278">
        <v>439</v>
      </c>
      <c r="B29" s="262"/>
      <c r="C29" s="263" t="s">
        <v>489</v>
      </c>
      <c r="D29" s="316">
        <v>0</v>
      </c>
      <c r="E29" s="316">
        <v>0</v>
      </c>
      <c r="F29" s="316">
        <v>0</v>
      </c>
      <c r="G29" s="298">
        <v>0</v>
      </c>
      <c r="H29" s="260"/>
    </row>
    <row r="30" spans="1:8" s="260" customFormat="1" ht="28">
      <c r="A30" s="278">
        <v>450</v>
      </c>
      <c r="B30" s="279"/>
      <c r="C30" s="280" t="s">
        <v>490</v>
      </c>
      <c r="D30" s="264">
        <v>0</v>
      </c>
      <c r="E30" s="264">
        <v>0</v>
      </c>
      <c r="F30" s="264">
        <v>0</v>
      </c>
      <c r="G30" s="319">
        <v>0</v>
      </c>
    </row>
    <row r="31" spans="1:8" s="285" customFormat="1" ht="28">
      <c r="A31" s="278">
        <v>451</v>
      </c>
      <c r="B31" s="279"/>
      <c r="C31" s="280" t="s">
        <v>491</v>
      </c>
      <c r="D31" s="281">
        <v>78738.899999999994</v>
      </c>
      <c r="E31" s="281">
        <v>63406.29</v>
      </c>
      <c r="F31" s="281">
        <v>50802.6</v>
      </c>
      <c r="G31" s="276">
        <v>76202</v>
      </c>
    </row>
    <row r="32" spans="1:8" s="260" customFormat="1" ht="12.75" customHeight="1">
      <c r="A32" s="274">
        <v>46</v>
      </c>
      <c r="B32" s="262"/>
      <c r="C32" s="263" t="s">
        <v>492</v>
      </c>
      <c r="D32" s="275">
        <v>1347058.9</v>
      </c>
      <c r="E32" s="275">
        <v>1343703.74</v>
      </c>
      <c r="F32" s="275">
        <v>1376356</v>
      </c>
      <c r="G32" s="276">
        <v>1372599</v>
      </c>
    </row>
    <row r="33" spans="1:8" s="297" customFormat="1" ht="14">
      <c r="A33" s="287" t="s">
        <v>493</v>
      </c>
      <c r="B33" s="560"/>
      <c r="C33" s="288" t="s">
        <v>494</v>
      </c>
      <c r="D33" s="290">
        <v>0</v>
      </c>
      <c r="E33" s="290">
        <v>0</v>
      </c>
      <c r="F33" s="290">
        <v>0</v>
      </c>
      <c r="G33" s="561">
        <v>0</v>
      </c>
    </row>
    <row r="34" spans="1:8" s="260" customFormat="1" ht="15" customHeight="1">
      <c r="A34" s="274">
        <v>47</v>
      </c>
      <c r="B34" s="262"/>
      <c r="C34" s="263" t="s">
        <v>476</v>
      </c>
      <c r="D34" s="275">
        <v>222129.6</v>
      </c>
      <c r="E34" s="275">
        <v>227488.43</v>
      </c>
      <c r="F34" s="275">
        <v>219610</v>
      </c>
      <c r="G34" s="276">
        <v>228229</v>
      </c>
    </row>
    <row r="35" spans="1:8" s="260" customFormat="1" ht="15" customHeight="1">
      <c r="A35" s="556">
        <v>49</v>
      </c>
      <c r="B35" s="302"/>
      <c r="C35" s="303" t="s">
        <v>139</v>
      </c>
      <c r="D35" s="306">
        <v>28468.3</v>
      </c>
      <c r="E35" s="304">
        <v>231835.26</v>
      </c>
      <c r="F35" s="306">
        <v>24977</v>
      </c>
      <c r="G35" s="308">
        <v>26483.7</v>
      </c>
    </row>
    <row r="36" spans="1:8" ht="13.5" customHeight="1">
      <c r="A36" s="557"/>
      <c r="B36" s="335"/>
      <c r="C36" s="310" t="s">
        <v>495</v>
      </c>
      <c r="D36" s="311">
        <f>D22+D23+D24+D25+D26+D27+D28+D29+D30+D31+D32+D34</f>
        <v>3323373.3</v>
      </c>
      <c r="E36" s="311">
        <f>E22+E23+E24+E25+E26+E27+E28+E29+E30+E31+E32+E34</f>
        <v>3300940.0400000005</v>
      </c>
      <c r="F36" s="311">
        <f>F22+F23+F24+F25+F26+F27+F28+F29+F30+F31+F32+F34</f>
        <v>3038637.9000000004</v>
      </c>
      <c r="G36" s="311">
        <f>G22+G23+G24+G25+G26+G27+G28+G29+G30+G31+G32+G34</f>
        <v>3060275</v>
      </c>
    </row>
    <row r="37" spans="1:8" s="487" customFormat="1" ht="15" customHeight="1">
      <c r="A37" s="557"/>
      <c r="B37" s="335"/>
      <c r="C37" s="310" t="s">
        <v>496</v>
      </c>
      <c r="D37" s="311">
        <f>D36-D21</f>
        <v>29853.729999999981</v>
      </c>
      <c r="E37" s="311">
        <f>E36-E21</f>
        <v>-63449.349999999627</v>
      </c>
      <c r="F37" s="311">
        <f>F36-F21</f>
        <v>-56094.699999999255</v>
      </c>
      <c r="G37" s="311">
        <f>G36-G21</f>
        <v>-102620.10000000009</v>
      </c>
    </row>
    <row r="38" spans="1:8" s="285" customFormat="1" ht="15" customHeight="1">
      <c r="A38" s="274">
        <v>340</v>
      </c>
      <c r="B38" s="262"/>
      <c r="C38" s="263" t="s">
        <v>497</v>
      </c>
      <c r="D38" s="275">
        <v>22136</v>
      </c>
      <c r="E38" s="264">
        <v>17000</v>
      </c>
      <c r="F38" s="275">
        <v>16263</v>
      </c>
      <c r="G38" s="276">
        <v>14516.9</v>
      </c>
      <c r="H38" s="562"/>
    </row>
    <row r="39" spans="1:8" s="285" customFormat="1" ht="15" customHeight="1">
      <c r="A39" s="274">
        <v>341</v>
      </c>
      <c r="B39" s="262"/>
      <c r="C39" s="263" t="s">
        <v>498</v>
      </c>
      <c r="D39" s="275"/>
      <c r="E39" s="275">
        <v>0</v>
      </c>
      <c r="F39" s="275">
        <v>0</v>
      </c>
      <c r="G39" s="276">
        <v>0</v>
      </c>
      <c r="H39" s="562"/>
    </row>
    <row r="40" spans="1:8" s="297" customFormat="1" ht="15" customHeight="1">
      <c r="A40" s="278">
        <v>342</v>
      </c>
      <c r="B40" s="537"/>
      <c r="C40" s="280" t="s">
        <v>499</v>
      </c>
      <c r="D40" s="281"/>
      <c r="E40" s="281">
        <v>0</v>
      </c>
      <c r="F40" s="281">
        <v>0</v>
      </c>
      <c r="G40" s="558">
        <v>0</v>
      </c>
    </row>
    <row r="41" spans="1:8" s="285" customFormat="1" ht="15" customHeight="1">
      <c r="A41" s="274">
        <v>343</v>
      </c>
      <c r="B41" s="262"/>
      <c r="C41" s="263" t="s">
        <v>671</v>
      </c>
      <c r="D41" s="275"/>
      <c r="E41" s="275">
        <v>0</v>
      </c>
      <c r="F41" s="275">
        <v>0</v>
      </c>
      <c r="G41" s="276">
        <v>0</v>
      </c>
      <c r="H41" s="562"/>
    </row>
    <row r="42" spans="1:8" s="297" customFormat="1" ht="15" customHeight="1">
      <c r="A42" s="278">
        <v>344</v>
      </c>
      <c r="B42" s="537"/>
      <c r="C42" s="280" t="s">
        <v>501</v>
      </c>
      <c r="D42" s="281">
        <v>310</v>
      </c>
      <c r="E42" s="281">
        <v>0</v>
      </c>
      <c r="F42" s="281">
        <v>0</v>
      </c>
      <c r="G42" s="558">
        <v>0</v>
      </c>
    </row>
    <row r="43" spans="1:8" s="285" customFormat="1" ht="15" customHeight="1">
      <c r="A43" s="274">
        <v>349</v>
      </c>
      <c r="B43" s="262"/>
      <c r="C43" s="263" t="s">
        <v>502</v>
      </c>
      <c r="D43" s="275">
        <v>17</v>
      </c>
      <c r="E43" s="275">
        <v>36</v>
      </c>
      <c r="F43" s="275">
        <v>13</v>
      </c>
      <c r="G43" s="276">
        <v>16</v>
      </c>
      <c r="H43" s="562"/>
    </row>
    <row r="44" spans="1:8" s="260" customFormat="1" ht="15" customHeight="1">
      <c r="A44" s="274">
        <v>440</v>
      </c>
      <c r="B44" s="262"/>
      <c r="C44" s="263" t="s">
        <v>503</v>
      </c>
      <c r="D44" s="275">
        <v>30399</v>
      </c>
      <c r="E44" s="264">
        <v>22804.45</v>
      </c>
      <c r="F44" s="275">
        <v>22335.8</v>
      </c>
      <c r="G44" s="276">
        <v>18945</v>
      </c>
    </row>
    <row r="45" spans="1:8" s="538" customFormat="1" ht="15" customHeight="1">
      <c r="A45" s="278">
        <v>441</v>
      </c>
      <c r="B45" s="537"/>
      <c r="C45" s="280" t="s">
        <v>504</v>
      </c>
      <c r="D45" s="281">
        <v>1338</v>
      </c>
      <c r="E45" s="379">
        <v>0</v>
      </c>
      <c r="F45" s="281">
        <v>626</v>
      </c>
      <c r="G45" s="284"/>
    </row>
    <row r="46" spans="1:8" s="538" customFormat="1" ht="15" customHeight="1">
      <c r="A46" s="278">
        <v>442</v>
      </c>
      <c r="B46" s="537"/>
      <c r="C46" s="280" t="s">
        <v>505</v>
      </c>
      <c r="D46" s="281">
        <v>908</v>
      </c>
      <c r="E46" s="379">
        <v>1063.03</v>
      </c>
      <c r="F46" s="281">
        <v>460</v>
      </c>
      <c r="G46" s="558">
        <v>567</v>
      </c>
    </row>
    <row r="47" spans="1:8" s="260" customFormat="1" ht="15" customHeight="1">
      <c r="A47" s="274">
        <v>443</v>
      </c>
      <c r="B47" s="262"/>
      <c r="C47" s="263" t="s">
        <v>506</v>
      </c>
      <c r="D47" s="275">
        <v>0</v>
      </c>
      <c r="E47" s="264">
        <v>0</v>
      </c>
      <c r="F47" s="275">
        <v>0</v>
      </c>
      <c r="G47" s="348">
        <v>0</v>
      </c>
    </row>
    <row r="48" spans="1:8" s="260" customFormat="1" ht="15" customHeight="1">
      <c r="A48" s="274">
        <v>444</v>
      </c>
      <c r="B48" s="262"/>
      <c r="C48" s="263" t="s">
        <v>507</v>
      </c>
      <c r="D48" s="275">
        <v>0</v>
      </c>
      <c r="E48" s="264">
        <v>0</v>
      </c>
      <c r="F48" s="275">
        <v>0</v>
      </c>
      <c r="G48" s="348">
        <v>0</v>
      </c>
    </row>
    <row r="49" spans="1:8" s="260" customFormat="1" ht="15" customHeight="1">
      <c r="A49" s="274">
        <v>445</v>
      </c>
      <c r="B49" s="262"/>
      <c r="C49" s="263" t="s">
        <v>508</v>
      </c>
      <c r="D49" s="275">
        <v>1600</v>
      </c>
      <c r="E49" s="264">
        <v>1609.4</v>
      </c>
      <c r="F49" s="275">
        <v>3397.7</v>
      </c>
      <c r="G49" s="276">
        <v>3821</v>
      </c>
    </row>
    <row r="50" spans="1:8" s="260" customFormat="1" ht="15" customHeight="1">
      <c r="A50" s="274">
        <v>446</v>
      </c>
      <c r="B50" s="262"/>
      <c r="C50" s="263" t="s">
        <v>509</v>
      </c>
      <c r="D50" s="275">
        <v>51272</v>
      </c>
      <c r="E50" s="264">
        <v>47265</v>
      </c>
      <c r="F50" s="275">
        <v>48835</v>
      </c>
      <c r="G50" s="276">
        <v>49515</v>
      </c>
    </row>
    <row r="51" spans="1:8" s="538" customFormat="1" ht="15" customHeight="1">
      <c r="A51" s="278">
        <v>447</v>
      </c>
      <c r="B51" s="537"/>
      <c r="C51" s="280" t="s">
        <v>510</v>
      </c>
      <c r="D51" s="281">
        <v>9881</v>
      </c>
      <c r="E51" s="379">
        <v>8754.4699999999993</v>
      </c>
      <c r="F51" s="281">
        <v>7293</v>
      </c>
      <c r="G51" s="558">
        <v>6803</v>
      </c>
    </row>
    <row r="52" spans="1:8" s="260" customFormat="1" ht="15" customHeight="1">
      <c r="A52" s="274">
        <v>448</v>
      </c>
      <c r="B52" s="262"/>
      <c r="C52" s="263" t="s">
        <v>511</v>
      </c>
      <c r="D52" s="275">
        <v>0</v>
      </c>
      <c r="E52" s="264">
        <v>0</v>
      </c>
      <c r="F52" s="275">
        <v>0</v>
      </c>
      <c r="G52" s="348">
        <v>0</v>
      </c>
    </row>
    <row r="53" spans="1:8" s="538" customFormat="1" ht="15" customHeight="1">
      <c r="A53" s="278">
        <v>449</v>
      </c>
      <c r="B53" s="537"/>
      <c r="C53" s="280" t="s">
        <v>512</v>
      </c>
      <c r="D53" s="281">
        <v>0</v>
      </c>
      <c r="E53" s="379">
        <v>0</v>
      </c>
      <c r="F53" s="281">
        <v>0</v>
      </c>
      <c r="G53" s="284">
        <v>0</v>
      </c>
    </row>
    <row r="54" spans="1:8" s="285" customFormat="1" ht="13.5" customHeight="1">
      <c r="A54" s="329" t="s">
        <v>513</v>
      </c>
      <c r="B54" s="330"/>
      <c r="C54" s="330" t="s">
        <v>514</v>
      </c>
      <c r="D54" s="332">
        <v>0</v>
      </c>
      <c r="E54" s="331">
        <v>0</v>
      </c>
      <c r="F54" s="332">
        <v>0</v>
      </c>
      <c r="G54" s="563">
        <v>0</v>
      </c>
    </row>
    <row r="55" spans="1:8" ht="15" customHeight="1">
      <c r="A55" s="564"/>
      <c r="B55" s="335"/>
      <c r="C55" s="310" t="s">
        <v>515</v>
      </c>
      <c r="D55" s="311">
        <f>SUM(D44:D53)-SUM(D38:D43)</f>
        <v>72935</v>
      </c>
      <c r="E55" s="311">
        <f>SUM(E44:E53)-SUM(E38:E43)</f>
        <v>64460.350000000006</v>
      </c>
      <c r="F55" s="311">
        <f>SUM(F44:F53)-SUM(F38:F43)</f>
        <v>66671.5</v>
      </c>
      <c r="G55" s="311">
        <f>SUM(G44:G53)-SUM(G38:G43)</f>
        <v>65118.1</v>
      </c>
    </row>
    <row r="56" spans="1:8" ht="14.25" customHeight="1">
      <c r="A56" s="564"/>
      <c r="B56" s="335"/>
      <c r="C56" s="310" t="s">
        <v>516</v>
      </c>
      <c r="D56" s="311">
        <f>D55+D37</f>
        <v>102788.72999999998</v>
      </c>
      <c r="E56" s="311">
        <f>E55+E37</f>
        <v>1011.0000000003783</v>
      </c>
      <c r="F56" s="311">
        <f>F55+F37</f>
        <v>10576.800000000745</v>
      </c>
      <c r="G56" s="311">
        <f>G55+G37</f>
        <v>-37502.000000000095</v>
      </c>
    </row>
    <row r="57" spans="1:8" s="260" customFormat="1" ht="15.75" customHeight="1">
      <c r="A57" s="565">
        <v>380</v>
      </c>
      <c r="B57" s="337"/>
      <c r="C57" s="338" t="s">
        <v>517</v>
      </c>
      <c r="D57" s="340">
        <v>0</v>
      </c>
      <c r="E57" s="339">
        <v>0</v>
      </c>
      <c r="F57" s="340">
        <v>0</v>
      </c>
      <c r="G57" s="342">
        <v>0</v>
      </c>
    </row>
    <row r="58" spans="1:8" s="260" customFormat="1" ht="15.75" customHeight="1">
      <c r="A58" s="565">
        <v>381</v>
      </c>
      <c r="B58" s="337"/>
      <c r="C58" s="338" t="s">
        <v>518</v>
      </c>
      <c r="D58" s="340">
        <v>0</v>
      </c>
      <c r="E58" s="339">
        <v>0</v>
      </c>
      <c r="F58" s="340">
        <v>0</v>
      </c>
      <c r="G58" s="342">
        <v>0</v>
      </c>
    </row>
    <row r="59" spans="1:8" s="285" customFormat="1" ht="27.5" customHeight="1">
      <c r="A59" s="278">
        <v>383</v>
      </c>
      <c r="B59" s="279"/>
      <c r="C59" s="280" t="s">
        <v>519</v>
      </c>
      <c r="D59" s="344">
        <v>0</v>
      </c>
      <c r="E59" s="343">
        <v>0</v>
      </c>
      <c r="F59" s="344">
        <v>0</v>
      </c>
      <c r="G59" s="321">
        <v>0</v>
      </c>
      <c r="H59" s="562"/>
    </row>
    <row r="60" spans="1:8" s="285" customFormat="1" ht="14">
      <c r="A60" s="278">
        <v>3840</v>
      </c>
      <c r="B60" s="279"/>
      <c r="C60" s="280" t="s">
        <v>520</v>
      </c>
      <c r="D60" s="346">
        <v>0</v>
      </c>
      <c r="E60" s="346">
        <v>0</v>
      </c>
      <c r="F60" s="346">
        <v>0</v>
      </c>
      <c r="G60" s="482">
        <v>0</v>
      </c>
      <c r="H60" s="562"/>
    </row>
    <row r="61" spans="1:8" s="285" customFormat="1" ht="26.5" customHeight="1">
      <c r="A61" s="278">
        <v>3841</v>
      </c>
      <c r="B61" s="279"/>
      <c r="C61" s="280" t="s">
        <v>521</v>
      </c>
      <c r="D61" s="346">
        <v>0</v>
      </c>
      <c r="E61" s="346">
        <v>0</v>
      </c>
      <c r="F61" s="346">
        <v>0</v>
      </c>
      <c r="G61" s="482">
        <v>0</v>
      </c>
      <c r="H61" s="562"/>
    </row>
    <row r="62" spans="1:8" s="285" customFormat="1" ht="14">
      <c r="A62" s="349">
        <v>386</v>
      </c>
      <c r="B62" s="350"/>
      <c r="C62" s="351" t="s">
        <v>522</v>
      </c>
      <c r="D62" s="346">
        <v>0</v>
      </c>
      <c r="E62" s="346">
        <v>0</v>
      </c>
      <c r="F62" s="346">
        <v>0</v>
      </c>
      <c r="G62" s="482">
        <v>0</v>
      </c>
      <c r="H62" s="562"/>
    </row>
    <row r="63" spans="1:8" s="285" customFormat="1" ht="27.5" customHeight="1">
      <c r="A63" s="278">
        <v>387</v>
      </c>
      <c r="B63" s="279"/>
      <c r="C63" s="280" t="s">
        <v>523</v>
      </c>
      <c r="D63" s="346">
        <v>0</v>
      </c>
      <c r="E63" s="346">
        <v>0</v>
      </c>
      <c r="F63" s="346">
        <v>0</v>
      </c>
      <c r="G63" s="482">
        <v>0</v>
      </c>
      <c r="H63" s="562"/>
    </row>
    <row r="64" spans="1:8" s="285" customFormat="1">
      <c r="A64" s="274">
        <v>389</v>
      </c>
      <c r="B64" s="352"/>
      <c r="C64" s="263" t="s">
        <v>138</v>
      </c>
      <c r="D64" s="275">
        <v>100000</v>
      </c>
      <c r="E64" s="275">
        <v>0</v>
      </c>
      <c r="F64" s="275">
        <v>0</v>
      </c>
      <c r="G64" s="276">
        <v>0</v>
      </c>
      <c r="H64" s="562"/>
    </row>
    <row r="65" spans="1:8" s="538" customFormat="1" ht="14">
      <c r="A65" s="278" t="s">
        <v>291</v>
      </c>
      <c r="B65" s="537"/>
      <c r="C65" s="280" t="s">
        <v>524</v>
      </c>
      <c r="D65" s="281">
        <v>0</v>
      </c>
      <c r="E65" s="281">
        <v>0</v>
      </c>
      <c r="F65" s="281">
        <v>0</v>
      </c>
      <c r="G65" s="558">
        <v>0</v>
      </c>
    </row>
    <row r="66" spans="1:8" s="355" customFormat="1" ht="28">
      <c r="A66" s="278" t="s">
        <v>293</v>
      </c>
      <c r="B66" s="354"/>
      <c r="C66" s="280" t="s">
        <v>525</v>
      </c>
      <c r="D66" s="344">
        <v>0</v>
      </c>
      <c r="E66" s="344">
        <v>0</v>
      </c>
      <c r="F66" s="344">
        <v>0</v>
      </c>
      <c r="G66" s="321">
        <v>0</v>
      </c>
    </row>
    <row r="67" spans="1:8" s="260" customFormat="1">
      <c r="A67" s="278">
        <v>481</v>
      </c>
      <c r="B67" s="262"/>
      <c r="C67" s="263" t="s">
        <v>526</v>
      </c>
      <c r="D67" s="275">
        <v>0</v>
      </c>
      <c r="E67" s="275">
        <v>0</v>
      </c>
      <c r="F67" s="275">
        <v>0</v>
      </c>
      <c r="G67" s="276">
        <v>0</v>
      </c>
    </row>
    <row r="68" spans="1:8" s="260" customFormat="1">
      <c r="A68" s="278">
        <v>482</v>
      </c>
      <c r="B68" s="262"/>
      <c r="C68" s="263" t="s">
        <v>527</v>
      </c>
      <c r="D68" s="275">
        <v>0</v>
      </c>
      <c r="E68" s="275">
        <v>0</v>
      </c>
      <c r="F68" s="275">
        <v>0</v>
      </c>
      <c r="G68" s="276">
        <v>0</v>
      </c>
    </row>
    <row r="69" spans="1:8" s="260" customFormat="1">
      <c r="A69" s="278">
        <v>483</v>
      </c>
      <c r="B69" s="262"/>
      <c r="C69" s="263" t="s">
        <v>528</v>
      </c>
      <c r="D69" s="275">
        <v>0</v>
      </c>
      <c r="E69" s="275">
        <v>0</v>
      </c>
      <c r="F69" s="275">
        <v>0</v>
      </c>
      <c r="G69" s="276">
        <v>0</v>
      </c>
    </row>
    <row r="70" spans="1:8" s="260" customFormat="1">
      <c r="A70" s="278">
        <v>484</v>
      </c>
      <c r="B70" s="262"/>
      <c r="C70" s="263" t="s">
        <v>529</v>
      </c>
      <c r="D70" s="275">
        <v>0</v>
      </c>
      <c r="E70" s="275">
        <v>0</v>
      </c>
      <c r="F70" s="275">
        <v>0</v>
      </c>
      <c r="G70" s="276">
        <v>0</v>
      </c>
    </row>
    <row r="71" spans="1:8" s="538" customFormat="1" ht="28">
      <c r="A71" s="278">
        <v>485</v>
      </c>
      <c r="B71" s="537"/>
      <c r="C71" s="280" t="s">
        <v>530</v>
      </c>
      <c r="D71" s="281">
        <v>0</v>
      </c>
      <c r="E71" s="281">
        <v>0</v>
      </c>
      <c r="F71" s="281">
        <v>0</v>
      </c>
      <c r="G71" s="558">
        <v>0</v>
      </c>
    </row>
    <row r="72" spans="1:8" s="260" customFormat="1">
      <c r="A72" s="278">
        <v>486</v>
      </c>
      <c r="B72" s="262"/>
      <c r="C72" s="263" t="s">
        <v>531</v>
      </c>
      <c r="D72" s="275">
        <v>0</v>
      </c>
      <c r="E72" s="275">
        <v>0</v>
      </c>
      <c r="F72" s="275">
        <v>0</v>
      </c>
      <c r="G72" s="276">
        <v>0</v>
      </c>
    </row>
    <row r="73" spans="1:8" s="297" customFormat="1" ht="28">
      <c r="A73" s="278">
        <v>487</v>
      </c>
      <c r="B73" s="560"/>
      <c r="C73" s="280" t="s">
        <v>532</v>
      </c>
      <c r="D73" s="281">
        <v>0</v>
      </c>
      <c r="E73" s="379">
        <v>0</v>
      </c>
      <c r="F73" s="281">
        <v>0</v>
      </c>
      <c r="G73" s="558">
        <v>0</v>
      </c>
    </row>
    <row r="74" spans="1:8" s="285" customFormat="1" ht="15" customHeight="1">
      <c r="A74" s="278">
        <v>489</v>
      </c>
      <c r="B74" s="356"/>
      <c r="C74" s="303" t="s">
        <v>175</v>
      </c>
      <c r="D74" s="281">
        <v>0</v>
      </c>
      <c r="E74" s="379">
        <v>0</v>
      </c>
      <c r="F74" s="281">
        <v>0</v>
      </c>
      <c r="G74" s="558">
        <v>38000</v>
      </c>
      <c r="H74" s="562"/>
    </row>
    <row r="75" spans="1:8" s="285" customFormat="1">
      <c r="A75" s="357" t="s">
        <v>533</v>
      </c>
      <c r="B75" s="356"/>
      <c r="C75" s="330" t="s">
        <v>534</v>
      </c>
      <c r="D75" s="275">
        <v>0</v>
      </c>
      <c r="E75" s="275">
        <v>0</v>
      </c>
      <c r="F75" s="275">
        <v>0</v>
      </c>
      <c r="G75" s="276">
        <v>0</v>
      </c>
      <c r="H75" s="562"/>
    </row>
    <row r="76" spans="1:8">
      <c r="A76" s="557"/>
      <c r="B76" s="309"/>
      <c r="C76" s="310" t="s">
        <v>535</v>
      </c>
      <c r="D76" s="311">
        <f>SUM(D65:D74)-SUM(D57:D64)</f>
        <v>-100000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38000</v>
      </c>
    </row>
    <row r="77" spans="1:8">
      <c r="A77" s="566"/>
      <c r="B77" s="358"/>
      <c r="C77" s="310" t="s">
        <v>536</v>
      </c>
      <c r="D77" s="311">
        <f>D56+D76</f>
        <v>2788.7299999999814</v>
      </c>
      <c r="E77" s="311">
        <f>E56+E76</f>
        <v>1011.0000000003783</v>
      </c>
      <c r="F77" s="311">
        <f>F56+F76</f>
        <v>10576.800000000745</v>
      </c>
      <c r="G77" s="311">
        <f>G56+G76</f>
        <v>497.99999999990541</v>
      </c>
    </row>
    <row r="78" spans="1:8">
      <c r="A78" s="567">
        <v>3</v>
      </c>
      <c r="B78" s="359"/>
      <c r="C78" s="360" t="s">
        <v>306</v>
      </c>
      <c r="D78" s="361">
        <f>D20+D21+SUM(D38:D43)+SUM(D57:D64)</f>
        <v>3444450.8699999996</v>
      </c>
      <c r="E78" s="361">
        <f>E20+E21+SUM(E38:E43)+SUM(E57:E64)</f>
        <v>3613260.6500000004</v>
      </c>
      <c r="F78" s="361">
        <f>F20+F21+SUM(F38:F43)+SUM(F57:F64)</f>
        <v>3135985.5999999996</v>
      </c>
      <c r="G78" s="361">
        <f>G20+G21+SUM(G38:G43)+SUM(G57:G64)</f>
        <v>3203911.8</v>
      </c>
    </row>
    <row r="79" spans="1:8">
      <c r="A79" s="567">
        <v>4</v>
      </c>
      <c r="B79" s="359"/>
      <c r="C79" s="360" t="s">
        <v>307</v>
      </c>
      <c r="D79" s="361">
        <f>D35+D36+SUM(D44:D53)+SUM(D65:D74)</f>
        <v>3447239.5999999996</v>
      </c>
      <c r="E79" s="361">
        <f>E35+E36+SUM(E44:E53)+SUM(E65:E74)</f>
        <v>3614271.6500000008</v>
      </c>
      <c r="F79" s="361">
        <f>F35+F36+SUM(F44:F53)+SUM(F65:F74)</f>
        <v>3146562.4000000004</v>
      </c>
      <c r="G79" s="361">
        <f>G35+G36+SUM(G44:G53)+SUM(G65:G74)</f>
        <v>3204409.7</v>
      </c>
    </row>
    <row r="80" spans="1:8">
      <c r="A80" s="568"/>
      <c r="B80" s="362"/>
      <c r="C80" s="363"/>
      <c r="D80" s="364"/>
      <c r="E80" s="364"/>
      <c r="F80" s="364"/>
      <c r="G80" s="364"/>
    </row>
    <row r="81" spans="1:8">
      <c r="A81" s="611" t="s">
        <v>537</v>
      </c>
      <c r="B81" s="612"/>
      <c r="C81" s="612"/>
      <c r="D81" s="366"/>
      <c r="E81" s="365"/>
      <c r="F81" s="366"/>
      <c r="G81" s="366"/>
    </row>
    <row r="82" spans="1:8" s="260" customFormat="1">
      <c r="A82" s="367">
        <v>50</v>
      </c>
      <c r="B82" s="368"/>
      <c r="C82" s="368" t="s">
        <v>538</v>
      </c>
      <c r="D82" s="275">
        <v>169426.26</v>
      </c>
      <c r="E82" s="275">
        <v>107792</v>
      </c>
      <c r="F82" s="275">
        <v>118053</v>
      </c>
      <c r="G82" s="276">
        <v>135870</v>
      </c>
    </row>
    <row r="83" spans="1:8" s="260" customFormat="1">
      <c r="A83" s="367">
        <v>51</v>
      </c>
      <c r="B83" s="368"/>
      <c r="C83" s="368" t="s">
        <v>539</v>
      </c>
      <c r="D83" s="275">
        <v>0</v>
      </c>
      <c r="E83" s="275">
        <v>0</v>
      </c>
      <c r="F83" s="275">
        <v>0</v>
      </c>
      <c r="G83" s="276">
        <v>0</v>
      </c>
    </row>
    <row r="84" spans="1:8" s="260" customFormat="1">
      <c r="A84" s="367">
        <v>52</v>
      </c>
      <c r="B84" s="368"/>
      <c r="C84" s="368" t="s">
        <v>540</v>
      </c>
      <c r="D84" s="275">
        <v>0</v>
      </c>
      <c r="E84" s="275">
        <v>0</v>
      </c>
      <c r="F84" s="275">
        <v>0</v>
      </c>
      <c r="G84" s="276">
        <v>0</v>
      </c>
    </row>
    <row r="85" spans="1:8" s="260" customFormat="1">
      <c r="A85" s="369">
        <v>54</v>
      </c>
      <c r="B85" s="370"/>
      <c r="C85" s="370" t="s">
        <v>541</v>
      </c>
      <c r="D85" s="271">
        <v>32264</v>
      </c>
      <c r="E85" s="271">
        <v>16500</v>
      </c>
      <c r="F85" s="271">
        <v>11899</v>
      </c>
      <c r="G85" s="276">
        <v>14067</v>
      </c>
      <c r="H85" s="569"/>
    </row>
    <row r="86" spans="1:8" s="260" customFormat="1">
      <c r="A86" s="369">
        <v>55</v>
      </c>
      <c r="B86" s="370"/>
      <c r="C86" s="370" t="s">
        <v>542</v>
      </c>
      <c r="D86" s="271">
        <v>1983</v>
      </c>
      <c r="E86" s="271">
        <v>200</v>
      </c>
      <c r="F86" s="271">
        <v>200</v>
      </c>
      <c r="G86" s="276">
        <v>1000</v>
      </c>
      <c r="H86" s="569"/>
    </row>
    <row r="87" spans="1:8" s="260" customFormat="1">
      <c r="A87" s="369">
        <v>56</v>
      </c>
      <c r="B87" s="370"/>
      <c r="C87" s="370" t="s">
        <v>543</v>
      </c>
      <c r="D87" s="271">
        <v>38766</v>
      </c>
      <c r="E87" s="271">
        <v>34050</v>
      </c>
      <c r="F87" s="271">
        <v>31216</v>
      </c>
      <c r="G87" s="276">
        <v>38714</v>
      </c>
      <c r="H87" s="569"/>
    </row>
    <row r="88" spans="1:8" s="260" customFormat="1">
      <c r="A88" s="367">
        <v>57</v>
      </c>
      <c r="B88" s="368"/>
      <c r="C88" s="368" t="s">
        <v>544</v>
      </c>
      <c r="D88" s="275">
        <v>22221</v>
      </c>
      <c r="E88" s="275">
        <v>13801.77</v>
      </c>
      <c r="F88" s="275">
        <v>16970</v>
      </c>
      <c r="G88" s="276">
        <v>16853</v>
      </c>
    </row>
    <row r="89" spans="1:8" s="538" customFormat="1" ht="28">
      <c r="A89" s="377">
        <v>580</v>
      </c>
      <c r="B89" s="378"/>
      <c r="C89" s="378" t="s">
        <v>545</v>
      </c>
      <c r="D89" s="281">
        <v>0</v>
      </c>
      <c r="E89" s="281">
        <v>0</v>
      </c>
      <c r="F89" s="281">
        <v>0</v>
      </c>
      <c r="G89" s="558">
        <v>0</v>
      </c>
    </row>
    <row r="90" spans="1:8" s="538" customFormat="1" ht="28">
      <c r="A90" s="377">
        <v>582</v>
      </c>
      <c r="B90" s="378"/>
      <c r="C90" s="378" t="s">
        <v>546</v>
      </c>
      <c r="D90" s="281">
        <v>0</v>
      </c>
      <c r="E90" s="281">
        <v>0</v>
      </c>
      <c r="F90" s="281">
        <v>0</v>
      </c>
      <c r="G90" s="558">
        <v>0</v>
      </c>
    </row>
    <row r="91" spans="1:8" s="260" customFormat="1">
      <c r="A91" s="367">
        <v>584</v>
      </c>
      <c r="B91" s="368"/>
      <c r="C91" s="368" t="s">
        <v>547</v>
      </c>
      <c r="D91" s="275">
        <v>0</v>
      </c>
      <c r="E91" s="275">
        <v>0</v>
      </c>
      <c r="F91" s="275">
        <v>0</v>
      </c>
      <c r="G91" s="276">
        <v>0</v>
      </c>
    </row>
    <row r="92" spans="1:8" s="538" customFormat="1" ht="28">
      <c r="A92" s="377">
        <v>585</v>
      </c>
      <c r="B92" s="378"/>
      <c r="C92" s="378" t="s">
        <v>548</v>
      </c>
      <c r="D92" s="281">
        <v>0</v>
      </c>
      <c r="E92" s="281">
        <v>0</v>
      </c>
      <c r="F92" s="281">
        <v>0</v>
      </c>
      <c r="G92" s="558">
        <v>0</v>
      </c>
    </row>
    <row r="93" spans="1:8" s="260" customFormat="1">
      <c r="A93" s="367">
        <v>586</v>
      </c>
      <c r="B93" s="368"/>
      <c r="C93" s="368" t="s">
        <v>549</v>
      </c>
      <c r="D93" s="275">
        <v>0</v>
      </c>
      <c r="E93" s="275">
        <v>0</v>
      </c>
      <c r="F93" s="275">
        <v>0</v>
      </c>
      <c r="G93" s="276">
        <v>0</v>
      </c>
    </row>
    <row r="94" spans="1:8" s="260" customFormat="1">
      <c r="A94" s="371">
        <v>589</v>
      </c>
      <c r="B94" s="372"/>
      <c r="C94" s="372" t="s">
        <v>550</v>
      </c>
      <c r="D94" s="306">
        <v>0</v>
      </c>
      <c r="E94" s="306">
        <v>0</v>
      </c>
      <c r="F94" s="306">
        <v>0</v>
      </c>
      <c r="G94" s="308">
        <v>0</v>
      </c>
    </row>
    <row r="95" spans="1:8">
      <c r="A95" s="374">
        <v>5</v>
      </c>
      <c r="B95" s="375"/>
      <c r="C95" s="375" t="s">
        <v>551</v>
      </c>
      <c r="D95" s="376">
        <f>SUM(D82:D94)</f>
        <v>264660.26</v>
      </c>
      <c r="E95" s="376">
        <f>SUM(E82:E94)</f>
        <v>172343.77</v>
      </c>
      <c r="F95" s="376">
        <f>SUM(F82:F94)</f>
        <v>178338</v>
      </c>
      <c r="G95" s="376">
        <f>SUM(G82:G94)</f>
        <v>206504</v>
      </c>
    </row>
    <row r="96" spans="1:8" s="538" customFormat="1" ht="28">
      <c r="A96" s="377">
        <v>60</v>
      </c>
      <c r="B96" s="378"/>
      <c r="C96" s="378" t="s">
        <v>552</v>
      </c>
      <c r="D96" s="281">
        <v>1865</v>
      </c>
      <c r="E96" s="281">
        <v>0</v>
      </c>
      <c r="F96" s="281">
        <v>629</v>
      </c>
      <c r="G96" s="558">
        <v>0</v>
      </c>
    </row>
    <row r="97" spans="1:8" s="538" customFormat="1" ht="14">
      <c r="A97" s="377">
        <v>61</v>
      </c>
      <c r="B97" s="378"/>
      <c r="C97" s="378" t="s">
        <v>553</v>
      </c>
      <c r="D97" s="281">
        <v>0</v>
      </c>
      <c r="E97" s="281">
        <v>0</v>
      </c>
      <c r="F97" s="281">
        <v>46</v>
      </c>
      <c r="G97" s="558">
        <v>0</v>
      </c>
    </row>
    <row r="98" spans="1:8" s="260" customFormat="1">
      <c r="A98" s="367">
        <v>62</v>
      </c>
      <c r="B98" s="368"/>
      <c r="C98" s="368" t="s">
        <v>554</v>
      </c>
      <c r="D98" s="275">
        <v>0</v>
      </c>
      <c r="E98" s="275">
        <v>0</v>
      </c>
      <c r="F98" s="275">
        <v>0</v>
      </c>
      <c r="G98" s="276">
        <v>0</v>
      </c>
    </row>
    <row r="99" spans="1:8" s="260" customFormat="1">
      <c r="A99" s="367">
        <v>63</v>
      </c>
      <c r="B99" s="368"/>
      <c r="C99" s="368" t="s">
        <v>555</v>
      </c>
      <c r="D99" s="275">
        <v>55166</v>
      </c>
      <c r="E99" s="275">
        <v>29538</v>
      </c>
      <c r="F99" s="275">
        <v>41281</v>
      </c>
      <c r="G99" s="276">
        <v>26530</v>
      </c>
    </row>
    <row r="100" spans="1:8" s="260" customFormat="1">
      <c r="A100" s="367">
        <v>64</v>
      </c>
      <c r="B100" s="368"/>
      <c r="C100" s="368" t="s">
        <v>556</v>
      </c>
      <c r="D100" s="275">
        <v>7904</v>
      </c>
      <c r="E100" s="275">
        <v>8212</v>
      </c>
      <c r="F100" s="275">
        <v>8381</v>
      </c>
      <c r="G100" s="276">
        <v>8088</v>
      </c>
      <c r="H100" s="569"/>
    </row>
    <row r="101" spans="1:8" s="260" customFormat="1">
      <c r="A101" s="367">
        <v>65</v>
      </c>
      <c r="B101" s="368"/>
      <c r="C101" s="368" t="s">
        <v>557</v>
      </c>
      <c r="D101" s="275">
        <v>0</v>
      </c>
      <c r="E101" s="275"/>
      <c r="F101" s="275"/>
      <c r="G101" s="276">
        <v>0</v>
      </c>
      <c r="H101" s="569"/>
    </row>
    <row r="102" spans="1:8" s="538" customFormat="1" ht="14">
      <c r="A102" s="377">
        <v>66</v>
      </c>
      <c r="B102" s="378"/>
      <c r="C102" s="378" t="s">
        <v>558</v>
      </c>
      <c r="D102" s="281">
        <v>29</v>
      </c>
      <c r="E102" s="281">
        <v>90</v>
      </c>
      <c r="F102" s="281">
        <v>452</v>
      </c>
      <c r="G102" s="558">
        <v>70</v>
      </c>
    </row>
    <row r="103" spans="1:8" s="260" customFormat="1">
      <c r="A103" s="367">
        <v>67</v>
      </c>
      <c r="B103" s="368"/>
      <c r="C103" s="368" t="s">
        <v>544</v>
      </c>
      <c r="D103" s="275">
        <v>22193.55</v>
      </c>
      <c r="E103" s="275">
        <v>13801.77</v>
      </c>
      <c r="F103" s="275">
        <v>16970</v>
      </c>
      <c r="G103" s="267">
        <v>16853</v>
      </c>
    </row>
    <row r="104" spans="1:8" s="260" customFormat="1" ht="42">
      <c r="A104" s="377" t="s">
        <v>330</v>
      </c>
      <c r="B104" s="368"/>
      <c r="C104" s="378" t="s">
        <v>559</v>
      </c>
      <c r="D104" s="275">
        <v>0</v>
      </c>
      <c r="E104" s="275"/>
      <c r="F104" s="275"/>
      <c r="G104" s="276"/>
    </row>
    <row r="105" spans="1:8" s="260" customFormat="1" ht="56.5" customHeight="1">
      <c r="A105" s="381" t="s">
        <v>560</v>
      </c>
      <c r="B105" s="372"/>
      <c r="C105" s="382" t="s">
        <v>561</v>
      </c>
      <c r="D105" s="306">
        <v>0</v>
      </c>
      <c r="E105" s="306"/>
      <c r="F105" s="306"/>
      <c r="G105" s="308"/>
    </row>
    <row r="106" spans="1:8">
      <c r="A106" s="374">
        <v>6</v>
      </c>
      <c r="B106" s="375"/>
      <c r="C106" s="375" t="s">
        <v>562</v>
      </c>
      <c r="D106" s="376">
        <f>SUM(D96:D105)</f>
        <v>87157.55</v>
      </c>
      <c r="E106" s="376">
        <f>SUM(E96:E105)</f>
        <v>51641.770000000004</v>
      </c>
      <c r="F106" s="376">
        <f>SUM(F96:F105)</f>
        <v>67759</v>
      </c>
      <c r="G106" s="376">
        <f>SUM(G96:G105)</f>
        <v>51541</v>
      </c>
    </row>
    <row r="107" spans="1:8">
      <c r="A107" s="570" t="s">
        <v>335</v>
      </c>
      <c r="B107" s="386"/>
      <c r="C107" s="375" t="s">
        <v>4</v>
      </c>
      <c r="D107" s="376">
        <f>(D95-D88)-(D106-D103)</f>
        <v>177475.26</v>
      </c>
      <c r="E107" s="376">
        <f>(E95-E88)-(E106-E103)</f>
        <v>120702</v>
      </c>
      <c r="F107" s="376">
        <f>(F95-F88)-(F106-F103)</f>
        <v>110579</v>
      </c>
      <c r="G107" s="376">
        <f>(G95-G88)-(G106-G103)</f>
        <v>154963</v>
      </c>
    </row>
    <row r="108" spans="1:8">
      <c r="A108" s="571" t="s">
        <v>336</v>
      </c>
      <c r="B108" s="387"/>
      <c r="C108" s="388" t="s">
        <v>563</v>
      </c>
      <c r="D108" s="376">
        <f>D107-D85-D86+D100+D101</f>
        <v>151132.26</v>
      </c>
      <c r="E108" s="376">
        <f>E107-E85-E86+E100+E101</f>
        <v>112214</v>
      </c>
      <c r="F108" s="376">
        <f>F107-F85-F86+F100+F101</f>
        <v>106861</v>
      </c>
      <c r="G108" s="376">
        <f>G107-G85-G86+G100+G101</f>
        <v>147984</v>
      </c>
    </row>
    <row r="109" spans="1:8">
      <c r="A109" s="568"/>
      <c r="B109" s="362"/>
      <c r="C109" s="363"/>
      <c r="D109" s="364"/>
      <c r="E109" s="364"/>
      <c r="F109" s="364"/>
      <c r="G109" s="364"/>
    </row>
    <row r="110" spans="1:8" s="250" customFormat="1">
      <c r="A110" s="572" t="s">
        <v>672</v>
      </c>
      <c r="B110" s="391"/>
      <c r="C110" s="390"/>
      <c r="D110" s="364"/>
      <c r="E110" s="364"/>
      <c r="F110" s="364"/>
      <c r="G110" s="364"/>
    </row>
    <row r="111" spans="1:8" s="396" customFormat="1">
      <c r="A111" s="573">
        <v>10</v>
      </c>
      <c r="B111" s="393"/>
      <c r="C111" s="393" t="s">
        <v>564</v>
      </c>
      <c r="D111" s="394">
        <f>D112+D117</f>
        <v>2205667</v>
      </c>
      <c r="E111" s="394">
        <f>E112+E117</f>
        <v>0</v>
      </c>
      <c r="F111" s="394">
        <f>F112+F117</f>
        <v>2212674</v>
      </c>
      <c r="G111" s="395">
        <f>G112+G117</f>
        <v>0</v>
      </c>
    </row>
    <row r="112" spans="1:8" s="396" customFormat="1">
      <c r="A112" s="397" t="s">
        <v>340</v>
      </c>
      <c r="B112" s="398"/>
      <c r="C112" s="398" t="s">
        <v>565</v>
      </c>
      <c r="D112" s="394">
        <f>D113+D114+D115+D116</f>
        <v>1270877</v>
      </c>
      <c r="E112" s="394">
        <f>E113+E114+E115+E116</f>
        <v>0</v>
      </c>
      <c r="F112" s="394">
        <f>F113+F114+F115+F116</f>
        <v>1345526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566</v>
      </c>
      <c r="D113" s="275">
        <v>967805</v>
      </c>
      <c r="E113" s="275"/>
      <c r="F113" s="275">
        <v>1118527</v>
      </c>
      <c r="G113" s="277"/>
    </row>
    <row r="114" spans="1:7" s="406" customFormat="1" ht="15" customHeight="1">
      <c r="A114" s="414">
        <v>102</v>
      </c>
      <c r="B114" s="494"/>
      <c r="C114" s="494" t="s">
        <v>567</v>
      </c>
      <c r="D114" s="344">
        <v>108820</v>
      </c>
      <c r="E114" s="344"/>
      <c r="F114" s="344">
        <v>52261</v>
      </c>
      <c r="G114" s="495"/>
    </row>
    <row r="115" spans="1:7" s="396" customFormat="1">
      <c r="A115" s="410">
        <v>104</v>
      </c>
      <c r="B115" s="411"/>
      <c r="C115" s="411" t="s">
        <v>568</v>
      </c>
      <c r="D115" s="275">
        <v>194252</v>
      </c>
      <c r="E115" s="275"/>
      <c r="F115" s="275">
        <v>174738</v>
      </c>
      <c r="G115" s="277"/>
    </row>
    <row r="116" spans="1:7" s="396" customFormat="1">
      <c r="A116" s="410">
        <v>106</v>
      </c>
      <c r="B116" s="411"/>
      <c r="C116" s="411" t="s">
        <v>569</v>
      </c>
      <c r="D116" s="275">
        <v>0</v>
      </c>
      <c r="E116" s="275"/>
      <c r="F116" s="275">
        <v>0</v>
      </c>
      <c r="G116" s="277"/>
    </row>
    <row r="117" spans="1:7" s="396" customFormat="1">
      <c r="A117" s="397" t="s">
        <v>347</v>
      </c>
      <c r="B117" s="398"/>
      <c r="C117" s="398" t="s">
        <v>570</v>
      </c>
      <c r="D117" s="394">
        <f>D118+D119+D120</f>
        <v>934790</v>
      </c>
      <c r="E117" s="394">
        <f>E118+E119+E120</f>
        <v>0</v>
      </c>
      <c r="F117" s="394">
        <f>F118+F119+F120</f>
        <v>867148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571</v>
      </c>
      <c r="D118" s="275">
        <v>922869</v>
      </c>
      <c r="E118" s="275"/>
      <c r="F118" s="275">
        <v>847383</v>
      </c>
      <c r="G118" s="277"/>
    </row>
    <row r="119" spans="1:7" s="396" customFormat="1">
      <c r="A119" s="410">
        <v>108</v>
      </c>
      <c r="B119" s="411"/>
      <c r="C119" s="411" t="s">
        <v>572</v>
      </c>
      <c r="D119" s="275">
        <v>11921</v>
      </c>
      <c r="E119" s="275"/>
      <c r="F119" s="275">
        <v>19765</v>
      </c>
      <c r="G119" s="277"/>
    </row>
    <row r="120" spans="1:7" s="409" customFormat="1" ht="28">
      <c r="A120" s="414">
        <v>109</v>
      </c>
      <c r="B120" s="415"/>
      <c r="C120" s="415" t="s">
        <v>573</v>
      </c>
      <c r="D120" s="281">
        <v>0</v>
      </c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574</v>
      </c>
      <c r="D121" s="394">
        <f>SUM(D122:D130)</f>
        <v>913499.79</v>
      </c>
      <c r="E121" s="394">
        <f>SUM(E122:E130)</f>
        <v>0</v>
      </c>
      <c r="F121" s="394">
        <f>SUM(F122:F130)</f>
        <v>799065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575</v>
      </c>
      <c r="D122" s="275">
        <v>660617.80000000005</v>
      </c>
      <c r="E122" s="275"/>
      <c r="F122" s="275">
        <v>476955</v>
      </c>
      <c r="G122" s="277"/>
    </row>
    <row r="123" spans="1:7" s="396" customFormat="1">
      <c r="A123" s="410">
        <v>144</v>
      </c>
      <c r="B123" s="411"/>
      <c r="C123" s="411" t="s">
        <v>541</v>
      </c>
      <c r="D123" s="275">
        <v>122036.99</v>
      </c>
      <c r="E123" s="275"/>
      <c r="F123" s="275">
        <v>191065</v>
      </c>
      <c r="G123" s="277"/>
    </row>
    <row r="124" spans="1:7" s="396" customFormat="1">
      <c r="A124" s="410">
        <v>145</v>
      </c>
      <c r="B124" s="411"/>
      <c r="C124" s="411" t="s">
        <v>576</v>
      </c>
      <c r="D124" s="275">
        <v>130845</v>
      </c>
      <c r="E124" s="412"/>
      <c r="F124" s="275">
        <v>131045</v>
      </c>
      <c r="G124" s="413"/>
    </row>
    <row r="125" spans="1:7" s="396" customFormat="1">
      <c r="A125" s="410">
        <v>146</v>
      </c>
      <c r="B125" s="411"/>
      <c r="C125" s="411" t="s">
        <v>577</v>
      </c>
      <c r="D125" s="275">
        <v>0</v>
      </c>
      <c r="E125" s="412"/>
      <c r="F125" s="275">
        <v>0</v>
      </c>
      <c r="G125" s="413"/>
    </row>
    <row r="126" spans="1:7" s="409" customFormat="1" ht="29.5" customHeight="1">
      <c r="A126" s="414" t="s">
        <v>357</v>
      </c>
      <c r="B126" s="415"/>
      <c r="C126" s="415" t="s">
        <v>578</v>
      </c>
      <c r="D126" s="281">
        <v>0</v>
      </c>
      <c r="E126" s="416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579</v>
      </c>
      <c r="D127" s="275">
        <v>0</v>
      </c>
      <c r="E127" s="412"/>
      <c r="F127" s="275">
        <v>0</v>
      </c>
      <c r="G127" s="413"/>
    </row>
    <row r="128" spans="1:7" s="409" customFormat="1" ht="14">
      <c r="A128" s="414">
        <v>1485</v>
      </c>
      <c r="B128" s="415"/>
      <c r="C128" s="415" t="s">
        <v>580</v>
      </c>
      <c r="D128" s="281">
        <v>0</v>
      </c>
      <c r="E128" s="416"/>
      <c r="F128" s="281">
        <v>0</v>
      </c>
      <c r="G128" s="417"/>
    </row>
    <row r="129" spans="1:7" s="409" customFormat="1" ht="28">
      <c r="A129" s="414">
        <v>1486</v>
      </c>
      <c r="B129" s="415"/>
      <c r="C129" s="415" t="s">
        <v>581</v>
      </c>
      <c r="D129" s="281">
        <v>0</v>
      </c>
      <c r="E129" s="416"/>
      <c r="F129" s="281">
        <v>0</v>
      </c>
      <c r="G129" s="417"/>
    </row>
    <row r="130" spans="1:7" s="409" customFormat="1" ht="14">
      <c r="A130" s="544">
        <v>1489</v>
      </c>
      <c r="B130" s="545"/>
      <c r="C130" s="545" t="s">
        <v>582</v>
      </c>
      <c r="D130" s="547">
        <v>0</v>
      </c>
      <c r="E130" s="546"/>
      <c r="F130" s="547">
        <v>0</v>
      </c>
      <c r="G130" s="548"/>
    </row>
    <row r="131" spans="1:7" s="250" customFormat="1">
      <c r="A131" s="574">
        <v>1</v>
      </c>
      <c r="B131" s="423"/>
      <c r="C131" s="422" t="s">
        <v>583</v>
      </c>
      <c r="D131" s="424">
        <f>D111+D121</f>
        <v>3119166.79</v>
      </c>
      <c r="E131" s="424">
        <f>E111+E121</f>
        <v>0</v>
      </c>
      <c r="F131" s="424">
        <f>F111+F121</f>
        <v>3011739</v>
      </c>
      <c r="G131" s="424">
        <f>G111+G121</f>
        <v>0</v>
      </c>
    </row>
    <row r="132" spans="1:7" s="250" customFormat="1">
      <c r="A132" s="568"/>
      <c r="B132" s="362"/>
      <c r="C132" s="363"/>
      <c r="D132" s="364"/>
      <c r="E132" s="364"/>
      <c r="F132" s="364"/>
      <c r="G132" s="364"/>
    </row>
    <row r="133" spans="1:7" s="396" customFormat="1">
      <c r="A133" s="573">
        <v>20</v>
      </c>
      <c r="B133" s="393"/>
      <c r="C133" s="393" t="s">
        <v>584</v>
      </c>
      <c r="D133" s="425">
        <f>D134+D140</f>
        <v>1463937.4</v>
      </c>
      <c r="E133" s="425">
        <f>E134+E140</f>
        <v>0</v>
      </c>
      <c r="F133" s="425">
        <f>F134+F140</f>
        <v>1473539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585</v>
      </c>
      <c r="D134" s="394">
        <f>D135+D136+D138+D139</f>
        <v>822412.4</v>
      </c>
      <c r="E134" s="394">
        <f>E135+E136+E138+E139</f>
        <v>0</v>
      </c>
      <c r="F134" s="394">
        <f>F135+F136+F138+F139</f>
        <v>837454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586</v>
      </c>
      <c r="D135" s="275">
        <v>483750</v>
      </c>
      <c r="E135" s="275"/>
      <c r="F135" s="275">
        <v>527173</v>
      </c>
      <c r="G135" s="277"/>
    </row>
    <row r="136" spans="1:7" s="429" customFormat="1">
      <c r="A136" s="428">
        <v>201</v>
      </c>
      <c r="B136" s="411"/>
      <c r="C136" s="411" t="s">
        <v>587</v>
      </c>
      <c r="D136" s="275">
        <v>0</v>
      </c>
      <c r="E136" s="275"/>
      <c r="F136" s="275">
        <v>0</v>
      </c>
      <c r="G136" s="277"/>
    </row>
    <row r="137" spans="1:7" s="429" customFormat="1">
      <c r="A137" s="430" t="s">
        <v>588</v>
      </c>
      <c r="B137" s="400"/>
      <c r="C137" s="400" t="s">
        <v>589</v>
      </c>
      <c r="D137" s="271">
        <v>0</v>
      </c>
      <c r="E137" s="43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590</v>
      </c>
      <c r="D138" s="275">
        <v>338662.40000000002</v>
      </c>
      <c r="E138" s="412"/>
      <c r="F138" s="275">
        <v>310281</v>
      </c>
      <c r="G138" s="413"/>
    </row>
    <row r="139" spans="1:7" s="429" customFormat="1">
      <c r="A139" s="428">
        <v>205</v>
      </c>
      <c r="B139" s="411"/>
      <c r="C139" s="411" t="s">
        <v>591</v>
      </c>
      <c r="D139" s="275"/>
      <c r="E139" s="412"/>
      <c r="F139" s="275">
        <v>0</v>
      </c>
      <c r="G139" s="413"/>
    </row>
    <row r="140" spans="1:7" s="429" customFormat="1">
      <c r="A140" s="427" t="s">
        <v>373</v>
      </c>
      <c r="B140" s="398"/>
      <c r="C140" s="398" t="s">
        <v>592</v>
      </c>
      <c r="D140" s="394">
        <f>D141+D143+D144</f>
        <v>641525</v>
      </c>
      <c r="E140" s="394">
        <f>E141+E143+E144</f>
        <v>0</v>
      </c>
      <c r="F140" s="394">
        <f>F141+F143+F144</f>
        <v>636085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593</v>
      </c>
      <c r="D141" s="275">
        <v>360000</v>
      </c>
      <c r="E141" s="412"/>
      <c r="F141" s="275">
        <v>360000</v>
      </c>
      <c r="G141" s="413"/>
    </row>
    <row r="142" spans="1:7" s="429" customFormat="1">
      <c r="A142" s="430" t="s">
        <v>594</v>
      </c>
      <c r="B142" s="400"/>
      <c r="C142" s="400" t="s">
        <v>595</v>
      </c>
      <c r="D142" s="271">
        <v>0</v>
      </c>
      <c r="E142" s="43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596</v>
      </c>
      <c r="D143" s="275">
        <v>281525</v>
      </c>
      <c r="E143" s="412"/>
      <c r="F143" s="275">
        <v>276085</v>
      </c>
      <c r="G143" s="413"/>
    </row>
    <row r="144" spans="1:7" s="433" customFormat="1" ht="28">
      <c r="A144" s="414">
        <v>209</v>
      </c>
      <c r="B144" s="415"/>
      <c r="C144" s="415" t="s">
        <v>597</v>
      </c>
      <c r="D144" s="281">
        <v>0</v>
      </c>
      <c r="E144" s="416"/>
      <c r="F144" s="281">
        <v>0</v>
      </c>
      <c r="G144" s="417"/>
    </row>
    <row r="145" spans="1:7" s="396" customFormat="1">
      <c r="A145" s="427">
        <v>29</v>
      </c>
      <c r="B145" s="398"/>
      <c r="C145" s="398" t="s">
        <v>598</v>
      </c>
      <c r="D145" s="412">
        <v>1655230</v>
      </c>
      <c r="E145" s="412"/>
      <c r="F145" s="412">
        <v>1538200</v>
      </c>
      <c r="G145" s="413"/>
    </row>
    <row r="146" spans="1:7" s="396" customFormat="1">
      <c r="A146" s="434" t="s">
        <v>599</v>
      </c>
      <c r="B146" s="435"/>
      <c r="C146" s="435" t="s">
        <v>600</v>
      </c>
      <c r="D146" s="332">
        <v>1340595.5</v>
      </c>
      <c r="E146" s="332"/>
      <c r="F146" s="332">
        <v>0</v>
      </c>
      <c r="G146" s="436"/>
    </row>
    <row r="147" spans="1:7" s="250" customFormat="1">
      <c r="A147" s="574">
        <v>2</v>
      </c>
      <c r="B147" s="423"/>
      <c r="C147" s="422" t="s">
        <v>601</v>
      </c>
      <c r="D147" s="424">
        <f>D133+D145</f>
        <v>3119167.4</v>
      </c>
      <c r="E147" s="424">
        <f>E133+E145</f>
        <v>0</v>
      </c>
      <c r="F147" s="424">
        <f>F133+F145</f>
        <v>3011739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575" t="s">
        <v>602</v>
      </c>
      <c r="B149" s="438"/>
      <c r="C149" s="439"/>
      <c r="D149" s="438"/>
      <c r="E149" s="438"/>
      <c r="F149" s="438"/>
      <c r="G149" s="438"/>
    </row>
    <row r="150" spans="1:7">
      <c r="A150" s="509" t="s">
        <v>603</v>
      </c>
      <c r="B150" s="509"/>
      <c r="C150" s="509" t="s">
        <v>156</v>
      </c>
      <c r="D150" s="442">
        <f>D77+SUM(D8:D12)-D30-D31+D16-D33+D59+D63-D73+D64-D74-D54+D20-D35</f>
        <v>243276.09999999998</v>
      </c>
      <c r="E150" s="442">
        <f>E77+SUM(E8:E12)-E30-E31+E16-E33+E59+E63-E73+E64-E74-E54+E20-E35</f>
        <v>220118.21000000037</v>
      </c>
      <c r="F150" s="442">
        <f>F77+SUM(F8:F12)-F30-F31+F16-F33+F59+F63-F73+F64-F74-F54+F20-F35</f>
        <v>114078.50000000073</v>
      </c>
      <c r="G150" s="442">
        <f>G77+SUM(G8:G12)-G30-G31+G16-G33+G59+G63-G73+G64-G74-G54+G20-G35</f>
        <v>34209.599999999919</v>
      </c>
    </row>
    <row r="151" spans="1:7">
      <c r="A151" s="510" t="s">
        <v>604</v>
      </c>
      <c r="B151" s="510"/>
      <c r="C151" s="510" t="s">
        <v>605</v>
      </c>
      <c r="D151" s="445">
        <f>IF(D177=0,0,D150/D177)</f>
        <v>7.6103649652070796E-2</v>
      </c>
      <c r="E151" s="445">
        <f>IF(E177=0,0,E150/E177)</f>
        <v>6.9769204687610872E-2</v>
      </c>
      <c r="F151" s="445">
        <f>IF(F177=0,0,F150/F177)</f>
        <v>3.9310636471970341E-2</v>
      </c>
      <c r="G151" s="445">
        <f>IF(G177=0,0,G150/G177)</f>
        <v>1.174902470964524E-2</v>
      </c>
    </row>
    <row r="152" spans="1:7" s="449" customFormat="1" ht="28">
      <c r="A152" s="511" t="s">
        <v>606</v>
      </c>
      <c r="B152" s="511"/>
      <c r="C152" s="511" t="s">
        <v>607</v>
      </c>
      <c r="D152" s="448">
        <f t="shared" ref="D152:G153" si="0">IF(IF(D107=0,0,D$150/D107)&lt;0,"negativ",(IF(D107=0,0,D$150/D107)))</f>
        <v>1.3707606344681504</v>
      </c>
      <c r="E152" s="448">
        <f t="shared" si="0"/>
        <v>1.8236500637934778</v>
      </c>
      <c r="F152" s="448">
        <f t="shared" si="0"/>
        <v>1.0316470577596173</v>
      </c>
      <c r="G152" s="448">
        <f t="shared" si="0"/>
        <v>0.2207597942734712</v>
      </c>
    </row>
    <row r="153" spans="1:7" s="449" customFormat="1" ht="28">
      <c r="A153" s="512" t="s">
        <v>606</v>
      </c>
      <c r="B153" s="512"/>
      <c r="C153" s="512" t="s">
        <v>608</v>
      </c>
      <c r="D153" s="452">
        <f t="shared" si="0"/>
        <v>1.6096900820513103</v>
      </c>
      <c r="E153" s="452">
        <f t="shared" si="0"/>
        <v>1.9615931167234069</v>
      </c>
      <c r="F153" s="452">
        <f t="shared" si="0"/>
        <v>1.06754101122019</v>
      </c>
      <c r="G153" s="452">
        <f t="shared" si="0"/>
        <v>0.23117093739863714</v>
      </c>
    </row>
    <row r="154" spans="1:7" s="449" customFormat="1" ht="28">
      <c r="A154" s="513" t="s">
        <v>609</v>
      </c>
      <c r="B154" s="513"/>
      <c r="C154" s="513" t="s">
        <v>610</v>
      </c>
      <c r="D154" s="455">
        <f>D150-D107</f>
        <v>65800.839999999967</v>
      </c>
      <c r="E154" s="455">
        <f>E150-E107</f>
        <v>99416.21000000037</v>
      </c>
      <c r="F154" s="455">
        <f>F150-F107</f>
        <v>3499.5000000007276</v>
      </c>
      <c r="G154" s="455">
        <f>G150-G107</f>
        <v>-120753.40000000008</v>
      </c>
    </row>
    <row r="155" spans="1:7" ht="27.5" customHeight="1">
      <c r="A155" s="512" t="s">
        <v>611</v>
      </c>
      <c r="B155" s="512"/>
      <c r="C155" s="512" t="s">
        <v>612</v>
      </c>
      <c r="D155" s="456">
        <f>D150-D108</f>
        <v>92143.839999999967</v>
      </c>
      <c r="E155" s="456">
        <f>E150-E108</f>
        <v>107904.21000000037</v>
      </c>
      <c r="F155" s="456">
        <f>F150-F108</f>
        <v>7217.5000000007276</v>
      </c>
      <c r="G155" s="456">
        <f>G150-G108</f>
        <v>-113774.40000000008</v>
      </c>
    </row>
    <row r="156" spans="1:7">
      <c r="A156" s="509" t="s">
        <v>613</v>
      </c>
      <c r="B156" s="509"/>
      <c r="C156" s="509" t="s">
        <v>614</v>
      </c>
      <c r="D156" s="457">
        <f>D135+D136-D137+D141-D142</f>
        <v>843750</v>
      </c>
      <c r="E156" s="457">
        <f>E135+E136-E137+E141-E142</f>
        <v>0</v>
      </c>
      <c r="F156" s="457">
        <f>F135+F136-F137+F141-F142</f>
        <v>887173</v>
      </c>
      <c r="G156" s="457">
        <f>G135+G136-G137+G141-G142</f>
        <v>0</v>
      </c>
    </row>
    <row r="157" spans="1:7">
      <c r="A157" s="514" t="s">
        <v>615</v>
      </c>
      <c r="B157" s="514"/>
      <c r="C157" s="514" t="s">
        <v>616</v>
      </c>
      <c r="D157" s="460">
        <f>IF(D177=0,0,D156/D177)</f>
        <v>0.26394888110231435</v>
      </c>
      <c r="E157" s="460">
        <f>IF(E177=0,0,E156/E177)</f>
        <v>0</v>
      </c>
      <c r="F157" s="460">
        <f>IF(F177=0,0,F156/F177)</f>
        <v>0.30571348054845671</v>
      </c>
      <c r="G157" s="460">
        <f>IF(G177=0,0,G156/G177)</f>
        <v>0</v>
      </c>
    </row>
    <row r="158" spans="1:7">
      <c r="A158" s="509" t="s">
        <v>617</v>
      </c>
      <c r="B158" s="509"/>
      <c r="C158" s="509" t="s">
        <v>618</v>
      </c>
      <c r="D158" s="457">
        <f>D133-D142-D111</f>
        <v>-741729.60000000009</v>
      </c>
      <c r="E158" s="457">
        <f>E133-E142-E111</f>
        <v>0</v>
      </c>
      <c r="F158" s="457">
        <f>F133-F142-F111</f>
        <v>-739135</v>
      </c>
      <c r="G158" s="457">
        <f>G133-G142-G111</f>
        <v>0</v>
      </c>
    </row>
    <row r="159" spans="1:7">
      <c r="A159" s="510" t="s">
        <v>619</v>
      </c>
      <c r="B159" s="510"/>
      <c r="C159" s="510" t="s">
        <v>620</v>
      </c>
      <c r="D159" s="461">
        <f>D121-D123-D124-D142-D145</f>
        <v>-994612.2</v>
      </c>
      <c r="E159" s="461">
        <f>E121-E123-E124-E142-E145</f>
        <v>0</v>
      </c>
      <c r="F159" s="461">
        <f>F121-F123-F124-F142-F145</f>
        <v>-1061245</v>
      </c>
      <c r="G159" s="461">
        <f>G121-G123-G124-G142-G145</f>
        <v>0</v>
      </c>
    </row>
    <row r="160" spans="1:7">
      <c r="A160" s="510" t="s">
        <v>621</v>
      </c>
      <c r="B160" s="510"/>
      <c r="C160" s="510" t="s">
        <v>622</v>
      </c>
      <c r="D160" s="462">
        <f>IF(D175=0,"-",1000*D158/D175)</f>
        <v>-2606.7124471965872</v>
      </c>
      <c r="E160" s="462">
        <f>IF(E175=0,"-",1000*E158/E175)</f>
        <v>0</v>
      </c>
      <c r="F160" s="462">
        <f>IF(F175=0,"-",1000*F158/F175)</f>
        <v>-2596.4808127362403</v>
      </c>
      <c r="G160" s="462">
        <f>IF(G175=0,"-",1000*G158/G175)</f>
        <v>0</v>
      </c>
    </row>
    <row r="161" spans="1:7">
      <c r="A161" s="510" t="s">
        <v>621</v>
      </c>
      <c r="B161" s="510"/>
      <c r="C161" s="510" t="s">
        <v>623</v>
      </c>
      <c r="D161" s="461">
        <f>IF(D175=0,0,1000*(D159/D175))</f>
        <v>-3495.4355359063206</v>
      </c>
      <c r="E161" s="461">
        <f>IF(E175=0,0,1000*(E159/E175))</f>
        <v>0</v>
      </c>
      <c r="F161" s="461">
        <f>IF(F175=0,0,1000*(F159/F175))</f>
        <v>-3728.0094706816362</v>
      </c>
      <c r="G161" s="461">
        <f>IF(G175=0,0,1000*(G159/G175))</f>
        <v>0</v>
      </c>
    </row>
    <row r="162" spans="1:7">
      <c r="A162" s="514" t="s">
        <v>624</v>
      </c>
      <c r="B162" s="514"/>
      <c r="C162" s="514" t="s">
        <v>625</v>
      </c>
      <c r="D162" s="460">
        <f>IF((D22+D23+D65+D66)=0,0,D158/(D22+D23+D65+D66))</f>
        <v>-0.65795834368236183</v>
      </c>
      <c r="E162" s="460">
        <f>IF((E22+E23+E65+E66)=0,0,E158/(E22+E23+E65+E66))</f>
        <v>0</v>
      </c>
      <c r="F162" s="460">
        <f>IF((F22+F23+F65+F66)=0,0,F158/(F22+F23+F65+F66))</f>
        <v>-0.6599641791513875</v>
      </c>
      <c r="G162" s="460">
        <f>IF((G22+G23+G65+G66)=0,0,G158/(G22+G23+G65+G66))</f>
        <v>0</v>
      </c>
    </row>
    <row r="163" spans="1:7">
      <c r="A163" s="510" t="s">
        <v>626</v>
      </c>
      <c r="B163" s="510"/>
      <c r="C163" s="510" t="s">
        <v>627</v>
      </c>
      <c r="D163" s="442">
        <f>D145</f>
        <v>1655230</v>
      </c>
      <c r="E163" s="442">
        <f>E145</f>
        <v>0</v>
      </c>
      <c r="F163" s="442">
        <f>F145</f>
        <v>1538200</v>
      </c>
      <c r="G163" s="442">
        <f>G145</f>
        <v>0</v>
      </c>
    </row>
    <row r="164" spans="1:7" ht="28">
      <c r="A164" s="512" t="s">
        <v>628</v>
      </c>
      <c r="B164" s="514"/>
      <c r="C164" s="514" t="s">
        <v>629</v>
      </c>
      <c r="D164" s="452">
        <f>IF(D178=0,0,D146/D178)</f>
        <v>0.43328941913415281</v>
      </c>
      <c r="E164" s="452">
        <f>IF(E178=0,0,E146/E178)</f>
        <v>0</v>
      </c>
      <c r="F164" s="452">
        <f>IF(F178=0,0,F146/F178)</f>
        <v>0</v>
      </c>
      <c r="G164" s="452">
        <f>IF(G178=0,0,G146/G178)</f>
        <v>0</v>
      </c>
    </row>
    <row r="165" spans="1:7">
      <c r="A165" s="515" t="s">
        <v>682</v>
      </c>
      <c r="B165" s="515"/>
      <c r="C165" s="515" t="s">
        <v>631</v>
      </c>
      <c r="D165" s="465">
        <f>IF(D177=0,0,D180/D177)</f>
        <v>4.4395738815520051E-2</v>
      </c>
      <c r="E165" s="465">
        <f>IF(E177=0,0,E180/E177)</f>
        <v>7.7100748755297988E-2</v>
      </c>
      <c r="F165" s="465">
        <f>IF(F177=0,0,F180/F177)</f>
        <v>3.0134232013131465E-2</v>
      </c>
      <c r="G165" s="465">
        <f>IF(G177=0,0,G180/G177)</f>
        <v>3.5935195179992968E-2</v>
      </c>
    </row>
    <row r="166" spans="1:7">
      <c r="A166" s="510" t="s">
        <v>632</v>
      </c>
      <c r="B166" s="510"/>
      <c r="C166" s="510" t="s">
        <v>633</v>
      </c>
      <c r="D166" s="442">
        <f>D55</f>
        <v>72935</v>
      </c>
      <c r="E166" s="442">
        <f>E55</f>
        <v>64460.350000000006</v>
      </c>
      <c r="F166" s="442">
        <f>F55</f>
        <v>66671.5</v>
      </c>
      <c r="G166" s="442">
        <f>G55</f>
        <v>65118.1</v>
      </c>
    </row>
    <row r="167" spans="1:7" s="449" customFormat="1" ht="28">
      <c r="A167" s="512" t="s">
        <v>634</v>
      </c>
      <c r="B167" s="514"/>
      <c r="C167" s="514" t="s">
        <v>635</v>
      </c>
      <c r="D167" s="452">
        <f>IF(0=D111,0,(D44+D45+D46+D47+D48)/D111)</f>
        <v>1.4800511591278284E-2</v>
      </c>
      <c r="E167" s="452">
        <f>IF(0=E111,0,(E44+E45+E46+E47+E48)/E111)</f>
        <v>0</v>
      </c>
      <c r="F167" s="452">
        <f>IF(0=F111,0,(F44+F45+F46+F47+F48)/F111)</f>
        <v>1.0585291823377505E-2</v>
      </c>
      <c r="G167" s="452">
        <f>IF(0=G111,0,(G44+G45+G46+G47+G48)/G111)</f>
        <v>0</v>
      </c>
    </row>
    <row r="168" spans="1:7">
      <c r="A168" s="510" t="s">
        <v>636</v>
      </c>
      <c r="B168" s="509"/>
      <c r="C168" s="509" t="s">
        <v>637</v>
      </c>
      <c r="D168" s="442">
        <f>D38-D44</f>
        <v>-8263</v>
      </c>
      <c r="E168" s="442">
        <f>E38-E44</f>
        <v>-5804.4500000000007</v>
      </c>
      <c r="F168" s="442">
        <f>F38-F44</f>
        <v>-6072.7999999999993</v>
      </c>
      <c r="G168" s="442">
        <f>G38-G44</f>
        <v>-4428.1000000000004</v>
      </c>
    </row>
    <row r="169" spans="1:7">
      <c r="A169" s="514" t="s">
        <v>638</v>
      </c>
      <c r="B169" s="514"/>
      <c r="C169" s="514" t="s">
        <v>639</v>
      </c>
      <c r="D169" s="445">
        <f>IF(D177=0,0,D168/D177)</f>
        <v>-2.5849002720573912E-3</v>
      </c>
      <c r="E169" s="445">
        <f>IF(E177=0,0,E168/E177)</f>
        <v>-1.8397926284654154E-3</v>
      </c>
      <c r="F169" s="445">
        <f>IF(F177=0,0,F168/F177)</f>
        <v>-2.0926435144832719E-3</v>
      </c>
      <c r="G169" s="445">
        <f>IF(G177=0,0,G168/G177)</f>
        <v>-1.5207969785317635E-3</v>
      </c>
    </row>
    <row r="170" spans="1:7">
      <c r="A170" s="510" t="s">
        <v>640</v>
      </c>
      <c r="B170" s="510"/>
      <c r="C170" s="510" t="s">
        <v>641</v>
      </c>
      <c r="D170" s="442">
        <f>SUM(D82:D87)+SUM(D89:D94)</f>
        <v>242439.26</v>
      </c>
      <c r="E170" s="442">
        <f>SUM(E82:E87)+SUM(E89:E94)</f>
        <v>158542</v>
      </c>
      <c r="F170" s="442">
        <f>SUM(F82:F87)+SUM(F89:F94)</f>
        <v>161368</v>
      </c>
      <c r="G170" s="442">
        <f>SUM(G82:G87)+SUM(G89:G94)</f>
        <v>189651</v>
      </c>
    </row>
    <row r="171" spans="1:7">
      <c r="A171" s="510" t="s">
        <v>642</v>
      </c>
      <c r="B171" s="510"/>
      <c r="C171" s="510" t="s">
        <v>643</v>
      </c>
      <c r="D171" s="461">
        <f>SUM(D96:D102)+SUM(D104:D105)</f>
        <v>64964</v>
      </c>
      <c r="E171" s="461">
        <f>SUM(E96:E102)+SUM(E104:E105)</f>
        <v>37840</v>
      </c>
      <c r="F171" s="461">
        <f>SUM(F96:F102)+SUM(F104:F105)</f>
        <v>50789</v>
      </c>
      <c r="G171" s="461">
        <f>SUM(G96:G102)+SUM(G104:G105)</f>
        <v>34688</v>
      </c>
    </row>
    <row r="172" spans="1:7">
      <c r="A172" s="515" t="s">
        <v>630</v>
      </c>
      <c r="B172" s="515"/>
      <c r="C172" s="515" t="s">
        <v>644</v>
      </c>
      <c r="D172" s="465">
        <f>IF(D184=0,0,D170/D184)</f>
        <v>7.8128778210999311E-2</v>
      </c>
      <c r="E172" s="465">
        <f>IF(E184=0,0,E170/E184)</f>
        <v>5.257437663324134E-2</v>
      </c>
      <c r="F172" s="465">
        <f>IF(F184=0,0,F170/F184)</f>
        <v>5.5924766480794891E-2</v>
      </c>
      <c r="G172" s="465">
        <f>IF(G184=0,0,G170/G184)</f>
        <v>6.3408561491503271E-2</v>
      </c>
    </row>
    <row r="174" spans="1:7">
      <c r="A174" s="576" t="s">
        <v>645</v>
      </c>
      <c r="B174" s="468"/>
      <c r="C174" s="467"/>
      <c r="D174" s="498"/>
      <c r="E174" s="498"/>
      <c r="F174" s="498"/>
      <c r="G174" s="498"/>
    </row>
    <row r="175" spans="1:7" s="260" customFormat="1">
      <c r="A175" s="577" t="s">
        <v>646</v>
      </c>
      <c r="B175" s="468"/>
      <c r="C175" s="468" t="s">
        <v>647</v>
      </c>
      <c r="D175" s="470">
        <v>284546</v>
      </c>
      <c r="E175" s="470">
        <v>284546</v>
      </c>
      <c r="F175" s="470">
        <v>284668</v>
      </c>
      <c r="G175" s="470">
        <v>284668</v>
      </c>
    </row>
    <row r="176" spans="1:7">
      <c r="A176" s="576" t="s">
        <v>648</v>
      </c>
      <c r="B176" s="468"/>
      <c r="C176" s="468"/>
      <c r="D176" s="468"/>
      <c r="E176" s="468"/>
      <c r="F176" s="468"/>
      <c r="G176" s="468"/>
    </row>
    <row r="177" spans="1:7">
      <c r="A177" s="577" t="s">
        <v>649</v>
      </c>
      <c r="B177" s="468"/>
      <c r="C177" s="468" t="s">
        <v>650</v>
      </c>
      <c r="D177" s="472">
        <f>SUM(D22:D32)+SUM(D44:D53)+SUM(D65:D72)+D75</f>
        <v>3196641.6999999997</v>
      </c>
      <c r="E177" s="472">
        <f>SUM(E22:E32)+SUM(E44:E53)+SUM(E65:E72)+E75</f>
        <v>3154947.9600000004</v>
      </c>
      <c r="F177" s="472">
        <f>SUM(F22:F32)+SUM(F44:F53)+SUM(F65:F72)+F75</f>
        <v>2901975.4000000004</v>
      </c>
      <c r="G177" s="472">
        <f>SUM(G22:G32)+SUM(G44:G53)+SUM(G65:G72)+G75</f>
        <v>2911697</v>
      </c>
    </row>
    <row r="178" spans="1:7">
      <c r="A178" s="577" t="s">
        <v>651</v>
      </c>
      <c r="B178" s="468"/>
      <c r="C178" s="468" t="s">
        <v>652</v>
      </c>
      <c r="D178" s="472">
        <f>D78-D17-D20-D59-D63-D64</f>
        <v>3093995.4699999997</v>
      </c>
      <c r="E178" s="472">
        <f>E78-E17-E20-E59-E63-E64</f>
        <v>3153936.96</v>
      </c>
      <c r="F178" s="472">
        <f>F78-F17-F20-F59-F63-F64</f>
        <v>2892148.5999999996</v>
      </c>
      <c r="G178" s="472">
        <f>G78-G17-G20-G59-G63-G64</f>
        <v>2949199.3</v>
      </c>
    </row>
    <row r="179" spans="1:7">
      <c r="A179" s="577"/>
      <c r="B179" s="468"/>
      <c r="C179" s="468" t="s">
        <v>653</v>
      </c>
      <c r="D179" s="472">
        <f>D178+D170</f>
        <v>3336434.7299999995</v>
      </c>
      <c r="E179" s="472">
        <f>E178+E170</f>
        <v>3312478.96</v>
      </c>
      <c r="F179" s="472">
        <f>F178+F170</f>
        <v>3053516.5999999996</v>
      </c>
      <c r="G179" s="472">
        <f>G178+G170</f>
        <v>3138850.3</v>
      </c>
    </row>
    <row r="180" spans="1:7">
      <c r="A180" s="468" t="s">
        <v>654</v>
      </c>
      <c r="B180" s="468"/>
      <c r="C180" s="468" t="s">
        <v>655</v>
      </c>
      <c r="D180" s="472">
        <f>D38-D44+D8+D9+D10+D16-D33</f>
        <v>141917.26999999999</v>
      </c>
      <c r="E180" s="472">
        <f>E38-E44+E8+E9+E10+E16-E33</f>
        <v>243248.84999999998</v>
      </c>
      <c r="F180" s="472">
        <f>F38-F44+F8+F9+F10+F16-F33</f>
        <v>87448.8</v>
      </c>
      <c r="G180" s="472">
        <f>G38-G44+G8+G9+G10+G16-G33</f>
        <v>104632.4</v>
      </c>
    </row>
    <row r="181" spans="1:7" ht="27.5" customHeight="1">
      <c r="A181" s="578" t="s">
        <v>656</v>
      </c>
      <c r="B181" s="474"/>
      <c r="C181" s="474" t="s">
        <v>657</v>
      </c>
      <c r="D181" s="475">
        <f>D22+D23+D24+D25+D26+D29+SUM(D44:D47)+SUM(D49:D53)-D54+D32-D33+SUM(D65:D70)+D72</f>
        <v>3117757.8</v>
      </c>
      <c r="E181" s="475">
        <f>E22+E23+E24+E25+E26+E29+SUM(E44:E47)+SUM(E49:E53)-E54+E32-E33+SUM(E65:E70)+E72</f>
        <v>3091159.67</v>
      </c>
      <c r="F181" s="475">
        <f>F22+F23+F24+F25+F26+F29+SUM(F44:F47)+SUM(F49:F53)-F54+F32-F33+SUM(F65:F70)+F72</f>
        <v>2851094.8</v>
      </c>
      <c r="G181" s="475">
        <f>G22+G23+G24+G25+G26+G29+SUM(G44:G47)+SUM(G49:G53)-G54+G32-G33+SUM(G65:G70)+G72</f>
        <v>2835210</v>
      </c>
    </row>
    <row r="182" spans="1:7">
      <c r="A182" s="579" t="s">
        <v>658</v>
      </c>
      <c r="B182" s="474"/>
      <c r="C182" s="474" t="s">
        <v>659</v>
      </c>
      <c r="D182" s="475">
        <f>D181+D171</f>
        <v>3182721.8</v>
      </c>
      <c r="E182" s="475">
        <f>E181+E171</f>
        <v>3128999.67</v>
      </c>
      <c r="F182" s="475">
        <f>F181+F171</f>
        <v>2901883.8</v>
      </c>
      <c r="G182" s="475">
        <f>G181+G171</f>
        <v>2869898</v>
      </c>
    </row>
    <row r="183" spans="1:7">
      <c r="A183" s="579" t="s">
        <v>660</v>
      </c>
      <c r="B183" s="474"/>
      <c r="C183" s="474" t="s">
        <v>683</v>
      </c>
      <c r="D183" s="475">
        <f>D4+D5-D7+D38+D39+D40+D41+D43+D13-D16+D57+D58+D60+D61+D62</f>
        <v>2860633.1999999997</v>
      </c>
      <c r="E183" s="475">
        <f>E4+E5-E7+E38+E39+E40+E41+E43+E13-E16+E57+E58+E60+E61+E62</f>
        <v>2857033.46</v>
      </c>
      <c r="F183" s="475">
        <f>F4+F5-F7+F38+F39+F40+F41+F43+F13-F16+F57+F58+F60+F61+F62</f>
        <v>2724079.9</v>
      </c>
      <c r="G183" s="475">
        <f>G4+G5-G7+G38+G39+G40+G41+G43+G13-G16+G57+G58+G60+G61+G62</f>
        <v>2801285.8</v>
      </c>
    </row>
    <row r="184" spans="1:7">
      <c r="A184" s="579" t="s">
        <v>661</v>
      </c>
      <c r="B184" s="474"/>
      <c r="C184" s="474" t="s">
        <v>662</v>
      </c>
      <c r="D184" s="475">
        <f>D183+D170</f>
        <v>3103072.46</v>
      </c>
      <c r="E184" s="475">
        <f>E183+E170</f>
        <v>3015575.46</v>
      </c>
      <c r="F184" s="475">
        <f>F183+F170</f>
        <v>2885447.9</v>
      </c>
      <c r="G184" s="475">
        <f>G183+G170</f>
        <v>2990936.8</v>
      </c>
    </row>
    <row r="185" spans="1:7">
      <c r="A185" s="579"/>
      <c r="B185" s="474"/>
      <c r="C185" s="474" t="s">
        <v>663</v>
      </c>
      <c r="D185" s="475">
        <f t="shared" ref="D185:G186" si="1">D181-D183</f>
        <v>257124.60000000009</v>
      </c>
      <c r="E185" s="475">
        <f t="shared" si="1"/>
        <v>234126.20999999996</v>
      </c>
      <c r="F185" s="475">
        <f t="shared" si="1"/>
        <v>127014.89999999991</v>
      </c>
      <c r="G185" s="475">
        <f t="shared" si="1"/>
        <v>33924.200000000186</v>
      </c>
    </row>
    <row r="186" spans="1:7">
      <c r="A186" s="579"/>
      <c r="B186" s="474"/>
      <c r="C186" s="474" t="s">
        <v>664</v>
      </c>
      <c r="D186" s="475">
        <f t="shared" si="1"/>
        <v>79649.339999999851</v>
      </c>
      <c r="E186" s="475">
        <f t="shared" si="1"/>
        <v>113424.20999999996</v>
      </c>
      <c r="F186" s="475">
        <f t="shared" si="1"/>
        <v>16435.899999999907</v>
      </c>
      <c r="G186" s="475">
        <f t="shared" si="1"/>
        <v>-121038.79999999981</v>
      </c>
    </row>
  </sheetData>
  <mergeCells count="2">
    <mergeCell ref="A3:C3"/>
    <mergeCell ref="A81:C81"/>
  </mergeCells>
  <pageMargins left="0.25" right="0.25" top="0.75" bottom="0.75" header="0.3" footer="0.3"/>
  <pageSetup paperSize="9" fitToHeight="8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baseColWidth="10" defaultRowHeight="13"/>
  <cols>
    <col min="1" max="1" width="11.5" bestFit="1" customWidth="1"/>
    <col min="2" max="2" width="37.6640625" customWidth="1"/>
    <col min="3" max="3" width="12.33203125" bestFit="1" customWidth="1"/>
    <col min="4" max="4" width="8" customWidth="1"/>
    <col min="5" max="5" width="12.33203125" bestFit="1" customWidth="1"/>
    <col min="6" max="6" width="6.5" customWidth="1"/>
    <col min="7" max="7" width="12.33203125" bestFit="1" customWidth="1"/>
    <col min="8" max="8" width="7.33203125" customWidth="1"/>
    <col min="9" max="9" width="12.33203125" bestFit="1" customWidth="1"/>
  </cols>
  <sheetData>
    <row r="1" spans="1:9">
      <c r="A1" s="5" t="s">
        <v>20</v>
      </c>
      <c r="B1" s="6" t="s">
        <v>159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411860.2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156981.20000000001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28487.7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15916.5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20096.5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39</v>
      </c>
      <c r="C9" s="15">
        <v>95315.4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1192820.74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255412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147185.20000000001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37857.5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0</v>
      </c>
      <c r="D16" s="43"/>
      <c r="E16" s="15"/>
      <c r="F16" s="43"/>
      <c r="G16" s="15"/>
      <c r="H16" s="43"/>
      <c r="I16" s="17"/>
    </row>
    <row r="17" spans="1:9">
      <c r="A17" s="13" t="s">
        <v>160</v>
      </c>
      <c r="B17" s="14" t="s">
        <v>161</v>
      </c>
      <c r="C17" s="15">
        <v>5963.8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0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1898954.3399999999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798528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86634.8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74178.899999999994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179592.2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758898.34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20395.04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0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1918227.2800000003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80</v>
      </c>
      <c r="C30" s="33">
        <v>19272.94000000041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170294.17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8644.5400000000009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16265.3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195204.01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0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93</v>
      </c>
      <c r="C37" s="15">
        <v>61634.7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61634.7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133569.31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114588.3400000004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-18980.969999999594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1972782.65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0.85789422734908494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7" t="s">
        <v>452</v>
      </c>
      <c r="C1" s="477" t="s">
        <v>159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423924.6</v>
      </c>
      <c r="F4" s="258">
        <v>417071</v>
      </c>
      <c r="G4" s="259">
        <v>427423.4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174985.47899999999</v>
      </c>
      <c r="F5" s="266">
        <v>174701.4</v>
      </c>
      <c r="G5" s="267">
        <v>180056.1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25136.5</v>
      </c>
      <c r="F6" s="272">
        <v>24558.2</v>
      </c>
      <c r="G6" s="273">
        <v>25336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0</v>
      </c>
      <c r="F7" s="272">
        <v>365.9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52004.9</v>
      </c>
      <c r="F8" s="266">
        <v>48410.8</v>
      </c>
      <c r="G8" s="276">
        <v>50711.6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0</v>
      </c>
      <c r="F9" s="266">
        <v>0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29300.7</v>
      </c>
      <c r="F11" s="275">
        <v>4919.9939999999997</v>
      </c>
      <c r="G11" s="277">
        <v>806.1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>
        <v>0</v>
      </c>
      <c r="F12" s="283">
        <v>0</v>
      </c>
      <c r="G12" s="482">
        <v>0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>
        <v>1173429.3</v>
      </c>
      <c r="F13" s="286">
        <v>1167535.2</v>
      </c>
      <c r="G13" s="276">
        <v>1220548.3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5"/>
      <c r="E14" s="323">
        <v>437969.8</v>
      </c>
      <c r="F14" s="286">
        <v>431168.5</v>
      </c>
      <c r="G14" s="276">
        <v>440508.4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5"/>
      <c r="E15" s="323">
        <v>40446.199999999997</v>
      </c>
      <c r="F15" s="286">
        <v>46193.2</v>
      </c>
      <c r="G15" s="276">
        <v>55977.53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>
        <v>11237.9</v>
      </c>
      <c r="F16" s="295">
        <v>13208.1</v>
      </c>
      <c r="G16" s="296">
        <v>16454.3</v>
      </c>
    </row>
    <row r="17" spans="1:7" s="299" customFormat="1">
      <c r="A17" s="261">
        <v>37</v>
      </c>
      <c r="B17" s="262"/>
      <c r="C17" s="263" t="s">
        <v>240</v>
      </c>
      <c r="D17" s="316"/>
      <c r="E17" s="316">
        <v>77400</v>
      </c>
      <c r="F17" s="286">
        <v>84628.800000000003</v>
      </c>
      <c r="G17" s="298">
        <v>81960</v>
      </c>
    </row>
    <row r="18" spans="1:7" s="299" customFormat="1">
      <c r="A18" s="274" t="s">
        <v>241</v>
      </c>
      <c r="B18" s="262"/>
      <c r="C18" s="263" t="s">
        <v>242</v>
      </c>
      <c r="D18" s="316"/>
      <c r="E18" s="323">
        <v>0</v>
      </c>
      <c r="F18" s="286">
        <v>0</v>
      </c>
      <c r="G18" s="298">
        <v>0</v>
      </c>
    </row>
    <row r="19" spans="1:7" s="299" customFormat="1">
      <c r="A19" s="274" t="s">
        <v>243</v>
      </c>
      <c r="B19" s="262"/>
      <c r="C19" s="263" t="s">
        <v>244</v>
      </c>
      <c r="D19" s="316"/>
      <c r="E19" s="323">
        <v>0</v>
      </c>
      <c r="F19" s="286">
        <v>0</v>
      </c>
      <c r="G19" s="298">
        <v>0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0</v>
      </c>
      <c r="F20" s="307">
        <v>0</v>
      </c>
      <c r="G20" s="308">
        <v>0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1931044.9790000001</v>
      </c>
      <c r="F21" s="311">
        <f>F4+F5+SUM(F8:F13)+F17</f>
        <v>1897267.1939999999</v>
      </c>
      <c r="G21" s="311">
        <f>G4+G5+SUM(G8:G13)+G17</f>
        <v>1961505.5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792070</v>
      </c>
      <c r="F22" s="266">
        <v>731108.4</v>
      </c>
      <c r="G22" s="276">
        <v>720175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128900</v>
      </c>
      <c r="F23" s="266">
        <v>134695.79999999999</v>
      </c>
      <c r="G23" s="276">
        <v>128100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9026</v>
      </c>
      <c r="F24" s="266">
        <v>30600.6</v>
      </c>
      <c r="G24" s="276">
        <v>30758.9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154248.65</v>
      </c>
      <c r="F25" s="266">
        <v>165052.49</v>
      </c>
      <c r="G25" s="276">
        <v>156169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3180.1</v>
      </c>
      <c r="F26" s="317">
        <v>3945.97</v>
      </c>
      <c r="G26" s="298">
        <v>4370.7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0</v>
      </c>
      <c r="F27" s="317">
        <v>0</v>
      </c>
      <c r="G27" s="298">
        <v>0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0</v>
      </c>
      <c r="F28" s="317">
        <v>0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0</v>
      </c>
      <c r="F29" s="317">
        <v>0</v>
      </c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9573.5</v>
      </c>
      <c r="F30" s="264">
        <v>2164.3000000000002</v>
      </c>
      <c r="G30" s="319">
        <v>7345</v>
      </c>
    </row>
    <row r="31" spans="1:7" s="285" customFormat="1" ht="28">
      <c r="A31" s="278">
        <v>451</v>
      </c>
      <c r="B31" s="279"/>
      <c r="C31" s="280" t="s">
        <v>258</v>
      </c>
      <c r="D31" s="275"/>
      <c r="E31" s="281">
        <v>0</v>
      </c>
      <c r="F31" s="320">
        <v>0</v>
      </c>
      <c r="G31" s="276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604072.4</v>
      </c>
      <c r="F32" s="266">
        <v>609371.80000000005</v>
      </c>
      <c r="G32" s="276">
        <v>657706.4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>
        <v>0</v>
      </c>
      <c r="F33" s="266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77400</v>
      </c>
      <c r="F34" s="266">
        <v>84628.800000000003</v>
      </c>
      <c r="G34" s="276">
        <v>81960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0</v>
      </c>
      <c r="F35" s="307">
        <v>0</v>
      </c>
      <c r="G35" s="308">
        <v>0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1778470.65</v>
      </c>
      <c r="F36" s="311">
        <f>F22+F23+F24+F25+F26+F27+F28+F29+F30+F31+F32+F34</f>
        <v>1761568.1600000001</v>
      </c>
      <c r="G36" s="311">
        <f>G22+G23+G24+G25+G26+G27+G28+G29+G30+G31+G32+G34</f>
        <v>1786585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-152574.32900000014</v>
      </c>
      <c r="F37" s="311">
        <f>F36-F21</f>
        <v>-135699.03399999975</v>
      </c>
      <c r="G37" s="311">
        <f>G36-G21</f>
        <v>-174920.5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>
        <v>12780</v>
      </c>
      <c r="F38" s="286">
        <v>9354.2999999999993</v>
      </c>
      <c r="G38" s="276">
        <v>13652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>
        <v>0</v>
      </c>
      <c r="F39" s="266">
        <v>5.99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>
        <v>160</v>
      </c>
      <c r="F40" s="266">
        <v>1177.97</v>
      </c>
      <c r="G40" s="276">
        <v>100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>
        <v>1706.5</v>
      </c>
      <c r="F41" s="266">
        <v>1323.8</v>
      </c>
      <c r="G41" s="276">
        <v>1788.4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>
        <v>0</v>
      </c>
      <c r="F42" s="266">
        <v>47498.1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>
        <v>4800</v>
      </c>
      <c r="F43" s="266">
        <v>-37617.4</v>
      </c>
      <c r="G43" s="276">
        <v>4800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>
        <v>9664</v>
      </c>
      <c r="F44" s="286">
        <v>9615.4</v>
      </c>
      <c r="G44" s="276">
        <v>8166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>
        <v>4500</v>
      </c>
      <c r="F45" s="286">
        <v>3512.6</v>
      </c>
      <c r="G45" s="276">
        <v>1000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>
        <v>0</v>
      </c>
      <c r="F46" s="286">
        <v>0</v>
      </c>
      <c r="G46" s="276">
        <v>0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>
        <v>3650</v>
      </c>
      <c r="F47" s="286">
        <v>3258.2</v>
      </c>
      <c r="G47" s="276">
        <v>3969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>
        <v>0</v>
      </c>
      <c r="F48" s="286">
        <v>0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>
        <v>13444</v>
      </c>
      <c r="F49" s="286">
        <v>3303.2</v>
      </c>
      <c r="G49" s="276">
        <v>3140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>
        <v>460.2</v>
      </c>
      <c r="F50" s="286">
        <v>232.6</v>
      </c>
      <c r="G50" s="276">
        <v>458.2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>
        <v>26008</v>
      </c>
      <c r="F51" s="286">
        <v>26128.6</v>
      </c>
      <c r="G51" s="276">
        <v>30208.5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97"/>
      <c r="E54" s="332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38279.699999999997</v>
      </c>
      <c r="F55" s="311">
        <f>SUM(F44:F53)-SUM(F38:F43)</f>
        <v>24307.840000000004</v>
      </c>
      <c r="G55" s="311">
        <f>SUM(G44:G53)-SUM(G38:G43)</f>
        <v>26601.299999999996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-114294.62900000015</v>
      </c>
      <c r="F56" s="311">
        <f>F55+F37</f>
        <v>-111391.19399999976</v>
      </c>
      <c r="G56" s="311">
        <f>G55+G37</f>
        <v>-148319.20000000001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/>
      <c r="F57" s="341"/>
      <c r="G57" s="342"/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/>
      <c r="F58" s="341"/>
      <c r="G58" s="342"/>
    </row>
    <row r="59" spans="1:7" s="285" customFormat="1" ht="28">
      <c r="A59" s="278">
        <v>383</v>
      </c>
      <c r="B59" s="279"/>
      <c r="C59" s="280" t="s">
        <v>286</v>
      </c>
      <c r="D59" s="344"/>
      <c r="E59" s="264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491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491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491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491">
        <v>0</v>
      </c>
      <c r="F63" s="508">
        <v>0</v>
      </c>
      <c r="G63" s="482">
        <v>0</v>
      </c>
    </row>
    <row r="64" spans="1:7" s="285" customFormat="1">
      <c r="A64" s="274">
        <v>389</v>
      </c>
      <c r="B64" s="352"/>
      <c r="C64" s="263" t="s">
        <v>57</v>
      </c>
      <c r="D64" s="275"/>
      <c r="E64" s="275">
        <v>0</v>
      </c>
      <c r="F64" s="266">
        <v>0</v>
      </c>
      <c r="G64" s="276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66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3700</v>
      </c>
      <c r="F74" s="286">
        <v>0</v>
      </c>
      <c r="G74" s="276">
        <v>2200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3700</v>
      </c>
      <c r="F76" s="311">
        <f>SUM(F65:F74)-SUM(F57:F64)</f>
        <v>0</v>
      </c>
      <c r="G76" s="311">
        <f>SUM(G65:G74)-SUM(G57:G64)</f>
        <v>2200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-110594.62900000015</v>
      </c>
      <c r="F77" s="311">
        <f>F56+F76</f>
        <v>-111391.19399999976</v>
      </c>
      <c r="G77" s="311">
        <f>G56+G76</f>
        <v>-146119.20000000001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1950491.4790000001</v>
      </c>
      <c r="F78" s="361">
        <f>F20+F21+SUM(F38:F43)+SUM(F57:F64)</f>
        <v>1919009.9539999999</v>
      </c>
      <c r="G78" s="361">
        <f>G20+G21+SUM(G38:G43)+SUM(G57:G64)</f>
        <v>1981845.9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1839896.8499999999</v>
      </c>
      <c r="F79" s="361">
        <f>F35+F36+SUM(F44:F53)+SUM(F65:F74)</f>
        <v>1807618.7600000002</v>
      </c>
      <c r="G79" s="361">
        <f>G35+G36+SUM(G44:G53)+SUM(G65:G74)</f>
        <v>1835726.7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316"/>
      <c r="E82" s="275">
        <v>164839</v>
      </c>
      <c r="F82" s="266">
        <v>149803.4</v>
      </c>
      <c r="G82" s="276">
        <v>161637</v>
      </c>
    </row>
    <row r="83" spans="1:7" s="260" customFormat="1">
      <c r="A83" s="367">
        <v>51</v>
      </c>
      <c r="B83" s="368"/>
      <c r="C83" s="368" t="s">
        <v>310</v>
      </c>
      <c r="D83" s="316"/>
      <c r="E83" s="275">
        <v>0</v>
      </c>
      <c r="F83" s="266">
        <v>0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316"/>
      <c r="E84" s="275">
        <v>0</v>
      </c>
      <c r="F84" s="266">
        <v>0</v>
      </c>
      <c r="G84" s="276">
        <v>0</v>
      </c>
    </row>
    <row r="85" spans="1:7" s="260" customFormat="1">
      <c r="A85" s="369">
        <v>54</v>
      </c>
      <c r="B85" s="370"/>
      <c r="C85" s="370" t="s">
        <v>312</v>
      </c>
      <c r="D85" s="316"/>
      <c r="E85" s="271">
        <v>9550</v>
      </c>
      <c r="F85" s="266">
        <v>14618.351000000001</v>
      </c>
      <c r="G85" s="276">
        <v>10900</v>
      </c>
    </row>
    <row r="86" spans="1:7" s="260" customFormat="1">
      <c r="A86" s="369">
        <v>55</v>
      </c>
      <c r="B86" s="370"/>
      <c r="C86" s="370" t="s">
        <v>313</v>
      </c>
      <c r="D86" s="316"/>
      <c r="E86" s="271">
        <v>0</v>
      </c>
      <c r="F86" s="266">
        <v>0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316"/>
      <c r="E87" s="271">
        <v>7360</v>
      </c>
      <c r="F87" s="266">
        <v>6011.4</v>
      </c>
      <c r="G87" s="276">
        <v>21692</v>
      </c>
    </row>
    <row r="88" spans="1:7" s="260" customFormat="1">
      <c r="A88" s="367">
        <v>57</v>
      </c>
      <c r="B88" s="368"/>
      <c r="C88" s="368" t="s">
        <v>315</v>
      </c>
      <c r="D88" s="316"/>
      <c r="E88" s="275">
        <v>6580</v>
      </c>
      <c r="F88" s="266">
        <v>3711.34</v>
      </c>
      <c r="G88" s="276">
        <v>6120</v>
      </c>
    </row>
    <row r="89" spans="1:7" s="260" customFormat="1">
      <c r="A89" s="367">
        <v>580</v>
      </c>
      <c r="B89" s="368"/>
      <c r="C89" s="368" t="s">
        <v>316</v>
      </c>
      <c r="D89" s="275"/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188329</v>
      </c>
      <c r="F95" s="376">
        <f>SUM(F82:F94)</f>
        <v>174144.49099999998</v>
      </c>
      <c r="G95" s="376">
        <f>SUM(G82:G94)</f>
        <v>200349</v>
      </c>
    </row>
    <row r="96" spans="1:7" s="260" customFormat="1">
      <c r="A96" s="367">
        <v>60</v>
      </c>
      <c r="B96" s="368"/>
      <c r="C96" s="368" t="s">
        <v>323</v>
      </c>
      <c r="D96" s="316"/>
      <c r="E96" s="275">
        <v>0</v>
      </c>
      <c r="F96" s="266">
        <v>332.2</v>
      </c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316"/>
      <c r="E97" s="275">
        <v>0</v>
      </c>
      <c r="F97" s="266">
        <v>0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316"/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>
        <v>49240.1</v>
      </c>
      <c r="F99" s="266">
        <v>43652.985000000001</v>
      </c>
      <c r="G99" s="276">
        <v>52913.7</v>
      </c>
    </row>
    <row r="100" spans="1:7" s="260" customFormat="1">
      <c r="A100" s="367">
        <v>64</v>
      </c>
      <c r="B100" s="368"/>
      <c r="C100" s="368" t="s">
        <v>327</v>
      </c>
      <c r="D100" s="316"/>
      <c r="E100" s="271">
        <v>3887</v>
      </c>
      <c r="F100" s="266">
        <v>3653.52</v>
      </c>
      <c r="G100" s="276">
        <v>3887.3</v>
      </c>
    </row>
    <row r="101" spans="1:7" s="260" customFormat="1">
      <c r="A101" s="367">
        <v>65</v>
      </c>
      <c r="B101" s="368"/>
      <c r="C101" s="368" t="s">
        <v>328</v>
      </c>
      <c r="D101" s="316"/>
      <c r="E101" s="271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316"/>
      <c r="E102" s="271">
        <v>0</v>
      </c>
      <c r="F102" s="266">
        <v>0</v>
      </c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75">
        <v>6580</v>
      </c>
      <c r="F103" s="286">
        <v>3711.34</v>
      </c>
      <c r="G103" s="267">
        <v>6120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>
        <v>0</v>
      </c>
      <c r="F104" s="286">
        <v>0</v>
      </c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>
        <v>0</v>
      </c>
      <c r="F105" s="307">
        <v>0</v>
      </c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59707.1</v>
      </c>
      <c r="F106" s="376">
        <f>SUM(F96:F105)</f>
        <v>51350.044999999998</v>
      </c>
      <c r="G106" s="376">
        <f>SUM(G96:G105)</f>
        <v>62921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128621.9</v>
      </c>
      <c r="F107" s="376">
        <f>(F95-F88)-(F106-F103)</f>
        <v>122794.44599999998</v>
      </c>
      <c r="G107" s="376">
        <f>(G95-G88)-(G106-G103)</f>
        <v>137428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122958.9</v>
      </c>
      <c r="F108" s="389">
        <f>F107-F85-F86+F100+F101</f>
        <v>111829.61499999999</v>
      </c>
      <c r="G108" s="389">
        <f>G107-G85-G86+G100+G101</f>
        <v>130415.3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1081273.1000000001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757126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>
        <v>656889.1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>
        <v>95738.6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>
        <v>4498.3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324147.09999999998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>
        <v>170575.7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>
        <v>153571.4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1476684.446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>
        <v>1339628.3999999999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>
        <v>113193.466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>
        <v>23862.58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>
        <v>0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>
        <v>0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>
        <v>0</v>
      </c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2557957.5460000001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1613989.8199999998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511447.06999999995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236183.97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50057.2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27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>
        <v>225205.9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>
        <v>0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1102542.75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>
        <v>545917.52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/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>
        <v>467282.93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281"/>
      <c r="F144" s="281">
        <v>89342.3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>
        <v>943967.9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06"/>
      <c r="E146" s="306"/>
      <c r="F146" s="332">
        <v>414768.6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2557957.7199999997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16" t="s">
        <v>386</v>
      </c>
      <c r="B150" s="516"/>
      <c r="C150" s="516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-31324.629000000139</v>
      </c>
      <c r="F150" s="442">
        <f>F77+SUM(F8:F12)-F30-F31+F16-F33+F59+F63-F73+F64-F74-F54+F20-F35</f>
        <v>-47016.599999999758</v>
      </c>
      <c r="G150" s="442">
        <f>G77+SUM(G8:G12)-G30-G31+G16-G33+G59+G63-G73+G64-G74-G54+G20-G35</f>
        <v>-87692.200000000012</v>
      </c>
    </row>
    <row r="151" spans="1:7">
      <c r="A151" s="517" t="s">
        <v>387</v>
      </c>
      <c r="B151" s="517"/>
      <c r="C151" s="517" t="s">
        <v>388</v>
      </c>
      <c r="D151" s="445">
        <f>IF(D177=0,0,D150/D177)</f>
        <v>0</v>
      </c>
      <c r="E151" s="445">
        <f>IF(E177=0,0,E150/E177)</f>
        <v>-1.7810259894427343E-2</v>
      </c>
      <c r="F151" s="445">
        <f>IF(F177=0,0,F150/F177)</f>
        <v>-2.7287796848218287E-2</v>
      </c>
      <c r="G151" s="445">
        <f>IF(G177=0,0,G150/G177)</f>
        <v>-5.0065007515842821E-2</v>
      </c>
    </row>
    <row r="152" spans="1:7" s="449" customFormat="1" ht="28">
      <c r="A152" s="511" t="s">
        <v>389</v>
      </c>
      <c r="B152" s="511"/>
      <c r="C152" s="511" t="s">
        <v>390</v>
      </c>
      <c r="D152" s="591">
        <f t="shared" ref="D152:G153" si="0">IF(IF(D107=0,0,D$150/D107)&lt;0,"negativ",(IF(D107=0,0,D$150/D107)))</f>
        <v>0</v>
      </c>
      <c r="E152" s="591" t="str">
        <f t="shared" si="0"/>
        <v>negativ</v>
      </c>
      <c r="F152" s="591" t="str">
        <f t="shared" si="0"/>
        <v>negativ</v>
      </c>
      <c r="G152" s="591" t="str">
        <f t="shared" si="0"/>
        <v>negativ</v>
      </c>
    </row>
    <row r="153" spans="1:7" s="449" customFormat="1" ht="28">
      <c r="A153" s="512" t="s">
        <v>389</v>
      </c>
      <c r="B153" s="512"/>
      <c r="C153" s="512" t="s">
        <v>391</v>
      </c>
      <c r="D153" s="592">
        <f t="shared" si="0"/>
        <v>0</v>
      </c>
      <c r="E153" s="592" t="str">
        <f t="shared" si="0"/>
        <v>negativ</v>
      </c>
      <c r="F153" s="592" t="str">
        <f t="shared" si="0"/>
        <v>negativ</v>
      </c>
      <c r="G153" s="592" t="str">
        <f t="shared" si="0"/>
        <v>negativ</v>
      </c>
    </row>
    <row r="154" spans="1:7" ht="28">
      <c r="A154" s="513" t="s">
        <v>392</v>
      </c>
      <c r="B154" s="513"/>
      <c r="C154" s="513" t="s">
        <v>393</v>
      </c>
      <c r="D154" s="455">
        <f>D150-D107</f>
        <v>0</v>
      </c>
      <c r="E154" s="455">
        <f>E150-E107</f>
        <v>-159946.52900000013</v>
      </c>
      <c r="F154" s="455">
        <f>F150-F107</f>
        <v>-169811.04599999974</v>
      </c>
      <c r="G154" s="455">
        <f>G150-G107</f>
        <v>-225120.2</v>
      </c>
    </row>
    <row r="155" spans="1:7" ht="28">
      <c r="A155" s="512" t="s">
        <v>394</v>
      </c>
      <c r="B155" s="512"/>
      <c r="C155" s="512" t="s">
        <v>395</v>
      </c>
      <c r="D155" s="456">
        <f>D150-D108</f>
        <v>0</v>
      </c>
      <c r="E155" s="456">
        <f>E150-E108</f>
        <v>-154283.52900000013</v>
      </c>
      <c r="F155" s="456">
        <f>F150-F108</f>
        <v>-158846.21499999973</v>
      </c>
      <c r="G155" s="456">
        <f>G150-G108</f>
        <v>-218107.5</v>
      </c>
    </row>
    <row r="156" spans="1:7">
      <c r="A156" s="516" t="s">
        <v>396</v>
      </c>
      <c r="B156" s="516"/>
      <c r="C156" s="516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832158.69</v>
      </c>
      <c r="G156" s="457">
        <f>G135+G136-G137+G141-G142</f>
        <v>0</v>
      </c>
    </row>
    <row r="157" spans="1:7">
      <c r="A157" s="518" t="s">
        <v>398</v>
      </c>
      <c r="B157" s="518"/>
      <c r="C157" s="518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0.48297361523801324</v>
      </c>
      <c r="G157" s="460">
        <f>IF(G177=0,0,G156/G177)</f>
        <v>0</v>
      </c>
    </row>
    <row r="158" spans="1:7">
      <c r="A158" s="516" t="s">
        <v>400</v>
      </c>
      <c r="B158" s="516"/>
      <c r="C158" s="516" t="s">
        <v>401</v>
      </c>
      <c r="D158" s="457">
        <f>D133-D142-D111</f>
        <v>0</v>
      </c>
      <c r="E158" s="457">
        <f>E133-E142-E111</f>
        <v>0</v>
      </c>
      <c r="F158" s="457">
        <f>F133-F142-F111</f>
        <v>532716.71999999974</v>
      </c>
      <c r="G158" s="457">
        <f>G133-G142-G111</f>
        <v>0</v>
      </c>
    </row>
    <row r="159" spans="1:7">
      <c r="A159" s="517" t="s">
        <v>402</v>
      </c>
      <c r="B159" s="517"/>
      <c r="C159" s="517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395660.49999999988</v>
      </c>
      <c r="G159" s="461">
        <f>G121-G123-G124-G142-G145</f>
        <v>0</v>
      </c>
    </row>
    <row r="160" spans="1:7">
      <c r="A160" s="517" t="s">
        <v>404</v>
      </c>
      <c r="B160" s="517"/>
      <c r="C160" s="517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2062.3953542392555</v>
      </c>
      <c r="G160" s="462">
        <f>IF(G175=0,"-",1000*G158/G175)</f>
        <v>0</v>
      </c>
    </row>
    <row r="161" spans="1:7">
      <c r="A161" s="517" t="s">
        <v>404</v>
      </c>
      <c r="B161" s="517"/>
      <c r="C161" s="517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1531.7866821525354</v>
      </c>
      <c r="G161" s="461">
        <f>IF(G175=0,0,1000*(G159/G175))</f>
        <v>0</v>
      </c>
    </row>
    <row r="162" spans="1:7">
      <c r="A162" s="518" t="s">
        <v>407</v>
      </c>
      <c r="B162" s="518"/>
      <c r="C162" s="518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0.61528544213576208</v>
      </c>
      <c r="G162" s="460">
        <f>IF((G22+G23+G65+G66)=0,0,G158/(G22+G23+G65+G66))</f>
        <v>0</v>
      </c>
    </row>
    <row r="163" spans="1:7">
      <c r="A163" s="517" t="s">
        <v>409</v>
      </c>
      <c r="B163" s="517"/>
      <c r="C163" s="517" t="s">
        <v>380</v>
      </c>
      <c r="D163" s="442">
        <f>D145</f>
        <v>0</v>
      </c>
      <c r="E163" s="442">
        <f>E145</f>
        <v>0</v>
      </c>
      <c r="F163" s="442">
        <f>F145</f>
        <v>943967.9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0.22610818863656948</v>
      </c>
      <c r="G164" s="452">
        <f>IF(G178=0,0,G146/G178)</f>
        <v>0</v>
      </c>
    </row>
    <row r="165" spans="1:7">
      <c r="A165" s="519" t="s">
        <v>681</v>
      </c>
      <c r="B165" s="519"/>
      <c r="C165" s="519" t="s">
        <v>414</v>
      </c>
      <c r="D165" s="465">
        <f>IF(D177=0,0,D180/D177)</f>
        <v>0</v>
      </c>
      <c r="E165" s="465">
        <f>IF(E177=0,0,E180/E177)</f>
        <v>3.7729655929279161E-2</v>
      </c>
      <c r="F165" s="465">
        <f>IF(F177=0,0,F180/F177)</f>
        <v>3.5611234786301363E-2</v>
      </c>
      <c r="G165" s="465">
        <f>IF(G177=0,0,G180/G177)</f>
        <v>4.14782377399616E-2</v>
      </c>
    </row>
    <row r="166" spans="1:7">
      <c r="A166" s="517" t="s">
        <v>415</v>
      </c>
      <c r="B166" s="517"/>
      <c r="C166" s="517" t="s">
        <v>282</v>
      </c>
      <c r="D166" s="442">
        <f>D55</f>
        <v>0</v>
      </c>
      <c r="E166" s="442">
        <f>E55</f>
        <v>38279.699999999997</v>
      </c>
      <c r="F166" s="442">
        <f>F55</f>
        <v>24307.840000000004</v>
      </c>
      <c r="G166" s="442">
        <f>G55</f>
        <v>26601.299999999996</v>
      </c>
    </row>
    <row r="167" spans="1:7">
      <c r="A167" s="518" t="s">
        <v>416</v>
      </c>
      <c r="B167" s="518"/>
      <c r="C167" s="518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1.515454328790756E-2</v>
      </c>
      <c r="G167" s="460">
        <f>IF(0=G111,0,(G44+G45+G46+G47+G48)/G111)</f>
        <v>0</v>
      </c>
    </row>
    <row r="168" spans="1:7">
      <c r="A168" s="517" t="s">
        <v>418</v>
      </c>
      <c r="B168" s="516"/>
      <c r="C168" s="516" t="s">
        <v>419</v>
      </c>
      <c r="D168" s="442">
        <f>D38-D44</f>
        <v>0</v>
      </c>
      <c r="E168" s="442">
        <f>E38-E44</f>
        <v>3116</v>
      </c>
      <c r="F168" s="442">
        <f>F38-F44</f>
        <v>-261.10000000000036</v>
      </c>
      <c r="G168" s="442">
        <f>G38-G44</f>
        <v>5486</v>
      </c>
    </row>
    <row r="169" spans="1:7">
      <c r="A169" s="518" t="s">
        <v>420</v>
      </c>
      <c r="B169" s="518"/>
      <c r="C169" s="518" t="s">
        <v>421</v>
      </c>
      <c r="D169" s="445">
        <f>IF(D177=0,0,D168/D177)</f>
        <v>0</v>
      </c>
      <c r="E169" s="445">
        <f>IF(E177=0,0,E168/E177)</f>
        <v>1.771665670199489E-3</v>
      </c>
      <c r="F169" s="445">
        <f>IF(F177=0,0,F168/F177)</f>
        <v>-1.5153889811406697E-4</v>
      </c>
      <c r="G169" s="445">
        <f>IF(G177=0,0,G168/G177)</f>
        <v>3.132053149902884E-3</v>
      </c>
    </row>
    <row r="170" spans="1:7">
      <c r="A170" s="517" t="s">
        <v>422</v>
      </c>
      <c r="B170" s="517"/>
      <c r="C170" s="517" t="s">
        <v>423</v>
      </c>
      <c r="D170" s="442">
        <f>SUM(D82:D87)+SUM(D89:D94)</f>
        <v>0</v>
      </c>
      <c r="E170" s="442">
        <f>SUM(E82:E87)+SUM(E89:E94)</f>
        <v>181749</v>
      </c>
      <c r="F170" s="442">
        <f>SUM(F82:F87)+SUM(F89:F94)</f>
        <v>170433.15099999998</v>
      </c>
      <c r="G170" s="442">
        <f>SUM(G82:G87)+SUM(G89:G94)</f>
        <v>194229</v>
      </c>
    </row>
    <row r="171" spans="1:7">
      <c r="A171" s="517" t="s">
        <v>424</v>
      </c>
      <c r="B171" s="517"/>
      <c r="C171" s="517" t="s">
        <v>425</v>
      </c>
      <c r="D171" s="461">
        <f>SUM(D96:D102)+SUM(D104:D105)</f>
        <v>0</v>
      </c>
      <c r="E171" s="461">
        <f>SUM(E96:E102)+SUM(E104:E105)</f>
        <v>53127.1</v>
      </c>
      <c r="F171" s="461">
        <f>SUM(F96:F102)+SUM(F104:F105)</f>
        <v>47638.704999999994</v>
      </c>
      <c r="G171" s="461">
        <f>SUM(G96:G102)+SUM(G104:G105)</f>
        <v>56801</v>
      </c>
    </row>
    <row r="172" spans="1:7">
      <c r="A172" s="519" t="s">
        <v>413</v>
      </c>
      <c r="B172" s="519"/>
      <c r="C172" s="519" t="s">
        <v>426</v>
      </c>
      <c r="D172" s="465">
        <f>IF(D184=0,0,D170/D184)</f>
        <v>0</v>
      </c>
      <c r="E172" s="465">
        <f>IF(E184=0,0,E170/E184)</f>
        <v>9.2620537026266297E-2</v>
      </c>
      <c r="F172" s="465">
        <f>IF(F184=0,0,F170/F184)</f>
        <v>9.0156645272175623E-2</v>
      </c>
      <c r="G172" s="465">
        <f>IF(G184=0,0,G170/G184)</f>
        <v>9.5861451825535099E-2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98"/>
      <c r="E175" s="472">
        <v>258500</v>
      </c>
      <c r="F175" s="472">
        <v>258300</v>
      </c>
      <c r="G175" s="472">
        <v>259100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1758796.8499999999</v>
      </c>
      <c r="F177" s="472">
        <f>SUM(F22:F32)+SUM(F44:F53)+SUM(F65:F72)+F75</f>
        <v>1722989.9600000002</v>
      </c>
      <c r="G177" s="472">
        <f>SUM(G22:G32)+SUM(G44:G53)+SUM(G65:G72)+G75</f>
        <v>1751566.7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1873091.4790000001</v>
      </c>
      <c r="F178" s="472">
        <f>F78-F17-F20-F59-F63-F64</f>
        <v>1834381.1539999999</v>
      </c>
      <c r="G178" s="472">
        <f>G78-G17-G20-G59-G63-G64</f>
        <v>1899885.9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2054840.4790000001</v>
      </c>
      <c r="F179" s="472">
        <f>F178+F170</f>
        <v>2004814.3049999999</v>
      </c>
      <c r="G179" s="472">
        <f>G178+G170</f>
        <v>2094114.9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66358.8</v>
      </c>
      <c r="F180" s="472">
        <f>F38-F44+F8+F9+F10+F16-F33</f>
        <v>61357.8</v>
      </c>
      <c r="G180" s="472">
        <f>G38-G44+G8+G9+G10+G16-G33</f>
        <v>72651.899999999994</v>
      </c>
    </row>
    <row r="181" spans="1:7" ht="27.5" customHeight="1">
      <c r="A181" s="473" t="s">
        <v>438</v>
      </c>
      <c r="B181" s="474"/>
      <c r="C181" s="474" t="s">
        <v>439</v>
      </c>
      <c r="D181" s="520">
        <f>D22+D23+D24+D25+D26+D29+SUM(D44:D47)+SUM(D49:D53)-D54+D32-D33+SUM(D65:D70)+D72</f>
        <v>0</v>
      </c>
      <c r="E181" s="475">
        <f>E22+E23+E24+E25+E26+E29+SUM(E44:E47)+SUM(E49:E53)-E54+E32-E33+SUM(E65:E70)+E72</f>
        <v>1749223.35</v>
      </c>
      <c r="F181" s="520">
        <f>F22+F23+F24+F25+F26+F29+SUM(F44:F47)+SUM(F49:F53)-F54+F32-F33+SUM(F65:F70)+F72</f>
        <v>1720825.66</v>
      </c>
      <c r="G181" s="475">
        <f>G22+G23+G24+G25+G26+G29+SUM(G44:G47)+SUM(G49:G53)-G54+G32-G33+SUM(G65:G70)+G72</f>
        <v>1744221.7000000002</v>
      </c>
    </row>
    <row r="182" spans="1:7">
      <c r="A182" s="474" t="s">
        <v>440</v>
      </c>
      <c r="B182" s="474"/>
      <c r="C182" s="474" t="s">
        <v>441</v>
      </c>
      <c r="D182" s="520">
        <f>D181+D171</f>
        <v>0</v>
      </c>
      <c r="E182" s="475">
        <f>E181+E171</f>
        <v>1802350.4500000002</v>
      </c>
      <c r="F182" s="520">
        <f>F181+F171</f>
        <v>1768464.365</v>
      </c>
      <c r="G182" s="475">
        <f>G181+G171</f>
        <v>1801022.7000000002</v>
      </c>
    </row>
    <row r="183" spans="1:7">
      <c r="A183" s="474" t="s">
        <v>442</v>
      </c>
      <c r="B183" s="474"/>
      <c r="C183" s="474" t="s">
        <v>443</v>
      </c>
      <c r="D183" s="520">
        <f>D4+D5-D7+D38+D39+D40+D41+D43+D13-D16+D57+D58+D60+D61+D62</f>
        <v>0</v>
      </c>
      <c r="E183" s="475">
        <f>E4+E5-E7+E38+E39+E40+E41+E43+E13-E16+E57+E58+E60+E61+E62</f>
        <v>1780547.9790000001</v>
      </c>
      <c r="F183" s="520">
        <f>F4+F5-F7+F38+F39+F40+F41+F43+F13-F16+F57+F58+F60+F61+F62</f>
        <v>1719978.2599999998</v>
      </c>
      <c r="G183" s="475">
        <f>G4+G5-G7+G38+G39+G40+G41+G43+G13-G16+G57+G58+G60+G61+G62</f>
        <v>1831913.9000000001</v>
      </c>
    </row>
    <row r="184" spans="1:7">
      <c r="A184" s="474" t="s">
        <v>444</v>
      </c>
      <c r="B184" s="474"/>
      <c r="C184" s="474" t="s">
        <v>445</v>
      </c>
      <c r="D184" s="520">
        <f>D183+D170</f>
        <v>0</v>
      </c>
      <c r="E184" s="475">
        <f>E183+E170</f>
        <v>1962296.9790000001</v>
      </c>
      <c r="F184" s="520">
        <f>F183+F170</f>
        <v>1890411.4109999998</v>
      </c>
      <c r="G184" s="475">
        <f>G183+G170</f>
        <v>2026142.9000000001</v>
      </c>
    </row>
    <row r="185" spans="1:7">
      <c r="A185" s="474"/>
      <c r="B185" s="474"/>
      <c r="C185" s="474" t="s">
        <v>446</v>
      </c>
      <c r="D185" s="520">
        <f t="shared" ref="D185:G186" si="1">D181-D183</f>
        <v>0</v>
      </c>
      <c r="E185" s="475">
        <f t="shared" si="1"/>
        <v>-31324.628999999957</v>
      </c>
      <c r="F185" s="520">
        <f t="shared" si="1"/>
        <v>847.4000000001397</v>
      </c>
      <c r="G185" s="475">
        <f t="shared" si="1"/>
        <v>-87692.199999999953</v>
      </c>
    </row>
    <row r="186" spans="1:7">
      <c r="A186" s="474"/>
      <c r="B186" s="474"/>
      <c r="C186" s="474" t="s">
        <v>447</v>
      </c>
      <c r="D186" s="520">
        <f t="shared" si="1"/>
        <v>0</v>
      </c>
      <c r="E186" s="475">
        <f t="shared" si="1"/>
        <v>-159946.52899999986</v>
      </c>
      <c r="F186" s="520">
        <f t="shared" si="1"/>
        <v>-121947.04599999986</v>
      </c>
      <c r="G186" s="475">
        <f t="shared" si="1"/>
        <v>-225120.19999999995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16383" man="1"/>
    <brk id="147" max="16383" man="1"/>
  </rowBreaks>
  <colBreaks count="1" manualBreakCount="1">
    <brk id="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baseColWidth="10" defaultRowHeight="13"/>
  <cols>
    <col min="1" max="1" width="11.5" bestFit="1" customWidth="1"/>
    <col min="2" max="2" width="38.33203125" customWidth="1"/>
    <col min="3" max="3" width="12.33203125" bestFit="1" customWidth="1"/>
    <col min="4" max="4" width="8.33203125" customWidth="1"/>
    <col min="5" max="5" width="12.33203125" bestFit="1" customWidth="1"/>
    <col min="6" max="6" width="8" customWidth="1"/>
    <col min="7" max="7" width="12.33203125" bestFit="1" customWidth="1"/>
    <col min="8" max="8" width="6" customWidth="1"/>
    <col min="9" max="9" width="10.6640625" customWidth="1"/>
  </cols>
  <sheetData>
    <row r="1" spans="1:9">
      <c r="A1" s="5" t="s">
        <v>20</v>
      </c>
      <c r="B1" s="6" t="s">
        <v>162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1913338.38</v>
      </c>
      <c r="D4" s="11">
        <v>-0.42459372241307358</v>
      </c>
      <c r="E4" s="10">
        <v>1100946.915</v>
      </c>
      <c r="F4" s="11">
        <v>-5.4113818921051285E-2</v>
      </c>
      <c r="G4" s="10">
        <v>1041370.473</v>
      </c>
      <c r="H4" s="11"/>
      <c r="I4" s="12"/>
    </row>
    <row r="5" spans="1:9">
      <c r="A5" s="13" t="s">
        <v>30</v>
      </c>
      <c r="B5" s="14" t="s">
        <v>31</v>
      </c>
      <c r="C5" s="15">
        <v>732142.47</v>
      </c>
      <c r="D5" s="16">
        <v>-0.43984925092516486</v>
      </c>
      <c r="E5" s="15">
        <v>410110.15299999999</v>
      </c>
      <c r="F5" s="16">
        <v>0.15968541749318757</v>
      </c>
      <c r="G5" s="15">
        <v>475598.76400000002</v>
      </c>
      <c r="H5" s="16"/>
      <c r="I5" s="17"/>
    </row>
    <row r="6" spans="1:9">
      <c r="A6" s="13" t="s">
        <v>32</v>
      </c>
      <c r="B6" s="14" t="s">
        <v>33</v>
      </c>
      <c r="C6" s="15">
        <v>86828</v>
      </c>
      <c r="D6" s="16">
        <v>-0.38700312111300506</v>
      </c>
      <c r="E6" s="15">
        <v>53225.292999999998</v>
      </c>
      <c r="F6" s="16">
        <v>0.59020755414159976</v>
      </c>
      <c r="G6" s="15">
        <v>84639.263000000006</v>
      </c>
      <c r="H6" s="16"/>
      <c r="I6" s="17"/>
    </row>
    <row r="7" spans="1:9">
      <c r="A7" s="13" t="s">
        <v>34</v>
      </c>
      <c r="B7" s="14" t="s">
        <v>35</v>
      </c>
      <c r="C7" s="15">
        <v>70395.48</v>
      </c>
      <c r="D7" s="16">
        <v>-4.627697687408343E-3</v>
      </c>
      <c r="E7" s="15">
        <v>70069.710999999996</v>
      </c>
      <c r="F7" s="16">
        <v>-0.16389218445613393</v>
      </c>
      <c r="G7" s="15">
        <v>58585.832999999999</v>
      </c>
      <c r="H7" s="16"/>
      <c r="I7" s="17"/>
    </row>
    <row r="8" spans="1:9">
      <c r="A8" s="13" t="s">
        <v>36</v>
      </c>
      <c r="B8" s="14" t="s">
        <v>37</v>
      </c>
      <c r="C8" s="15">
        <v>65251.64</v>
      </c>
      <c r="D8" s="16">
        <v>-8.602263483339273E-2</v>
      </c>
      <c r="E8" s="15">
        <v>59638.521999999997</v>
      </c>
      <c r="F8" s="16">
        <v>-3.6193586420535363E-2</v>
      </c>
      <c r="G8" s="15">
        <v>57479.99</v>
      </c>
      <c r="H8" s="16"/>
      <c r="I8" s="17"/>
    </row>
    <row r="9" spans="1:9">
      <c r="A9" s="13" t="s">
        <v>38</v>
      </c>
      <c r="B9" s="14" t="s">
        <v>39</v>
      </c>
      <c r="C9" s="15">
        <v>172296.27</v>
      </c>
      <c r="D9" s="16">
        <v>-0.33269641879072592</v>
      </c>
      <c r="E9" s="15">
        <v>114973.91800000001</v>
      </c>
      <c r="F9" s="16">
        <v>4.7083208906562618E-2</v>
      </c>
      <c r="G9" s="15">
        <v>120387.25900000001</v>
      </c>
      <c r="H9" s="16"/>
      <c r="I9" s="17"/>
    </row>
    <row r="10" spans="1:9">
      <c r="A10" s="13" t="s">
        <v>40</v>
      </c>
      <c r="B10" s="14" t="s">
        <v>41</v>
      </c>
      <c r="C10" s="15">
        <v>1384906</v>
      </c>
      <c r="D10" s="16">
        <v>0.26945230362205086</v>
      </c>
      <c r="E10" s="15">
        <v>1758072.112</v>
      </c>
      <c r="F10" s="16">
        <v>-9.2092695683455893E-4</v>
      </c>
      <c r="G10" s="15">
        <v>1756453.0560000001</v>
      </c>
      <c r="H10" s="16"/>
      <c r="I10" s="17"/>
    </row>
    <row r="11" spans="1:9">
      <c r="A11" s="13" t="s">
        <v>42</v>
      </c>
      <c r="B11" s="14" t="s">
        <v>43</v>
      </c>
      <c r="C11" s="15">
        <v>289203</v>
      </c>
      <c r="D11" s="43">
        <v>0.99067597500717497</v>
      </c>
      <c r="E11" s="15">
        <v>575709.46400000004</v>
      </c>
      <c r="F11" s="16">
        <v>-3.3107359166150666E-2</v>
      </c>
      <c r="G11" s="15">
        <v>556649.24399999995</v>
      </c>
      <c r="H11" s="16"/>
      <c r="I11" s="17"/>
    </row>
    <row r="12" spans="1:9">
      <c r="A12" s="13" t="s">
        <v>44</v>
      </c>
      <c r="B12" s="14" t="s">
        <v>45</v>
      </c>
      <c r="C12" s="15">
        <v>0</v>
      </c>
      <c r="D12" s="43" t="s">
        <v>48</v>
      </c>
      <c r="E12" s="15">
        <v>0</v>
      </c>
      <c r="F12" s="16" t="s">
        <v>48</v>
      </c>
      <c r="G12" s="15">
        <v>0</v>
      </c>
      <c r="H12" s="16"/>
      <c r="I12" s="17"/>
    </row>
    <row r="13" spans="1:9">
      <c r="A13" s="13" t="s">
        <v>46</v>
      </c>
      <c r="B13" s="14" t="s">
        <v>47</v>
      </c>
      <c r="C13" s="15">
        <v>227827</v>
      </c>
      <c r="D13" s="43">
        <v>0.25661472520816225</v>
      </c>
      <c r="E13" s="15">
        <v>286290.76299999998</v>
      </c>
      <c r="F13" s="43">
        <v>2.8765996198068095E-2</v>
      </c>
      <c r="G13" s="15">
        <v>294526.20199999999</v>
      </c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/>
      <c r="I15" s="17"/>
    </row>
    <row r="16" spans="1:9">
      <c r="A16" s="13" t="s">
        <v>53</v>
      </c>
      <c r="B16" s="14" t="s">
        <v>54</v>
      </c>
      <c r="C16" s="15">
        <v>0</v>
      </c>
      <c r="D16" s="43" t="s">
        <v>48</v>
      </c>
      <c r="E16" s="15">
        <v>0</v>
      </c>
      <c r="F16" s="43" t="s">
        <v>48</v>
      </c>
      <c r="G16" s="15">
        <v>0</v>
      </c>
      <c r="H16" s="43"/>
      <c r="I16" s="17"/>
    </row>
    <row r="17" spans="1:9">
      <c r="A17" s="13" t="s">
        <v>55</v>
      </c>
      <c r="B17" s="14" t="s">
        <v>56</v>
      </c>
      <c r="C17" s="15">
        <v>74128.240000000005</v>
      </c>
      <c r="D17" s="16">
        <v>-5.0504908790496184E-2</v>
      </c>
      <c r="E17" s="15">
        <v>70384.399999999994</v>
      </c>
      <c r="F17" s="16">
        <v>0.27219311381499317</v>
      </c>
      <c r="G17" s="15">
        <v>89542.548999999999</v>
      </c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/>
      <c r="I18" s="17"/>
    </row>
    <row r="19" spans="1:9">
      <c r="A19" s="18" t="s">
        <v>58</v>
      </c>
      <c r="B19" s="19" t="s">
        <v>59</v>
      </c>
      <c r="C19" s="20">
        <v>275920.09999999998</v>
      </c>
      <c r="D19" s="43">
        <v>-0.21260018751805318</v>
      </c>
      <c r="E19" s="20">
        <v>217259.435</v>
      </c>
      <c r="F19" s="43">
        <v>0.10470290968030919</v>
      </c>
      <c r="G19" s="20">
        <v>240007.13</v>
      </c>
      <c r="H19" s="43"/>
      <c r="I19" s="21"/>
    </row>
    <row r="20" spans="1:9">
      <c r="A20" s="22" t="s">
        <v>60</v>
      </c>
      <c r="B20" s="23" t="s">
        <v>61</v>
      </c>
      <c r="C20" s="24">
        <v>4688378.58</v>
      </c>
      <c r="D20" s="25">
        <v>-0.18917487119822143</v>
      </c>
      <c r="E20" s="24">
        <v>3801455.1659999997</v>
      </c>
      <c r="F20" s="25">
        <v>9.988250904443453E-3</v>
      </c>
      <c r="G20" s="24">
        <v>3839425.0540000005</v>
      </c>
      <c r="H20" s="25"/>
      <c r="I20" s="26"/>
    </row>
    <row r="21" spans="1:9">
      <c r="A21" s="27" t="s">
        <v>62</v>
      </c>
      <c r="B21" s="28" t="s">
        <v>63</v>
      </c>
      <c r="C21" s="10">
        <v>2529870.9</v>
      </c>
      <c r="D21" s="16">
        <v>-2.6155840600403723E-2</v>
      </c>
      <c r="E21" s="10">
        <v>2463700</v>
      </c>
      <c r="F21" s="16">
        <v>-4.3527345050127604E-3</v>
      </c>
      <c r="G21" s="10">
        <v>2452976.1680000001</v>
      </c>
      <c r="H21" s="16"/>
      <c r="I21" s="12"/>
    </row>
    <row r="22" spans="1:9">
      <c r="A22" s="8" t="s">
        <v>64</v>
      </c>
      <c r="B22" s="29" t="s">
        <v>65</v>
      </c>
      <c r="C22" s="15">
        <v>72076.600000000006</v>
      </c>
      <c r="D22" s="16">
        <v>-0.11993629000258066</v>
      </c>
      <c r="E22" s="15">
        <v>63432</v>
      </c>
      <c r="F22" s="16">
        <v>-7.0908847269516947E-2</v>
      </c>
      <c r="G22" s="15">
        <v>58934.11</v>
      </c>
      <c r="H22" s="16"/>
      <c r="I22" s="17"/>
    </row>
    <row r="23" spans="1:9">
      <c r="A23" s="8" t="s">
        <v>66</v>
      </c>
      <c r="B23" s="29" t="s">
        <v>67</v>
      </c>
      <c r="C23" s="15">
        <v>265197.26</v>
      </c>
      <c r="D23" s="16">
        <v>-0.16762122655415068</v>
      </c>
      <c r="E23" s="15">
        <v>220744.57</v>
      </c>
      <c r="F23" s="16">
        <v>0.16759051423099555</v>
      </c>
      <c r="G23" s="15">
        <v>257739.266</v>
      </c>
      <c r="H23" s="16"/>
      <c r="I23" s="17"/>
    </row>
    <row r="24" spans="1:9">
      <c r="A24" s="8" t="s">
        <v>68</v>
      </c>
      <c r="B24" s="29" t="s">
        <v>69</v>
      </c>
      <c r="C24" s="15">
        <v>1197449.74</v>
      </c>
      <c r="D24" s="16">
        <v>-0.65940998659367533</v>
      </c>
      <c r="E24" s="15">
        <v>407839.42299999995</v>
      </c>
      <c r="F24" s="16">
        <v>0.21128196329367618</v>
      </c>
      <c r="G24" s="15">
        <v>494008.53700000001</v>
      </c>
      <c r="H24" s="16"/>
      <c r="I24" s="17"/>
    </row>
    <row r="25" spans="1:9">
      <c r="A25" s="8" t="s">
        <v>70</v>
      </c>
      <c r="B25" s="29" t="s">
        <v>71</v>
      </c>
      <c r="C25" s="15">
        <v>551045.68000000005</v>
      </c>
      <c r="D25" s="16">
        <v>-0.11249061057878192</v>
      </c>
      <c r="E25" s="15">
        <v>489058.21499999997</v>
      </c>
      <c r="F25" s="16">
        <v>2.241999963133235E-2</v>
      </c>
      <c r="G25" s="15">
        <v>500022.9</v>
      </c>
      <c r="H25" s="16"/>
      <c r="I25" s="17"/>
    </row>
    <row r="26" spans="1:9">
      <c r="A26" s="59" t="s">
        <v>72</v>
      </c>
      <c r="B26" s="29" t="s">
        <v>73</v>
      </c>
      <c r="C26" s="15">
        <v>14153.2</v>
      </c>
      <c r="D26" s="16">
        <v>0.21624848090891105</v>
      </c>
      <c r="E26" s="15">
        <v>17213.808000000001</v>
      </c>
      <c r="F26" s="16">
        <v>8.9284079385572215E-2</v>
      </c>
      <c r="G26" s="15">
        <v>18750.726999999999</v>
      </c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/>
      <c r="I27" s="17"/>
    </row>
    <row r="28" spans="1:9">
      <c r="A28" s="30" t="s">
        <v>75</v>
      </c>
      <c r="B28" s="31" t="s">
        <v>76</v>
      </c>
      <c r="C28" s="20">
        <v>275920.09999999998</v>
      </c>
      <c r="D28" s="16">
        <v>-0.2124651484252143</v>
      </c>
      <c r="E28" s="20">
        <v>217296.69500000001</v>
      </c>
      <c r="F28" s="16">
        <v>0.10451348558246593</v>
      </c>
      <c r="G28" s="20">
        <v>240007.13</v>
      </c>
      <c r="H28" s="16"/>
      <c r="I28" s="21"/>
    </row>
    <row r="29" spans="1:9">
      <c r="A29" s="51" t="s">
        <v>77</v>
      </c>
      <c r="B29" s="52" t="s">
        <v>78</v>
      </c>
      <c r="C29" s="24">
        <v>4905713.4799999995</v>
      </c>
      <c r="D29" s="53">
        <v>-0.20923129187724188</v>
      </c>
      <c r="E29" s="24">
        <v>3879284.7109999997</v>
      </c>
      <c r="F29" s="53">
        <v>3.6902196581260385E-2</v>
      </c>
      <c r="G29" s="24">
        <v>4022438.8379999995</v>
      </c>
      <c r="H29" s="54"/>
      <c r="I29" s="26"/>
    </row>
    <row r="30" spans="1:9">
      <c r="A30" s="50" t="s">
        <v>79</v>
      </c>
      <c r="B30" s="32" t="s">
        <v>80</v>
      </c>
      <c r="C30" s="33">
        <v>217334.89999999944</v>
      </c>
      <c r="D30" s="136">
        <v>0</v>
      </c>
      <c r="E30" s="33">
        <v>77829.544999999925</v>
      </c>
      <c r="F30" s="136">
        <v>0</v>
      </c>
      <c r="G30" s="34">
        <v>183013.78399999905</v>
      </c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/>
      <c r="I31" s="139"/>
    </row>
    <row r="32" spans="1:9">
      <c r="A32" s="59" t="s">
        <v>82</v>
      </c>
      <c r="B32" s="29" t="s">
        <v>83</v>
      </c>
      <c r="C32" s="15">
        <v>294672</v>
      </c>
      <c r="D32" s="16">
        <v>-5.7765922788727803E-2</v>
      </c>
      <c r="E32" s="15">
        <v>277650</v>
      </c>
      <c r="F32" s="16">
        <v>-9.7148496308301815E-2</v>
      </c>
      <c r="G32" s="15">
        <v>250676.72</v>
      </c>
      <c r="H32" s="16"/>
      <c r="I32" s="17"/>
    </row>
    <row r="33" spans="1:9">
      <c r="A33" s="59" t="s">
        <v>84</v>
      </c>
      <c r="B33" s="29" t="s">
        <v>85</v>
      </c>
      <c r="C33" s="15">
        <v>35905</v>
      </c>
      <c r="D33" s="16">
        <v>0.6710764517476675</v>
      </c>
      <c r="E33" s="15">
        <v>60000</v>
      </c>
      <c r="F33" s="16">
        <v>5.1152135999999997</v>
      </c>
      <c r="G33" s="15">
        <v>366912.81599999999</v>
      </c>
      <c r="H33" s="16"/>
      <c r="I33" s="17"/>
    </row>
    <row r="34" spans="1:9">
      <c r="A34" s="8" t="s">
        <v>86</v>
      </c>
      <c r="B34" s="29" t="s">
        <v>87</v>
      </c>
      <c r="C34" s="15">
        <v>17300.349999999999</v>
      </c>
      <c r="D34" s="16">
        <v>-1</v>
      </c>
      <c r="E34" s="15">
        <v>0</v>
      </c>
      <c r="F34" s="16" t="s">
        <v>48</v>
      </c>
      <c r="G34" s="15">
        <v>6249.91</v>
      </c>
      <c r="H34" s="16"/>
      <c r="I34" s="17"/>
    </row>
    <row r="35" spans="1:9">
      <c r="A35" s="51" t="s">
        <v>88</v>
      </c>
      <c r="B35" s="52" t="s">
        <v>89</v>
      </c>
      <c r="C35" s="24">
        <v>347877.35</v>
      </c>
      <c r="D35" s="54">
        <v>-2.9399298344660776E-2</v>
      </c>
      <c r="E35" s="24">
        <v>337650</v>
      </c>
      <c r="F35" s="54">
        <v>0.84759202132385603</v>
      </c>
      <c r="G35" s="24">
        <v>623839.446</v>
      </c>
      <c r="H35" s="54"/>
      <c r="I35" s="26"/>
    </row>
    <row r="36" spans="1:9">
      <c r="A36" s="8" t="s">
        <v>90</v>
      </c>
      <c r="B36" s="29" t="s">
        <v>91</v>
      </c>
      <c r="C36" s="15">
        <v>4624</v>
      </c>
      <c r="D36" s="16">
        <v>-1</v>
      </c>
      <c r="E36" s="15">
        <v>0</v>
      </c>
      <c r="F36" s="16" t="s">
        <v>48</v>
      </c>
      <c r="G36" s="15">
        <v>6773.3389999999999</v>
      </c>
      <c r="H36" s="16"/>
      <c r="I36" s="17"/>
    </row>
    <row r="37" spans="1:9">
      <c r="A37" s="8" t="s">
        <v>92</v>
      </c>
      <c r="B37" s="29" t="s">
        <v>93</v>
      </c>
      <c r="C37" s="15">
        <v>16820.400000000001</v>
      </c>
      <c r="D37" s="16">
        <v>0.73895983448669456</v>
      </c>
      <c r="E37" s="15">
        <v>29250</v>
      </c>
      <c r="F37" s="16">
        <v>0.51213548717948709</v>
      </c>
      <c r="G37" s="15">
        <v>44229.962999999996</v>
      </c>
      <c r="H37" s="16"/>
      <c r="I37" s="17"/>
    </row>
    <row r="38" spans="1:9">
      <c r="A38" s="51" t="s">
        <v>94</v>
      </c>
      <c r="B38" s="52" t="s">
        <v>95</v>
      </c>
      <c r="C38" s="24">
        <v>21444.400000000001</v>
      </c>
      <c r="D38" s="54">
        <v>0.3639924642330864</v>
      </c>
      <c r="E38" s="24">
        <v>29250</v>
      </c>
      <c r="F38" s="54">
        <v>0.74370263247863233</v>
      </c>
      <c r="G38" s="24">
        <v>51003.301999999996</v>
      </c>
      <c r="H38" s="54"/>
      <c r="I38" s="26"/>
    </row>
    <row r="39" spans="1:9">
      <c r="A39" s="36" t="s">
        <v>96</v>
      </c>
      <c r="B39" s="37" t="s">
        <v>3</v>
      </c>
      <c r="C39" s="38">
        <v>326432.94999999995</v>
      </c>
      <c r="D39" s="39">
        <v>-5.5242431868473926E-2</v>
      </c>
      <c r="E39" s="38">
        <v>308400</v>
      </c>
      <c r="F39" s="39">
        <v>0.85744534370946812</v>
      </c>
      <c r="G39" s="38">
        <v>572836.14399999997</v>
      </c>
      <c r="H39" s="39"/>
      <c r="I39" s="40"/>
    </row>
    <row r="40" spans="1:9">
      <c r="A40" s="131" t="s">
        <v>0</v>
      </c>
      <c r="B40" s="29" t="s">
        <v>97</v>
      </c>
      <c r="C40" s="15">
        <v>389631.16999999946</v>
      </c>
      <c r="D40" s="16">
        <v>-0.5051641710287188</v>
      </c>
      <c r="E40" s="15">
        <v>192803.46299999993</v>
      </c>
      <c r="F40" s="16">
        <v>0.57362859711705061</v>
      </c>
      <c r="G40" s="15">
        <v>303401.04299999907</v>
      </c>
      <c r="H40" s="16"/>
      <c r="I40" s="17"/>
    </row>
    <row r="41" spans="1:9">
      <c r="A41" s="131" t="s">
        <v>0</v>
      </c>
      <c r="B41" s="29" t="s">
        <v>98</v>
      </c>
      <c r="C41" s="15">
        <v>63198.219999999506</v>
      </c>
      <c r="D41" s="16">
        <v>-2.8291106458378255</v>
      </c>
      <c r="E41" s="15">
        <v>-115596.53700000007</v>
      </c>
      <c r="F41" s="16">
        <v>1.3308232927427639</v>
      </c>
      <c r="G41" s="15">
        <v>-269435.1010000009</v>
      </c>
      <c r="H41" s="16"/>
      <c r="I41" s="17"/>
    </row>
    <row r="42" spans="1:9">
      <c r="A42" s="141" t="s">
        <v>0</v>
      </c>
      <c r="B42" s="31" t="s">
        <v>99</v>
      </c>
      <c r="C42" s="20">
        <v>4448659.6800000006</v>
      </c>
      <c r="D42" s="129">
        <v>-0.1734928820178937</v>
      </c>
      <c r="E42" s="20">
        <v>3676848.8909999998</v>
      </c>
      <c r="F42" s="129">
        <v>7.5879833322201329E-2</v>
      </c>
      <c r="G42" s="20">
        <v>3955847.5720000006</v>
      </c>
      <c r="H42" s="129"/>
      <c r="I42" s="21"/>
    </row>
    <row r="43" spans="1:9">
      <c r="A43" s="141">
        <v>0</v>
      </c>
      <c r="B43" s="31" t="s">
        <v>5</v>
      </c>
      <c r="C43" s="66">
        <v>1.1936024534287961</v>
      </c>
      <c r="D43" s="142">
        <v>0</v>
      </c>
      <c r="E43" s="41">
        <v>0.62517335603112822</v>
      </c>
      <c r="F43" s="142">
        <v>0</v>
      </c>
      <c r="G43" s="41">
        <v>0.52964717079723778</v>
      </c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C189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6" t="s">
        <v>673</v>
      </c>
      <c r="C1" s="476" t="s">
        <v>674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/>
      <c r="F4" s="258"/>
      <c r="G4" s="259">
        <v>1180026.645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/>
      <c r="F5" s="266"/>
      <c r="G5" s="267">
        <v>436528.245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/>
      <c r="F6" s="272"/>
      <c r="G6" s="273">
        <v>49732.561999999998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/>
      <c r="F7" s="272"/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/>
      <c r="F8" s="266"/>
      <c r="G8" s="276">
        <v>122740.73699999999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/>
      <c r="F9" s="266"/>
      <c r="G9" s="276">
        <v>5422.0159999999996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/>
      <c r="F10" s="266"/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/>
      <c r="F11" s="275"/>
      <c r="G11" s="277">
        <v>0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/>
      <c r="F12" s="283"/>
      <c r="G12" s="482">
        <v>0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/>
      <c r="F13" s="286"/>
      <c r="G13" s="276">
        <v>1813092.0919999999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/>
      <c r="E14" s="323"/>
      <c r="F14" s="286"/>
      <c r="G14" s="276">
        <v>303529.7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/>
      <c r="E15" s="323"/>
      <c r="F15" s="286"/>
      <c r="G15" s="276">
        <v>12248.5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/>
      <c r="F16" s="295"/>
      <c r="G16" s="296">
        <v>6874.7709999999997</v>
      </c>
    </row>
    <row r="17" spans="1:7" s="299" customFormat="1">
      <c r="A17" s="261">
        <v>37</v>
      </c>
      <c r="B17" s="262"/>
      <c r="C17" s="263" t="s">
        <v>240</v>
      </c>
      <c r="D17" s="316"/>
      <c r="E17" s="264"/>
      <c r="F17" s="286"/>
      <c r="G17" s="298">
        <v>0</v>
      </c>
    </row>
    <row r="18" spans="1:7" s="299" customFormat="1">
      <c r="A18" s="322" t="s">
        <v>241</v>
      </c>
      <c r="B18" s="269"/>
      <c r="C18" s="270" t="s">
        <v>242</v>
      </c>
      <c r="D18" s="485"/>
      <c r="E18" s="323"/>
      <c r="F18" s="286"/>
      <c r="G18" s="298">
        <v>0</v>
      </c>
    </row>
    <row r="19" spans="1:7" s="299" customFormat="1">
      <c r="A19" s="322" t="s">
        <v>243</v>
      </c>
      <c r="B19" s="269"/>
      <c r="C19" s="270" t="s">
        <v>244</v>
      </c>
      <c r="D19" s="485"/>
      <c r="E19" s="323"/>
      <c r="F19" s="286"/>
      <c r="G19" s="298">
        <v>0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/>
      <c r="F20" s="307">
        <v>0</v>
      </c>
      <c r="G20" s="308">
        <v>211037.39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0</v>
      </c>
      <c r="F21" s="311">
        <f>F4+F5+SUM(F8:F13)+F17</f>
        <v>0</v>
      </c>
      <c r="G21" s="311">
        <f>G4+G5+SUM(G8:G13)+G17</f>
        <v>3557809.7350000003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/>
      <c r="F22" s="266"/>
      <c r="G22" s="276">
        <v>2366900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/>
      <c r="F23" s="266"/>
      <c r="G23" s="276">
        <v>151132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/>
      <c r="F24" s="266"/>
      <c r="G24" s="276">
        <v>34235.599999999999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/>
      <c r="F25" s="266"/>
      <c r="G25" s="276">
        <v>358379.79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/>
      <c r="F26" s="317"/>
      <c r="G26" s="298">
        <v>100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/>
      <c r="F27" s="317"/>
      <c r="G27" s="298">
        <v>0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/>
      <c r="F28" s="317"/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/>
      <c r="F29" s="317"/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0</v>
      </c>
      <c r="F30" s="264"/>
      <c r="G30" s="319">
        <v>0</v>
      </c>
    </row>
    <row r="31" spans="1:7" s="285" customFormat="1" ht="28">
      <c r="A31" s="278">
        <v>451</v>
      </c>
      <c r="B31" s="279"/>
      <c r="C31" s="280" t="s">
        <v>258</v>
      </c>
      <c r="D31" s="281"/>
      <c r="E31" s="281"/>
      <c r="F31" s="320"/>
      <c r="G31" s="558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/>
      <c r="F32" s="266"/>
      <c r="G32" s="276">
        <v>508151.41899999999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/>
      <c r="F33" s="266"/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/>
      <c r="F34" s="266"/>
      <c r="G34" s="276">
        <v>0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/>
      <c r="F35" s="307"/>
      <c r="G35" s="308">
        <v>211037.39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0</v>
      </c>
      <c r="F36" s="311">
        <f>F22+F23+F24+F25+F26+F27+F28+F29+F30+F31+F32+F34</f>
        <v>0</v>
      </c>
      <c r="G36" s="311">
        <f>G22+G23+G24+G25+G26+G27+G28+G29+G30+G31+G32+G34</f>
        <v>3418898.8090000004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0</v>
      </c>
      <c r="F37" s="311">
        <f>F36-F21</f>
        <v>0</v>
      </c>
      <c r="G37" s="311">
        <f>G36-G21</f>
        <v>-138910.92599999998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/>
      <c r="F38" s="286"/>
      <c r="G38" s="276">
        <v>77496.554000000004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/>
      <c r="F39" s="266"/>
      <c r="G39" s="276">
        <v>0.7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/>
      <c r="F40" s="266"/>
      <c r="G40" s="276">
        <v>2412.44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/>
      <c r="F41" s="266"/>
      <c r="G41" s="276">
        <v>63463.976000000002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/>
      <c r="F42" s="266"/>
      <c r="G42" s="276">
        <v>152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/>
      <c r="F43" s="266"/>
      <c r="G43" s="276">
        <v>1.127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/>
      <c r="F44" s="286"/>
      <c r="G44" s="276">
        <v>20293.234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/>
      <c r="F45" s="286"/>
      <c r="G45" s="276">
        <v>5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/>
      <c r="F46" s="266"/>
      <c r="G46" s="267">
        <v>5553.0159999999996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/>
      <c r="F47" s="286"/>
      <c r="G47" s="276">
        <v>148390.20800000001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/>
      <c r="F48" s="286"/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/>
      <c r="F49" s="286"/>
      <c r="G49" s="276">
        <v>23653.165000000001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/>
      <c r="F50" s="286"/>
      <c r="G50" s="276">
        <v>91165.433000000005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/>
      <c r="F51" s="286"/>
      <c r="G51" s="276">
        <v>1050.71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/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/>
      <c r="F53" s="286"/>
      <c r="G53" s="276">
        <v>60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88"/>
      <c r="E54" s="332"/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0</v>
      </c>
      <c r="F55" s="311">
        <f>SUM(F44:F53)-SUM(F38:F43)</f>
        <v>0</v>
      </c>
      <c r="G55" s="311">
        <f>SUM(G44:G53)-SUM(G38:G43)</f>
        <v>146643.96900000004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0</v>
      </c>
      <c r="F56" s="311">
        <f>F55+F37</f>
        <v>0</v>
      </c>
      <c r="G56" s="311">
        <f>G55+G37</f>
        <v>7733.0430000000633</v>
      </c>
    </row>
    <row r="57" spans="1:7" s="260" customFormat="1" ht="15.75" customHeight="1">
      <c r="A57" s="580">
        <v>380</v>
      </c>
      <c r="B57" s="581"/>
      <c r="C57" s="256" t="s">
        <v>284</v>
      </c>
      <c r="D57" s="481"/>
      <c r="E57" s="257">
        <v>0</v>
      </c>
      <c r="F57" s="258">
        <v>0</v>
      </c>
      <c r="G57" s="58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/>
      <c r="F58" s="341"/>
      <c r="G58" s="342"/>
    </row>
    <row r="59" spans="1:7" s="260" customFormat="1" ht="15.75" customHeight="1">
      <c r="A59" s="336">
        <v>383</v>
      </c>
      <c r="B59" s="337"/>
      <c r="C59" s="280" t="s">
        <v>286</v>
      </c>
      <c r="D59" s="340"/>
      <c r="E59" s="339"/>
      <c r="F59" s="341"/>
      <c r="G59" s="342"/>
    </row>
    <row r="60" spans="1:7" s="285" customFormat="1" ht="14">
      <c r="A60" s="278">
        <v>3840</v>
      </c>
      <c r="B60" s="279"/>
      <c r="C60" s="280" t="s">
        <v>287</v>
      </c>
      <c r="D60" s="344"/>
      <c r="E60" s="343">
        <v>0</v>
      </c>
      <c r="F60" s="345">
        <v>0</v>
      </c>
      <c r="G60" s="321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346"/>
      <c r="F61" s="508"/>
      <c r="G61" s="482"/>
    </row>
    <row r="62" spans="1:7" s="285" customFormat="1" ht="14">
      <c r="A62" s="278">
        <v>386</v>
      </c>
      <c r="B62" s="279"/>
      <c r="C62" s="351" t="s">
        <v>289</v>
      </c>
      <c r="D62" s="346"/>
      <c r="E62" s="346"/>
      <c r="F62" s="508"/>
      <c r="G62" s="482"/>
    </row>
    <row r="63" spans="1:7" s="285" customFormat="1" ht="28">
      <c r="A63" s="349">
        <v>387</v>
      </c>
      <c r="B63" s="350"/>
      <c r="C63" s="280" t="s">
        <v>290</v>
      </c>
      <c r="D63" s="346"/>
      <c r="E63" s="346"/>
      <c r="F63" s="508"/>
      <c r="G63" s="482"/>
    </row>
    <row r="64" spans="1:7" s="285" customFormat="1">
      <c r="A64" s="278">
        <v>389</v>
      </c>
      <c r="B64" s="279"/>
      <c r="C64" s="263" t="s">
        <v>57</v>
      </c>
      <c r="D64" s="346"/>
      <c r="E64" s="346">
        <v>0</v>
      </c>
      <c r="F64" s="508">
        <v>0</v>
      </c>
      <c r="G64" s="482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/>
      <c r="F65" s="266"/>
      <c r="G65" s="276"/>
    </row>
    <row r="66" spans="1:7" s="355" customFormat="1" ht="28">
      <c r="A66" s="492" t="s">
        <v>293</v>
      </c>
      <c r="B66" s="354"/>
      <c r="C66" s="280" t="s">
        <v>294</v>
      </c>
      <c r="D66" s="344"/>
      <c r="E66" s="344"/>
      <c r="F66" s="312"/>
      <c r="G66" s="321"/>
    </row>
    <row r="67" spans="1:7" s="260" customFormat="1">
      <c r="A67" s="353">
        <v>481</v>
      </c>
      <c r="B67" s="262"/>
      <c r="C67" s="263" t="s">
        <v>295</v>
      </c>
      <c r="D67" s="275"/>
      <c r="E67" s="275"/>
      <c r="F67" s="266"/>
      <c r="G67" s="276"/>
    </row>
    <row r="68" spans="1:7" s="260" customFormat="1">
      <c r="A68" s="353">
        <v>482</v>
      </c>
      <c r="B68" s="262"/>
      <c r="C68" s="263" t="s">
        <v>296</v>
      </c>
      <c r="D68" s="275"/>
      <c r="E68" s="275"/>
      <c r="F68" s="266"/>
      <c r="G68" s="276"/>
    </row>
    <row r="69" spans="1:7" s="260" customFormat="1">
      <c r="A69" s="353">
        <v>483</v>
      </c>
      <c r="B69" s="262"/>
      <c r="C69" s="263" t="s">
        <v>297</v>
      </c>
      <c r="D69" s="275"/>
      <c r="E69" s="275"/>
      <c r="F69" s="266"/>
      <c r="G69" s="276"/>
    </row>
    <row r="70" spans="1:7" s="260" customFormat="1">
      <c r="A70" s="353">
        <v>484</v>
      </c>
      <c r="B70" s="262"/>
      <c r="C70" s="263" t="s">
        <v>298</v>
      </c>
      <c r="D70" s="275"/>
      <c r="E70" s="275"/>
      <c r="F70" s="266"/>
      <c r="G70" s="276"/>
    </row>
    <row r="71" spans="1:7" s="260" customFormat="1">
      <c r="A71" s="353">
        <v>485</v>
      </c>
      <c r="B71" s="262"/>
      <c r="C71" s="263" t="s">
        <v>299</v>
      </c>
      <c r="D71" s="275"/>
      <c r="E71" s="275"/>
      <c r="F71" s="266"/>
      <c r="G71" s="276"/>
    </row>
    <row r="72" spans="1:7" s="260" customFormat="1">
      <c r="A72" s="353">
        <v>486</v>
      </c>
      <c r="B72" s="262"/>
      <c r="C72" s="263" t="s">
        <v>300</v>
      </c>
      <c r="D72" s="275"/>
      <c r="E72" s="275"/>
      <c r="F72" s="266"/>
      <c r="G72" s="276"/>
    </row>
    <row r="73" spans="1:7" s="285" customFormat="1">
      <c r="A73" s="353">
        <v>487</v>
      </c>
      <c r="B73" s="269"/>
      <c r="C73" s="263" t="s">
        <v>301</v>
      </c>
      <c r="D73" s="275"/>
      <c r="E73" s="264"/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/>
      <c r="F74" s="286">
        <v>0</v>
      </c>
      <c r="G74" s="276">
        <v>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/>
      <c r="F75" s="266"/>
      <c r="G75" s="276"/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0</v>
      </c>
      <c r="F77" s="311">
        <f>F56+F76</f>
        <v>0</v>
      </c>
      <c r="G77" s="311">
        <f>G56+G76</f>
        <v>7733.0430000000633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0</v>
      </c>
      <c r="F78" s="361">
        <f>F20+F21+SUM(F38:F43)+SUM(F57:F64)</f>
        <v>0</v>
      </c>
      <c r="G78" s="361">
        <f>G20+G21+SUM(G38:G43)+SUM(G57:G64)</f>
        <v>3912373.9220000003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0</v>
      </c>
      <c r="F79" s="361">
        <f>F35+F36+SUM(F44:F53)+SUM(F65:F74)</f>
        <v>0</v>
      </c>
      <c r="G79" s="361">
        <f>G35+G36+SUM(G44:G53)+SUM(G65:G74)</f>
        <v>3920106.9650000008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316"/>
      <c r="E82" s="275"/>
      <c r="F82" s="266"/>
      <c r="G82" s="276">
        <v>339127</v>
      </c>
    </row>
    <row r="83" spans="1:7" s="260" customFormat="1">
      <c r="A83" s="367">
        <v>51</v>
      </c>
      <c r="B83" s="368"/>
      <c r="C83" s="368" t="s">
        <v>310</v>
      </c>
      <c r="D83" s="316"/>
      <c r="E83" s="275"/>
      <c r="F83" s="266"/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316"/>
      <c r="E84" s="275"/>
      <c r="F84" s="266"/>
      <c r="G84" s="276">
        <v>160</v>
      </c>
    </row>
    <row r="85" spans="1:7" s="260" customFormat="1">
      <c r="A85" s="369">
        <v>54</v>
      </c>
      <c r="B85" s="370"/>
      <c r="C85" s="370" t="s">
        <v>312</v>
      </c>
      <c r="D85" s="316"/>
      <c r="E85" s="275"/>
      <c r="F85" s="266"/>
      <c r="G85" s="276">
        <v>46000</v>
      </c>
    </row>
    <row r="86" spans="1:7" s="260" customFormat="1">
      <c r="A86" s="369">
        <v>55</v>
      </c>
      <c r="B86" s="370"/>
      <c r="C86" s="370" t="s">
        <v>313</v>
      </c>
      <c r="D86" s="316"/>
      <c r="E86" s="275"/>
      <c r="F86" s="266">
        <v>0</v>
      </c>
      <c r="G86" s="276">
        <v>15900</v>
      </c>
    </row>
    <row r="87" spans="1:7" s="260" customFormat="1">
      <c r="A87" s="369">
        <v>56</v>
      </c>
      <c r="B87" s="370"/>
      <c r="C87" s="370" t="s">
        <v>314</v>
      </c>
      <c r="D87" s="316"/>
      <c r="E87" s="275"/>
      <c r="F87" s="266"/>
      <c r="G87" s="276">
        <v>0</v>
      </c>
    </row>
    <row r="88" spans="1:7" s="260" customFormat="1">
      <c r="A88" s="367">
        <v>57</v>
      </c>
      <c r="B88" s="368"/>
      <c r="C88" s="368" t="s">
        <v>315</v>
      </c>
      <c r="D88" s="316"/>
      <c r="E88" s="275"/>
      <c r="F88" s="266">
        <v>0</v>
      </c>
      <c r="G88" s="276">
        <v>0</v>
      </c>
    </row>
    <row r="89" spans="1:7" s="260" customFormat="1">
      <c r="A89" s="367">
        <v>580</v>
      </c>
      <c r="B89" s="368"/>
      <c r="C89" s="368" t="s">
        <v>316</v>
      </c>
      <c r="D89" s="275"/>
      <c r="E89" s="275"/>
      <c r="F89" s="266"/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/>
      <c r="F90" s="266"/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/>
      <c r="F91" s="266"/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/>
      <c r="F92" s="266"/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/>
      <c r="F93" s="266"/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/>
      <c r="F94" s="373"/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0</v>
      </c>
      <c r="F95" s="376">
        <f>SUM(F82:F94)</f>
        <v>0</v>
      </c>
      <c r="G95" s="376">
        <f>SUM(G82:G94)</f>
        <v>401187</v>
      </c>
    </row>
    <row r="96" spans="1:7" s="260" customFormat="1">
      <c r="A96" s="367">
        <v>60</v>
      </c>
      <c r="B96" s="368"/>
      <c r="C96" s="368" t="s">
        <v>323</v>
      </c>
      <c r="D96" s="316"/>
      <c r="E96" s="275"/>
      <c r="F96" s="266"/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316"/>
      <c r="E97" s="275"/>
      <c r="F97" s="266"/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316"/>
      <c r="E98" s="275"/>
      <c r="F98" s="266"/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/>
      <c r="F99" s="266"/>
      <c r="G99" s="276">
        <v>28250</v>
      </c>
    </row>
    <row r="100" spans="1:7" s="260" customFormat="1">
      <c r="A100" s="369">
        <v>64</v>
      </c>
      <c r="B100" s="370"/>
      <c r="C100" s="370" t="s">
        <v>327</v>
      </c>
      <c r="D100" s="485"/>
      <c r="E100" s="271"/>
      <c r="F100" s="266">
        <v>0</v>
      </c>
      <c r="G100" s="276">
        <v>0</v>
      </c>
    </row>
    <row r="101" spans="1:7" s="260" customFormat="1">
      <c r="A101" s="369">
        <v>65</v>
      </c>
      <c r="B101" s="370"/>
      <c r="C101" s="370" t="s">
        <v>328</v>
      </c>
      <c r="D101" s="485"/>
      <c r="E101" s="271"/>
      <c r="F101" s="266">
        <v>0</v>
      </c>
      <c r="G101" s="276">
        <v>0</v>
      </c>
    </row>
    <row r="102" spans="1:7" s="260" customFormat="1">
      <c r="A102" s="369">
        <v>66</v>
      </c>
      <c r="B102" s="370"/>
      <c r="C102" s="370" t="s">
        <v>329</v>
      </c>
      <c r="D102" s="485"/>
      <c r="E102" s="271"/>
      <c r="F102" s="266"/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64"/>
      <c r="F103" s="286">
        <v>0</v>
      </c>
      <c r="G103" s="267">
        <v>0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/>
      <c r="F104" s="286"/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/>
      <c r="F105" s="307"/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0</v>
      </c>
      <c r="F106" s="376">
        <f>SUM(F96:F105)</f>
        <v>0</v>
      </c>
      <c r="G106" s="376">
        <f>SUM(G96:G105)</f>
        <v>28250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0</v>
      </c>
      <c r="F107" s="376">
        <f>(F95-F88)-(F106-F103)</f>
        <v>0</v>
      </c>
      <c r="G107" s="376">
        <f>(G95-G88)-(G106-G103)</f>
        <v>372937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0</v>
      </c>
      <c r="F108" s="389">
        <f>F107-F85-F86+F100+F101</f>
        <v>0</v>
      </c>
      <c r="G108" s="389">
        <f>G107-G85-G86+G100+G101</f>
        <v>311037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0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0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/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/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/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/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0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/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/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/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0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/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/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/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/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/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/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0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0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0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/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/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271"/>
      <c r="F137" s="271"/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/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/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0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/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/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/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281"/>
      <c r="F144" s="281"/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/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/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0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441"/>
      <c r="C150" s="441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0</v>
      </c>
      <c r="F150" s="442">
        <f>F77+SUM(F8:F12)-F30-F31+F16-F33+F59+F63-F73+F64-F74-F54+F20-F35</f>
        <v>0</v>
      </c>
      <c r="G150" s="442">
        <f>G77+SUM(G8:G12)-G30-G31+G16-G33+G59+G63-G73+G64-G74-G54+G20-G35</f>
        <v>142770.56700000004</v>
      </c>
    </row>
    <row r="151" spans="1:7">
      <c r="A151" s="510" t="s">
        <v>387</v>
      </c>
      <c r="B151" s="444"/>
      <c r="C151" s="444" t="s">
        <v>388</v>
      </c>
      <c r="D151" s="445">
        <f>IF(D177=0,0,D150/D177)</f>
        <v>0</v>
      </c>
      <c r="E151" s="445">
        <f>IF(E177=0,0,E150/E177)</f>
        <v>0</v>
      </c>
      <c r="F151" s="445">
        <f>IF(F177=0,0,F150/F177)</f>
        <v>0</v>
      </c>
      <c r="G151" s="445">
        <f>IF(G177=0,0,G150/G177)</f>
        <v>3.849228603375552E-2</v>
      </c>
    </row>
    <row r="152" spans="1:7" s="449" customFormat="1" ht="28">
      <c r="A152" s="511" t="s">
        <v>389</v>
      </c>
      <c r="B152" s="447"/>
      <c r="C152" s="447" t="s">
        <v>390</v>
      </c>
      <c r="D152" s="448">
        <f t="shared" ref="D152:G153" si="0">IF(IF(D107=0,0,D$150/D107)&lt;0,"negativ",(IF(D107=0,0,D$150/D107)))</f>
        <v>0</v>
      </c>
      <c r="E152" s="448">
        <f t="shared" si="0"/>
        <v>0</v>
      </c>
      <c r="F152" s="448">
        <f t="shared" si="0"/>
        <v>0</v>
      </c>
      <c r="G152" s="448">
        <f t="shared" si="0"/>
        <v>0.38282757409428414</v>
      </c>
    </row>
    <row r="153" spans="1:7" s="449" customFormat="1" ht="28">
      <c r="A153" s="512" t="s">
        <v>389</v>
      </c>
      <c r="B153" s="451"/>
      <c r="C153" s="451" t="s">
        <v>391</v>
      </c>
      <c r="D153" s="452">
        <f t="shared" si="0"/>
        <v>0</v>
      </c>
      <c r="E153" s="452">
        <f t="shared" si="0"/>
        <v>0</v>
      </c>
      <c r="F153" s="452">
        <f t="shared" si="0"/>
        <v>0</v>
      </c>
      <c r="G153" s="452">
        <f t="shared" si="0"/>
        <v>0.45901473779646806</v>
      </c>
    </row>
    <row r="154" spans="1:7" ht="28">
      <c r="A154" s="513" t="s">
        <v>392</v>
      </c>
      <c r="B154" s="454"/>
      <c r="C154" s="454" t="s">
        <v>393</v>
      </c>
      <c r="D154" s="455">
        <f>D150-D107</f>
        <v>0</v>
      </c>
      <c r="E154" s="455">
        <f>E150-E107</f>
        <v>0</v>
      </c>
      <c r="F154" s="455">
        <f>F150-F107</f>
        <v>0</v>
      </c>
      <c r="G154" s="455">
        <f>G150-G107</f>
        <v>-230166.43299999996</v>
      </c>
    </row>
    <row r="155" spans="1:7" ht="28">
      <c r="A155" s="512" t="s">
        <v>394</v>
      </c>
      <c r="B155" s="451"/>
      <c r="C155" s="451" t="s">
        <v>395</v>
      </c>
      <c r="D155" s="456">
        <f>D150-D108</f>
        <v>0</v>
      </c>
      <c r="E155" s="456">
        <f>E150-E108</f>
        <v>0</v>
      </c>
      <c r="F155" s="456">
        <f>F150-F108</f>
        <v>0</v>
      </c>
      <c r="G155" s="456">
        <f>G150-G108</f>
        <v>-168266.43299999996</v>
      </c>
    </row>
    <row r="156" spans="1:7">
      <c r="A156" s="516" t="s">
        <v>396</v>
      </c>
      <c r="B156" s="441"/>
      <c r="C156" s="441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0</v>
      </c>
      <c r="G156" s="457">
        <f>G135+G136-G137+G141-G142</f>
        <v>0</v>
      </c>
    </row>
    <row r="157" spans="1:7">
      <c r="A157" s="518" t="s">
        <v>398</v>
      </c>
      <c r="B157" s="459"/>
      <c r="C157" s="459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</v>
      </c>
      <c r="G157" s="460">
        <f>IF(G177=0,0,G156/G177)</f>
        <v>0</v>
      </c>
    </row>
    <row r="158" spans="1:7">
      <c r="A158" s="516" t="s">
        <v>400</v>
      </c>
      <c r="B158" s="441"/>
      <c r="C158" s="441" t="s">
        <v>401</v>
      </c>
      <c r="D158" s="457">
        <f>D133-D142-D111</f>
        <v>0</v>
      </c>
      <c r="E158" s="457">
        <f>E133-E142-E111</f>
        <v>0</v>
      </c>
      <c r="F158" s="457">
        <f>F133-F142-F111</f>
        <v>0</v>
      </c>
      <c r="G158" s="457">
        <f>G133-G142-G111</f>
        <v>0</v>
      </c>
    </row>
    <row r="159" spans="1:7">
      <c r="A159" s="517" t="s">
        <v>402</v>
      </c>
      <c r="B159" s="444"/>
      <c r="C159" s="444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0</v>
      </c>
      <c r="G159" s="461">
        <f>G121-G123-G124-G142-G145</f>
        <v>0</v>
      </c>
    </row>
    <row r="160" spans="1:7">
      <c r="A160" s="517" t="s">
        <v>404</v>
      </c>
      <c r="B160" s="444"/>
      <c r="C160" s="444" t="s">
        <v>405</v>
      </c>
      <c r="D160" s="462" t="str">
        <f>IF(D175=0,"-",1000*D158/D175)</f>
        <v>-</v>
      </c>
      <c r="E160" s="462" t="str">
        <f>IF(E175=0,"-",1000*E158/E175)</f>
        <v>-</v>
      </c>
      <c r="F160" s="462" t="str">
        <f>IF(F175=0,"-",1000*F158/F175)</f>
        <v>-</v>
      </c>
      <c r="G160" s="462">
        <f>IF(G175=0,"-",1000*G158/G175)</f>
        <v>0</v>
      </c>
    </row>
    <row r="161" spans="1:7">
      <c r="A161" s="517" t="s">
        <v>404</v>
      </c>
      <c r="B161" s="444"/>
      <c r="C161" s="444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0</v>
      </c>
      <c r="G161" s="461">
        <f>IF(G175=0,0,1000*(G159/G175))</f>
        <v>0</v>
      </c>
    </row>
    <row r="162" spans="1:7">
      <c r="A162" s="518" t="s">
        <v>407</v>
      </c>
      <c r="B162" s="459"/>
      <c r="C162" s="459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</v>
      </c>
      <c r="G162" s="460">
        <f>IF((G22+G23+G65+G66)=0,0,G158/(G22+G23+G65+G66))</f>
        <v>0</v>
      </c>
    </row>
    <row r="163" spans="1:7">
      <c r="A163" s="517" t="s">
        <v>409</v>
      </c>
      <c r="B163" s="444"/>
      <c r="C163" s="444" t="s">
        <v>380</v>
      </c>
      <c r="D163" s="442">
        <f>D145</f>
        <v>0</v>
      </c>
      <c r="E163" s="442">
        <f>E145</f>
        <v>0</v>
      </c>
      <c r="F163" s="442">
        <f>F145</f>
        <v>0</v>
      </c>
      <c r="G163" s="442">
        <f>G145</f>
        <v>0</v>
      </c>
    </row>
    <row r="164" spans="1:7" ht="28">
      <c r="A164" s="512" t="s">
        <v>411</v>
      </c>
      <c r="B164" s="463"/>
      <c r="C164" s="463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</v>
      </c>
      <c r="G164" s="452">
        <f>IF(G178=0,0,G146/G178)</f>
        <v>0</v>
      </c>
    </row>
    <row r="165" spans="1:7">
      <c r="A165" s="519" t="s">
        <v>413</v>
      </c>
      <c r="B165" s="464"/>
      <c r="C165" s="464" t="s">
        <v>414</v>
      </c>
      <c r="D165" s="465">
        <f>IF(D177=0,0,D180/D177)</f>
        <v>0</v>
      </c>
      <c r="E165" s="465">
        <f>IF(E177=0,0,E180/E177)</f>
        <v>0</v>
      </c>
      <c r="F165" s="465">
        <f>IF(F177=0,0,F180/F177)</f>
        <v>0</v>
      </c>
      <c r="G165" s="465">
        <f>IF(G177=0,0,G180/G177)</f>
        <v>5.1829937431141337E-2</v>
      </c>
    </row>
    <row r="166" spans="1:7">
      <c r="A166" s="517" t="s">
        <v>415</v>
      </c>
      <c r="B166" s="444"/>
      <c r="C166" s="444" t="s">
        <v>282</v>
      </c>
      <c r="D166" s="442">
        <f>D55</f>
        <v>0</v>
      </c>
      <c r="E166" s="442">
        <f>E55</f>
        <v>0</v>
      </c>
      <c r="F166" s="442">
        <f>F55</f>
        <v>0</v>
      </c>
      <c r="G166" s="442">
        <f>G55</f>
        <v>146643.96900000004</v>
      </c>
    </row>
    <row r="167" spans="1:7">
      <c r="A167" s="518" t="s">
        <v>416</v>
      </c>
      <c r="B167" s="459"/>
      <c r="C167" s="459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0</v>
      </c>
      <c r="G167" s="460">
        <f>IF(0=G111,0,(G44+G45+G46+G47+G48)/G111)</f>
        <v>0</v>
      </c>
    </row>
    <row r="168" spans="1:7">
      <c r="A168" s="517" t="s">
        <v>418</v>
      </c>
      <c r="B168" s="441"/>
      <c r="C168" s="441" t="s">
        <v>419</v>
      </c>
      <c r="D168" s="442">
        <f>D38-D44</f>
        <v>0</v>
      </c>
      <c r="E168" s="442">
        <f>E38-E44</f>
        <v>0</v>
      </c>
      <c r="F168" s="442">
        <f>F38-F44</f>
        <v>0</v>
      </c>
      <c r="G168" s="442">
        <f>G38-G44</f>
        <v>57203.320000000007</v>
      </c>
    </row>
    <row r="169" spans="1:7">
      <c r="A169" s="518" t="s">
        <v>420</v>
      </c>
      <c r="B169" s="459"/>
      <c r="C169" s="459" t="s">
        <v>421</v>
      </c>
      <c r="D169" s="445">
        <f>IF(D177=0,0,D168/D177)</f>
        <v>0</v>
      </c>
      <c r="E169" s="445">
        <f>IF(E177=0,0,E168/E177)</f>
        <v>0</v>
      </c>
      <c r="F169" s="445">
        <f>IF(F177=0,0,F168/F177)</f>
        <v>0</v>
      </c>
      <c r="G169" s="445">
        <f>IF(G177=0,0,G168/G177)</f>
        <v>1.542255243351697E-2</v>
      </c>
    </row>
    <row r="170" spans="1:7">
      <c r="A170" s="517" t="s">
        <v>422</v>
      </c>
      <c r="B170" s="444"/>
      <c r="C170" s="444" t="s">
        <v>423</v>
      </c>
      <c r="D170" s="442">
        <f>SUM(D82:D87)+SUM(D89:D94)</f>
        <v>0</v>
      </c>
      <c r="E170" s="442">
        <f>SUM(E82:E87)+SUM(E89:E94)</f>
        <v>0</v>
      </c>
      <c r="F170" s="442">
        <f>SUM(F82:F87)+SUM(F89:F94)</f>
        <v>0</v>
      </c>
      <c r="G170" s="442">
        <f>SUM(G82:G87)+SUM(G89:G94)</f>
        <v>401187</v>
      </c>
    </row>
    <row r="171" spans="1:7">
      <c r="A171" s="517" t="s">
        <v>424</v>
      </c>
      <c r="B171" s="444"/>
      <c r="C171" s="444" t="s">
        <v>425</v>
      </c>
      <c r="D171" s="461">
        <f>SUM(D96:D102)+SUM(D104:D105)</f>
        <v>0</v>
      </c>
      <c r="E171" s="461">
        <f>SUM(E96:E102)+SUM(E104:E105)</f>
        <v>0</v>
      </c>
      <c r="F171" s="461">
        <f>SUM(F96:F102)+SUM(F104:F105)</f>
        <v>0</v>
      </c>
      <c r="G171" s="461">
        <f>SUM(G96:G102)+SUM(G104:G105)</f>
        <v>28250</v>
      </c>
    </row>
    <row r="172" spans="1:7">
      <c r="A172" s="519" t="s">
        <v>413</v>
      </c>
      <c r="B172" s="464"/>
      <c r="C172" s="464" t="s">
        <v>426</v>
      </c>
      <c r="D172" s="465">
        <f>IF(D184=0,0,D170/D184)</f>
        <v>0</v>
      </c>
      <c r="E172" s="465">
        <f>IF(E184=0,0,E170/E184)</f>
        <v>0</v>
      </c>
      <c r="F172" s="465">
        <f>IF(F184=0,0,F170/F184)</f>
        <v>0</v>
      </c>
      <c r="G172" s="465">
        <f>IF(G184=0,0,G170/G184)</f>
        <v>0.10112256724314601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0"/>
      <c r="E175" s="470"/>
      <c r="F175" s="472"/>
      <c r="G175" s="472">
        <v>192560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0</v>
      </c>
      <c r="F177" s="472">
        <f>SUM(F22:F32)+SUM(F44:F53)+SUM(F65:F72)+F75</f>
        <v>0</v>
      </c>
      <c r="G177" s="472">
        <f>SUM(G22:G32)+SUM(G44:G53)+SUM(G65:G72)+G75</f>
        <v>3709069.5750000002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0</v>
      </c>
      <c r="F178" s="472">
        <f>F78-F17-F20-F59-F63-F64</f>
        <v>0</v>
      </c>
      <c r="G178" s="472">
        <f>G78-G17-G20-G59-G63-G64</f>
        <v>3701336.5320000001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0</v>
      </c>
      <c r="F179" s="472">
        <f>F178+F170</f>
        <v>0</v>
      </c>
      <c r="G179" s="472">
        <f>G178+G170</f>
        <v>4102523.5320000001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0</v>
      </c>
      <c r="F180" s="472">
        <f>F38-F44+F8+F9+F10+F16-F33</f>
        <v>0</v>
      </c>
      <c r="G180" s="472">
        <f>G38-G44+G8+G9+G10+G16-G33</f>
        <v>192240.84400000001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0</v>
      </c>
      <c r="F181" s="475">
        <f>F22+F23+F24+F25+F26+F29+SUM(F44:F47)+SUM(F49:F53)-F54+F32-F33+SUM(F65:F70)+F72</f>
        <v>0</v>
      </c>
      <c r="G181" s="475">
        <f>G22+G23+G24+G25+G26+G29+SUM(G44:G47)+SUM(G49:G53)-G54+G32-G33+SUM(G65:G70)+G72</f>
        <v>3709069.5750000002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0</v>
      </c>
      <c r="F182" s="475">
        <f>F181+F171</f>
        <v>0</v>
      </c>
      <c r="G182" s="475">
        <f>G181+G171</f>
        <v>3737319.5750000002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0</v>
      </c>
      <c r="F183" s="475">
        <f>F4+F5-F7+F38+F39+F40+F41+F43+F13-F16+F57+F58+F60+F61+F62</f>
        <v>0</v>
      </c>
      <c r="G183" s="475">
        <f>G4+G5-G7+G38+G39+G40+G41+G43+G13-G16+G57+G58+G60+G61+G62</f>
        <v>3566147.0079999999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0</v>
      </c>
      <c r="F184" s="475">
        <f>F183+F170</f>
        <v>0</v>
      </c>
      <c r="G184" s="475">
        <f>G183+G170</f>
        <v>3967334.0079999999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0</v>
      </c>
      <c r="F185" s="475">
        <f t="shared" si="1"/>
        <v>0</v>
      </c>
      <c r="G185" s="475">
        <f t="shared" si="1"/>
        <v>142922.56700000027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0</v>
      </c>
      <c r="F186" s="475">
        <f t="shared" si="1"/>
        <v>0</v>
      </c>
      <c r="G186" s="475">
        <f t="shared" si="1"/>
        <v>-230014.43299999973</v>
      </c>
    </row>
    <row r="188" spans="1:7">
      <c r="A188" s="596" t="s">
        <v>675</v>
      </c>
      <c r="B188" s="597"/>
      <c r="C188" s="597"/>
    </row>
    <row r="189" spans="1:7">
      <c r="A189" s="328" t="s">
        <v>676</v>
      </c>
      <c r="B189" s="328"/>
      <c r="C189" s="328"/>
    </row>
  </sheetData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5.1640625" style="252" customWidth="1"/>
    <col min="2" max="2" width="3.6640625" style="252" customWidth="1"/>
    <col min="3" max="3" width="39.1640625" style="252" customWidth="1"/>
    <col min="4" max="4" width="12.6640625" style="252" customWidth="1"/>
    <col min="5" max="5" width="11.5" style="252"/>
    <col min="6" max="6" width="12.6640625" style="252" customWidth="1"/>
    <col min="7" max="7" width="11.5" style="252"/>
    <col min="8" max="8" width="8.5" style="252" bestFit="1" customWidth="1"/>
    <col min="9" max="16384" width="11.5" style="252"/>
  </cols>
  <sheetData>
    <row r="1" spans="1:55" s="243" customFormat="1" ht="18" customHeight="1">
      <c r="A1" s="476" t="s">
        <v>220</v>
      </c>
      <c r="B1" s="476" t="s">
        <v>677</v>
      </c>
      <c r="C1" s="476" t="s">
        <v>678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>
        <v>1047746.1</v>
      </c>
      <c r="E4" s="257">
        <v>638694.69999999995</v>
      </c>
      <c r="F4" s="257">
        <v>633135.5</v>
      </c>
      <c r="G4" s="583">
        <v>641853.9</v>
      </c>
    </row>
    <row r="5" spans="1:55" s="260" customFormat="1" ht="12.75" customHeight="1">
      <c r="A5" s="261">
        <v>31</v>
      </c>
      <c r="B5" s="262"/>
      <c r="C5" s="263" t="s">
        <v>224</v>
      </c>
      <c r="D5" s="264">
        <v>407193.4</v>
      </c>
      <c r="E5" s="264">
        <v>260648.3</v>
      </c>
      <c r="F5" s="275">
        <v>236174.2</v>
      </c>
      <c r="G5" s="319">
        <v>254949.7</v>
      </c>
    </row>
    <row r="6" spans="1:55" s="260" customFormat="1" ht="12.75" customHeight="1">
      <c r="A6" s="268" t="s">
        <v>32</v>
      </c>
      <c r="B6" s="269"/>
      <c r="C6" s="270" t="s">
        <v>225</v>
      </c>
      <c r="D6" s="271">
        <v>36379</v>
      </c>
      <c r="E6" s="271">
        <v>29873.3</v>
      </c>
      <c r="F6" s="271">
        <v>25720.400000000001</v>
      </c>
      <c r="G6" s="401">
        <v>29870.5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>
        <v>23891</v>
      </c>
      <c r="E7" s="271">
        <v>26962</v>
      </c>
      <c r="F7" s="271">
        <v>24774</v>
      </c>
      <c r="G7" s="401">
        <v>25531.200000000001</v>
      </c>
    </row>
    <row r="8" spans="1:55" s="260" customFormat="1" ht="12.75" customHeight="1">
      <c r="A8" s="274">
        <v>330</v>
      </c>
      <c r="B8" s="262"/>
      <c r="C8" s="263" t="s">
        <v>228</v>
      </c>
      <c r="D8" s="275">
        <v>73237.7</v>
      </c>
      <c r="E8" s="275">
        <v>69090.100000000006</v>
      </c>
      <c r="F8" s="275">
        <v>59893.8</v>
      </c>
      <c r="G8" s="277">
        <v>63388.800000000003</v>
      </c>
    </row>
    <row r="9" spans="1:55" s="260" customFormat="1" ht="12.75" customHeight="1">
      <c r="A9" s="274">
        <v>332</v>
      </c>
      <c r="B9" s="262"/>
      <c r="C9" s="263" t="s">
        <v>229</v>
      </c>
      <c r="D9" s="275">
        <v>0</v>
      </c>
      <c r="E9" s="275">
        <v>0</v>
      </c>
      <c r="F9" s="275">
        <v>0</v>
      </c>
      <c r="G9" s="277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75">
        <v>0</v>
      </c>
      <c r="G10" s="277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24023.9</v>
      </c>
      <c r="E11" s="275">
        <v>1880</v>
      </c>
      <c r="F11" s="275">
        <v>23463.5</v>
      </c>
      <c r="G11" s="277">
        <v>23234</v>
      </c>
    </row>
    <row r="12" spans="1:55" s="285" customFormat="1" ht="14">
      <c r="A12" s="278">
        <v>351</v>
      </c>
      <c r="B12" s="279"/>
      <c r="C12" s="280" t="s">
        <v>232</v>
      </c>
      <c r="D12" s="346">
        <v>268.5</v>
      </c>
      <c r="E12" s="282">
        <v>20230</v>
      </c>
      <c r="F12" s="282">
        <v>0</v>
      </c>
      <c r="G12" s="584">
        <v>56.5</v>
      </c>
    </row>
    <row r="13" spans="1:55" s="260" customFormat="1" ht="12.75" customHeight="1">
      <c r="A13" s="261">
        <v>36</v>
      </c>
      <c r="B13" s="262"/>
      <c r="C13" s="263" t="s">
        <v>233</v>
      </c>
      <c r="D13" s="275">
        <v>1167975.3999999999</v>
      </c>
      <c r="E13" s="264">
        <v>1407236.4</v>
      </c>
      <c r="F13" s="271">
        <v>1393313</v>
      </c>
      <c r="G13" s="401">
        <v>1391278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>
        <v>79123.100000000006</v>
      </c>
      <c r="E14" s="323">
        <v>237610</v>
      </c>
      <c r="F14" s="271">
        <v>232136</v>
      </c>
      <c r="G14" s="401">
        <v>251894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>
        <v>83409.899999999994</v>
      </c>
      <c r="E15" s="323">
        <v>92104</v>
      </c>
      <c r="F15" s="271">
        <v>147766</v>
      </c>
      <c r="G15" s="401">
        <v>171732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>
        <v>61058.6</v>
      </c>
      <c r="E16" s="294">
        <v>60600</v>
      </c>
      <c r="F16" s="293">
        <v>54478</v>
      </c>
      <c r="G16" s="585">
        <v>0</v>
      </c>
    </row>
    <row r="17" spans="1:8" s="299" customFormat="1">
      <c r="A17" s="261">
        <v>37</v>
      </c>
      <c r="B17" s="262"/>
      <c r="C17" s="263" t="s">
        <v>240</v>
      </c>
      <c r="D17" s="316">
        <v>92134.8</v>
      </c>
      <c r="E17" s="264">
        <v>87611.9</v>
      </c>
      <c r="F17" s="316">
        <v>92390.5</v>
      </c>
      <c r="G17" s="586">
        <v>91091.948000000004</v>
      </c>
      <c r="H17" s="260"/>
    </row>
    <row r="18" spans="1:8" s="299" customFormat="1">
      <c r="A18" s="322" t="s">
        <v>241</v>
      </c>
      <c r="B18" s="269"/>
      <c r="C18" s="270" t="s">
        <v>242</v>
      </c>
      <c r="D18" s="485">
        <v>376.1</v>
      </c>
      <c r="E18" s="323">
        <v>782.6</v>
      </c>
      <c r="F18" s="485">
        <v>637</v>
      </c>
      <c r="G18" s="587">
        <v>817.6</v>
      </c>
      <c r="H18" s="318"/>
    </row>
    <row r="19" spans="1:8" s="299" customFormat="1">
      <c r="A19" s="322" t="s">
        <v>243</v>
      </c>
      <c r="B19" s="269"/>
      <c r="C19" s="270" t="s">
        <v>244</v>
      </c>
      <c r="D19" s="485">
        <v>56156.4</v>
      </c>
      <c r="E19" s="323">
        <v>55750</v>
      </c>
      <c r="F19" s="485">
        <v>55538</v>
      </c>
      <c r="G19" s="587">
        <v>55668</v>
      </c>
      <c r="H19" s="318"/>
    </row>
    <row r="20" spans="1:8" s="260" customFormat="1" ht="12.75" customHeight="1">
      <c r="A20" s="301">
        <v>39</v>
      </c>
      <c r="B20" s="302"/>
      <c r="C20" s="303" t="s">
        <v>245</v>
      </c>
      <c r="D20" s="306">
        <v>15672.5</v>
      </c>
      <c r="E20" s="304">
        <v>276</v>
      </c>
      <c r="F20" s="306">
        <v>175.9</v>
      </c>
      <c r="G20" s="588">
        <v>174.6</v>
      </c>
    </row>
    <row r="21" spans="1:8" ht="12.75" customHeight="1">
      <c r="A21" s="309"/>
      <c r="B21" s="309"/>
      <c r="C21" s="310" t="s">
        <v>246</v>
      </c>
      <c r="D21" s="311">
        <f>D4+D5+SUM(D8:D13)+D17</f>
        <v>2812579.8</v>
      </c>
      <c r="E21" s="311">
        <f>E4+E5+SUM(E8:E13)+E17</f>
        <v>2485391.4</v>
      </c>
      <c r="F21" s="311">
        <f>F4+F5+SUM(F8:F13)+F17</f>
        <v>2438370.5</v>
      </c>
      <c r="G21" s="311">
        <f>G4+G5+SUM(G8:G13)+G17</f>
        <v>2465852.8480000002</v>
      </c>
    </row>
    <row r="22" spans="1:8" s="260" customFormat="1" ht="12.75" customHeight="1">
      <c r="A22" s="274" t="s">
        <v>247</v>
      </c>
      <c r="B22" s="262"/>
      <c r="C22" s="263" t="s">
        <v>248</v>
      </c>
      <c r="D22" s="275">
        <v>1332319.2</v>
      </c>
      <c r="E22" s="275">
        <v>1315760</v>
      </c>
      <c r="F22" s="275">
        <v>1371859.5</v>
      </c>
      <c r="G22" s="277">
        <v>1386985</v>
      </c>
    </row>
    <row r="23" spans="1:8" s="260" customFormat="1" ht="12.75" customHeight="1">
      <c r="A23" s="274" t="s">
        <v>249</v>
      </c>
      <c r="B23" s="262"/>
      <c r="C23" s="263" t="s">
        <v>250</v>
      </c>
      <c r="D23" s="275">
        <v>182005.3</v>
      </c>
      <c r="E23" s="275">
        <v>188400</v>
      </c>
      <c r="F23" s="275">
        <v>187404.4</v>
      </c>
      <c r="G23" s="277">
        <v>190400</v>
      </c>
    </row>
    <row r="24" spans="1:8" s="313" customFormat="1" ht="12.75" customHeight="1">
      <c r="A24" s="261">
        <v>41</v>
      </c>
      <c r="B24" s="262"/>
      <c r="C24" s="263" t="s">
        <v>251</v>
      </c>
      <c r="D24" s="275">
        <v>65525.3</v>
      </c>
      <c r="E24" s="275">
        <v>30569.9</v>
      </c>
      <c r="F24" s="275">
        <v>30735.8</v>
      </c>
      <c r="G24" s="277">
        <v>30643.282999999999</v>
      </c>
      <c r="H24" s="260"/>
    </row>
    <row r="25" spans="1:8" s="260" customFormat="1" ht="12.75" customHeight="1">
      <c r="A25" s="314">
        <v>42</v>
      </c>
      <c r="B25" s="315"/>
      <c r="C25" s="263" t="s">
        <v>252</v>
      </c>
      <c r="D25" s="275">
        <v>456341.5</v>
      </c>
      <c r="E25" s="275">
        <v>153044.4</v>
      </c>
      <c r="F25" s="275">
        <v>142207.4</v>
      </c>
      <c r="G25" s="277">
        <v>153971.39799999999</v>
      </c>
    </row>
    <row r="26" spans="1:8" s="318" customFormat="1" ht="12.75" customHeight="1">
      <c r="A26" s="278">
        <v>430</v>
      </c>
      <c r="B26" s="262"/>
      <c r="C26" s="263" t="s">
        <v>253</v>
      </c>
      <c r="D26" s="275">
        <v>43881.1</v>
      </c>
      <c r="E26" s="316">
        <v>1580.9</v>
      </c>
      <c r="F26" s="316">
        <v>1875.2</v>
      </c>
      <c r="G26" s="586">
        <v>1361.3</v>
      </c>
      <c r="H26" s="260"/>
    </row>
    <row r="27" spans="1:8" s="318" customFormat="1" ht="12.75" customHeight="1">
      <c r="A27" s="278">
        <v>431</v>
      </c>
      <c r="B27" s="262"/>
      <c r="C27" s="263" t="s">
        <v>254</v>
      </c>
      <c r="D27" s="275">
        <v>0</v>
      </c>
      <c r="E27" s="316">
        <v>0</v>
      </c>
      <c r="F27" s="316">
        <v>0</v>
      </c>
      <c r="G27" s="586">
        <v>0</v>
      </c>
      <c r="H27" s="260"/>
    </row>
    <row r="28" spans="1:8" s="318" customFormat="1" ht="12.75" customHeight="1">
      <c r="A28" s="278">
        <v>432</v>
      </c>
      <c r="B28" s="262"/>
      <c r="C28" s="263" t="s">
        <v>255</v>
      </c>
      <c r="D28" s="275">
        <v>0</v>
      </c>
      <c r="E28" s="316">
        <v>0</v>
      </c>
      <c r="F28" s="316">
        <v>0</v>
      </c>
      <c r="G28" s="586">
        <v>0</v>
      </c>
      <c r="H28" s="260"/>
    </row>
    <row r="29" spans="1:8" s="318" customFormat="1" ht="12.75" customHeight="1">
      <c r="A29" s="278">
        <v>439</v>
      </c>
      <c r="B29" s="262"/>
      <c r="C29" s="263" t="s">
        <v>256</v>
      </c>
      <c r="D29" s="275">
        <v>289.7</v>
      </c>
      <c r="E29" s="316">
        <v>146.5</v>
      </c>
      <c r="F29" s="316">
        <v>76.7</v>
      </c>
      <c r="G29" s="586">
        <v>198.5</v>
      </c>
      <c r="H29" s="260"/>
    </row>
    <row r="30" spans="1:8" s="260" customFormat="1" ht="28">
      <c r="A30" s="278">
        <v>450</v>
      </c>
      <c r="B30" s="279"/>
      <c r="C30" s="280" t="s">
        <v>257</v>
      </c>
      <c r="D30" s="264">
        <v>1709.9</v>
      </c>
      <c r="E30" s="264">
        <v>851.91</v>
      </c>
      <c r="F30" s="264">
        <v>1636.2</v>
      </c>
      <c r="G30" s="319">
        <v>2271.9</v>
      </c>
    </row>
    <row r="31" spans="1:8" s="285" customFormat="1" ht="28">
      <c r="A31" s="278">
        <v>451</v>
      </c>
      <c r="B31" s="279"/>
      <c r="C31" s="280" t="s">
        <v>258</v>
      </c>
      <c r="D31" s="281">
        <v>16668.099999999999</v>
      </c>
      <c r="E31" s="281">
        <v>19056.490000000002</v>
      </c>
      <c r="F31" s="281">
        <v>0.5</v>
      </c>
      <c r="G31" s="496">
        <v>69951.58</v>
      </c>
    </row>
    <row r="32" spans="1:8" s="260" customFormat="1" ht="12.75" customHeight="1">
      <c r="A32" s="261">
        <v>46</v>
      </c>
      <c r="B32" s="262"/>
      <c r="C32" s="263" t="s">
        <v>259</v>
      </c>
      <c r="D32" s="275">
        <v>455875.1</v>
      </c>
      <c r="E32" s="275">
        <v>456279</v>
      </c>
      <c r="F32" s="275">
        <v>450409.9</v>
      </c>
      <c r="G32" s="277">
        <v>446409</v>
      </c>
    </row>
    <row r="33" spans="1:8" s="285" customFormat="1" ht="12.75" customHeight="1">
      <c r="A33" s="322" t="s">
        <v>260</v>
      </c>
      <c r="B33" s="269"/>
      <c r="C33" s="270" t="s">
        <v>261</v>
      </c>
      <c r="D33" s="271">
        <v>0</v>
      </c>
      <c r="E33" s="275">
        <v>0</v>
      </c>
      <c r="F33" s="271">
        <v>0</v>
      </c>
      <c r="G33" s="401">
        <v>0</v>
      </c>
      <c r="H33" s="562"/>
    </row>
    <row r="34" spans="1:8" s="260" customFormat="1" ht="15" customHeight="1">
      <c r="A34" s="261">
        <v>47</v>
      </c>
      <c r="B34" s="262"/>
      <c r="C34" s="263" t="s">
        <v>240</v>
      </c>
      <c r="D34" s="275">
        <v>92134.8</v>
      </c>
      <c r="E34" s="275">
        <v>87611.9</v>
      </c>
      <c r="F34" s="275">
        <v>92390.5</v>
      </c>
      <c r="G34" s="277">
        <v>91091.948000000004</v>
      </c>
    </row>
    <row r="35" spans="1:8" s="260" customFormat="1" ht="15" customHeight="1">
      <c r="A35" s="301">
        <v>49</v>
      </c>
      <c r="B35" s="302"/>
      <c r="C35" s="303" t="s">
        <v>262</v>
      </c>
      <c r="D35" s="306">
        <v>15681.8</v>
      </c>
      <c r="E35" s="304">
        <v>276</v>
      </c>
      <c r="F35" s="306">
        <v>175.8</v>
      </c>
      <c r="G35" s="588">
        <v>174.67400000000001</v>
      </c>
    </row>
    <row r="36" spans="1:8" ht="13.5" customHeight="1">
      <c r="A36" s="309"/>
      <c r="B36" s="335"/>
      <c r="C36" s="310" t="s">
        <v>263</v>
      </c>
      <c r="D36" s="311">
        <f>D22+D23+D24+D25+D26+D27+D28+D29+D30+D31+D32+D34</f>
        <v>2646750</v>
      </c>
      <c r="E36" s="311">
        <f>E22+E23+E24+E25+E26+E27+E28+E29+E30+E31+E32+E34</f>
        <v>2253300.9999999995</v>
      </c>
      <c r="F36" s="311">
        <f>F22+F23+F24+F25+F26+F27+F28+F29+F30+F31+F32+F34</f>
        <v>2278596.0999999996</v>
      </c>
      <c r="G36" s="311">
        <f>G22+G23+G24+G25+G26+G27+G28+G29+G30+G31+G32+G34</f>
        <v>2373283.909</v>
      </c>
    </row>
    <row r="37" spans="1:8" s="487" customFormat="1" ht="15" customHeight="1">
      <c r="A37" s="309"/>
      <c r="B37" s="335"/>
      <c r="C37" s="310" t="s">
        <v>264</v>
      </c>
      <c r="D37" s="311">
        <f>D36-D21</f>
        <v>-165829.79999999981</v>
      </c>
      <c r="E37" s="311">
        <f>E36-E21</f>
        <v>-232090.40000000037</v>
      </c>
      <c r="F37" s="311">
        <f>F36-F21</f>
        <v>-159774.40000000037</v>
      </c>
      <c r="G37" s="311">
        <f>G36-G21</f>
        <v>-92568.939000000246</v>
      </c>
    </row>
    <row r="38" spans="1:8" s="285" customFormat="1" ht="15" customHeight="1">
      <c r="A38" s="274">
        <v>340</v>
      </c>
      <c r="B38" s="262"/>
      <c r="C38" s="263" t="s">
        <v>265</v>
      </c>
      <c r="D38" s="316">
        <v>29669.7</v>
      </c>
      <c r="E38" s="264">
        <v>29344.5</v>
      </c>
      <c r="F38" s="275">
        <v>29589.599999999999</v>
      </c>
      <c r="G38" s="277">
        <v>28724.6</v>
      </c>
      <c r="H38" s="562"/>
    </row>
    <row r="39" spans="1:8" s="285" customFormat="1" ht="15" customHeight="1">
      <c r="A39" s="274">
        <v>341</v>
      </c>
      <c r="B39" s="262"/>
      <c r="C39" s="263" t="s">
        <v>266</v>
      </c>
      <c r="D39" s="316">
        <v>417.5</v>
      </c>
      <c r="E39" s="275">
        <v>70.3</v>
      </c>
      <c r="F39" s="275">
        <v>172</v>
      </c>
      <c r="G39" s="277">
        <v>70.3</v>
      </c>
      <c r="H39" s="562"/>
    </row>
    <row r="40" spans="1:8" s="285" customFormat="1" ht="15" customHeight="1">
      <c r="A40" s="274">
        <v>342</v>
      </c>
      <c r="B40" s="262"/>
      <c r="C40" s="263" t="s">
        <v>267</v>
      </c>
      <c r="D40" s="316">
        <v>5320</v>
      </c>
      <c r="E40" s="275">
        <v>763.8</v>
      </c>
      <c r="F40" s="275">
        <v>797.9</v>
      </c>
      <c r="G40" s="277">
        <v>1966.7</v>
      </c>
      <c r="H40" s="562"/>
    </row>
    <row r="41" spans="1:8" s="285" customFormat="1" ht="15" customHeight="1">
      <c r="A41" s="274">
        <v>343</v>
      </c>
      <c r="B41" s="262"/>
      <c r="C41" s="263" t="s">
        <v>268</v>
      </c>
      <c r="D41" s="316">
        <v>887.1</v>
      </c>
      <c r="E41" s="275">
        <v>730.2</v>
      </c>
      <c r="F41" s="275">
        <v>754.1</v>
      </c>
      <c r="G41" s="277">
        <v>781.9</v>
      </c>
      <c r="H41" s="562"/>
    </row>
    <row r="42" spans="1:8" s="285" customFormat="1" ht="15" customHeight="1">
      <c r="A42" s="274">
        <v>344</v>
      </c>
      <c r="B42" s="262"/>
      <c r="C42" s="263" t="s">
        <v>269</v>
      </c>
      <c r="D42" s="316">
        <v>464.1</v>
      </c>
      <c r="E42" s="275">
        <v>0</v>
      </c>
      <c r="F42" s="275">
        <v>1555.2</v>
      </c>
      <c r="G42" s="277">
        <v>0</v>
      </c>
      <c r="H42" s="562"/>
    </row>
    <row r="43" spans="1:8" s="285" customFormat="1" ht="15" customHeight="1">
      <c r="A43" s="274">
        <v>349</v>
      </c>
      <c r="B43" s="262"/>
      <c r="C43" s="263" t="s">
        <v>270</v>
      </c>
      <c r="D43" s="316">
        <v>2447.8000000000002</v>
      </c>
      <c r="E43" s="275">
        <v>1800</v>
      </c>
      <c r="F43" s="275">
        <v>-91.4</v>
      </c>
      <c r="G43" s="277">
        <v>2000</v>
      </c>
      <c r="H43" s="562"/>
    </row>
    <row r="44" spans="1:8" s="260" customFormat="1" ht="15" customHeight="1">
      <c r="A44" s="261">
        <v>440</v>
      </c>
      <c r="B44" s="262"/>
      <c r="C44" s="263" t="s">
        <v>271</v>
      </c>
      <c r="D44" s="316">
        <v>22256.9</v>
      </c>
      <c r="E44" s="264">
        <v>24170.1</v>
      </c>
      <c r="F44" s="275">
        <v>18590.3</v>
      </c>
      <c r="G44" s="277">
        <v>21079.289000000001</v>
      </c>
    </row>
    <row r="45" spans="1:8" s="260" customFormat="1" ht="15" customHeight="1">
      <c r="A45" s="261">
        <v>441</v>
      </c>
      <c r="B45" s="262"/>
      <c r="C45" s="263" t="s">
        <v>272</v>
      </c>
      <c r="D45" s="316">
        <v>11368.5</v>
      </c>
      <c r="E45" s="264">
        <v>1000</v>
      </c>
      <c r="F45" s="275">
        <v>916.3</v>
      </c>
      <c r="G45" s="277">
        <v>1000</v>
      </c>
    </row>
    <row r="46" spans="1:8" s="260" customFormat="1" ht="15" customHeight="1">
      <c r="A46" s="261">
        <v>442</v>
      </c>
      <c r="B46" s="262"/>
      <c r="C46" s="263" t="s">
        <v>273</v>
      </c>
      <c r="D46" s="316">
        <v>4.4000000000000004</v>
      </c>
      <c r="E46" s="264">
        <v>3</v>
      </c>
      <c r="F46" s="275">
        <v>4.3</v>
      </c>
      <c r="G46" s="277">
        <v>4</v>
      </c>
    </row>
    <row r="47" spans="1:8" s="260" customFormat="1" ht="15" customHeight="1">
      <c r="A47" s="261">
        <v>443</v>
      </c>
      <c r="B47" s="262"/>
      <c r="C47" s="263" t="s">
        <v>274</v>
      </c>
      <c r="D47" s="316">
        <v>9951.1</v>
      </c>
      <c r="E47" s="264">
        <v>8960</v>
      </c>
      <c r="F47" s="275">
        <v>24865.9</v>
      </c>
      <c r="G47" s="277">
        <v>9530</v>
      </c>
    </row>
    <row r="48" spans="1:8" s="260" customFormat="1" ht="15" customHeight="1">
      <c r="A48" s="261">
        <v>444</v>
      </c>
      <c r="B48" s="262"/>
      <c r="C48" s="263" t="s">
        <v>269</v>
      </c>
      <c r="D48" s="316">
        <v>80</v>
      </c>
      <c r="E48" s="264">
        <v>0</v>
      </c>
      <c r="F48" s="275">
        <v>96.4</v>
      </c>
      <c r="G48" s="277">
        <v>0</v>
      </c>
    </row>
    <row r="49" spans="1:8" s="260" customFormat="1" ht="15" customHeight="1">
      <c r="A49" s="261">
        <v>445</v>
      </c>
      <c r="B49" s="262"/>
      <c r="C49" s="263" t="s">
        <v>275</v>
      </c>
      <c r="D49" s="316">
        <v>1500.7</v>
      </c>
      <c r="E49" s="264">
        <v>1595</v>
      </c>
      <c r="F49" s="275">
        <v>4075.9</v>
      </c>
      <c r="G49" s="277">
        <v>1310</v>
      </c>
    </row>
    <row r="50" spans="1:8" s="260" customFormat="1" ht="15" customHeight="1">
      <c r="A50" s="261">
        <v>446</v>
      </c>
      <c r="B50" s="262"/>
      <c r="C50" s="263" t="s">
        <v>276</v>
      </c>
      <c r="D50" s="316">
        <v>48346.7</v>
      </c>
      <c r="E50" s="264">
        <v>55120</v>
      </c>
      <c r="F50" s="275">
        <v>52330.3</v>
      </c>
      <c r="G50" s="277">
        <v>55320</v>
      </c>
    </row>
    <row r="51" spans="1:8" s="260" customFormat="1" ht="15" customHeight="1">
      <c r="A51" s="261">
        <v>447</v>
      </c>
      <c r="B51" s="262"/>
      <c r="C51" s="263" t="s">
        <v>277</v>
      </c>
      <c r="D51" s="316">
        <v>15028.8</v>
      </c>
      <c r="E51" s="264">
        <v>18230.900000000001</v>
      </c>
      <c r="F51" s="275">
        <v>17290.7</v>
      </c>
      <c r="G51" s="277">
        <v>13112.1</v>
      </c>
    </row>
    <row r="52" spans="1:8" s="260" customFormat="1" ht="15" customHeight="1">
      <c r="A52" s="261">
        <v>448</v>
      </c>
      <c r="B52" s="262"/>
      <c r="C52" s="263" t="s">
        <v>278</v>
      </c>
      <c r="D52" s="316">
        <v>0</v>
      </c>
      <c r="E52" s="264">
        <v>0</v>
      </c>
      <c r="F52" s="275">
        <v>0</v>
      </c>
      <c r="G52" s="277">
        <v>0</v>
      </c>
    </row>
    <row r="53" spans="1:8" s="260" customFormat="1" ht="15" customHeight="1">
      <c r="A53" s="261">
        <v>449</v>
      </c>
      <c r="B53" s="262"/>
      <c r="C53" s="263" t="s">
        <v>279</v>
      </c>
      <c r="D53" s="316">
        <v>1.8</v>
      </c>
      <c r="E53" s="264">
        <v>0</v>
      </c>
      <c r="F53" s="275">
        <v>32629.599999999999</v>
      </c>
      <c r="G53" s="277">
        <v>0</v>
      </c>
    </row>
    <row r="54" spans="1:8" s="285" customFormat="1" ht="13.5" customHeight="1">
      <c r="A54" s="329" t="s">
        <v>280</v>
      </c>
      <c r="B54" s="330"/>
      <c r="C54" s="330" t="s">
        <v>281</v>
      </c>
      <c r="D54" s="488">
        <v>0</v>
      </c>
      <c r="E54" s="332">
        <v>0</v>
      </c>
      <c r="F54" s="332">
        <v>32630</v>
      </c>
      <c r="G54" s="436">
        <v>0</v>
      </c>
    </row>
    <row r="55" spans="1:8" ht="15" customHeight="1">
      <c r="A55" s="335"/>
      <c r="B55" s="335"/>
      <c r="C55" s="310" t="s">
        <v>282</v>
      </c>
      <c r="D55" s="311">
        <f>SUM(D44:D53)-SUM(D38:D43)</f>
        <v>69332.7</v>
      </c>
      <c r="E55" s="311">
        <f>SUM(E44:E53)-SUM(E38:E43)</f>
        <v>76370.2</v>
      </c>
      <c r="F55" s="311">
        <f>SUM(F44:F53)-SUM(F38:F43)</f>
        <v>118022.30000000002</v>
      </c>
      <c r="G55" s="311">
        <f>SUM(G44:G53)-SUM(G38:G43)</f>
        <v>67811.88900000001</v>
      </c>
    </row>
    <row r="56" spans="1:8" ht="14.25" customHeight="1">
      <c r="A56" s="335"/>
      <c r="B56" s="335"/>
      <c r="C56" s="310" t="s">
        <v>283</v>
      </c>
      <c r="D56" s="311">
        <f>D55+D37</f>
        <v>-96497.099999999817</v>
      </c>
      <c r="E56" s="311">
        <f>E55+E37</f>
        <v>-155720.20000000036</v>
      </c>
      <c r="F56" s="311">
        <f>F55+F37</f>
        <v>-41752.100000000355</v>
      </c>
      <c r="G56" s="311">
        <f>G55+G37</f>
        <v>-24757.050000000236</v>
      </c>
    </row>
    <row r="57" spans="1:8" s="260" customFormat="1" ht="15.75" customHeight="1">
      <c r="A57" s="336">
        <v>380</v>
      </c>
      <c r="B57" s="337"/>
      <c r="C57" s="338" t="s">
        <v>284</v>
      </c>
      <c r="D57" s="340">
        <v>2012.0170000000001</v>
      </c>
      <c r="E57" s="339">
        <v>0</v>
      </c>
      <c r="F57" s="340">
        <v>111000</v>
      </c>
      <c r="G57" s="342">
        <v>0</v>
      </c>
    </row>
    <row r="58" spans="1:8" s="260" customFormat="1" ht="15.75" customHeight="1">
      <c r="A58" s="336">
        <v>381</v>
      </c>
      <c r="B58" s="337"/>
      <c r="C58" s="338" t="s">
        <v>285</v>
      </c>
      <c r="D58" s="340">
        <v>0</v>
      </c>
      <c r="E58" s="339">
        <v>0</v>
      </c>
      <c r="F58" s="340">
        <v>0</v>
      </c>
      <c r="G58" s="342">
        <v>0</v>
      </c>
    </row>
    <row r="59" spans="1:8" s="285" customFormat="1" ht="28">
      <c r="A59" s="336">
        <v>383</v>
      </c>
      <c r="B59" s="279"/>
      <c r="C59" s="280" t="s">
        <v>286</v>
      </c>
      <c r="D59" s="344">
        <v>0</v>
      </c>
      <c r="E59" s="343">
        <v>0</v>
      </c>
      <c r="F59" s="344">
        <v>0</v>
      </c>
      <c r="G59" s="321">
        <v>0</v>
      </c>
      <c r="H59" s="562"/>
    </row>
    <row r="60" spans="1:8" s="285" customFormat="1" ht="14">
      <c r="A60" s="278">
        <v>3840</v>
      </c>
      <c r="B60" s="279"/>
      <c r="C60" s="280" t="s">
        <v>287</v>
      </c>
      <c r="D60" s="346">
        <v>0</v>
      </c>
      <c r="E60" s="346">
        <v>0</v>
      </c>
      <c r="F60" s="346">
        <v>0</v>
      </c>
      <c r="G60" s="482">
        <v>0</v>
      </c>
      <c r="H60" s="562"/>
    </row>
    <row r="61" spans="1:8" s="285" customFormat="1" ht="14">
      <c r="A61" s="278">
        <v>3841</v>
      </c>
      <c r="B61" s="279"/>
      <c r="C61" s="280" t="s">
        <v>288</v>
      </c>
      <c r="D61" s="346">
        <v>0</v>
      </c>
      <c r="E61" s="346">
        <v>0</v>
      </c>
      <c r="F61" s="346">
        <v>0</v>
      </c>
      <c r="G61" s="482">
        <v>0</v>
      </c>
      <c r="H61" s="562"/>
    </row>
    <row r="62" spans="1:8" s="285" customFormat="1" ht="14">
      <c r="A62" s="278">
        <v>386</v>
      </c>
      <c r="B62" s="350"/>
      <c r="C62" s="351" t="s">
        <v>289</v>
      </c>
      <c r="D62" s="346">
        <v>0</v>
      </c>
      <c r="E62" s="346">
        <v>0</v>
      </c>
      <c r="F62" s="346">
        <v>0</v>
      </c>
      <c r="G62" s="482">
        <v>0</v>
      </c>
      <c r="H62" s="562"/>
    </row>
    <row r="63" spans="1:8" s="285" customFormat="1" ht="28">
      <c r="A63" s="349">
        <v>387</v>
      </c>
      <c r="B63" s="279"/>
      <c r="C63" s="280" t="s">
        <v>290</v>
      </c>
      <c r="D63" s="346">
        <v>0</v>
      </c>
      <c r="E63" s="346">
        <v>0</v>
      </c>
      <c r="F63" s="346">
        <v>0</v>
      </c>
      <c r="G63" s="482">
        <v>0</v>
      </c>
      <c r="H63" s="562"/>
    </row>
    <row r="64" spans="1:8" s="285" customFormat="1">
      <c r="A64" s="278">
        <v>389</v>
      </c>
      <c r="B64" s="533"/>
      <c r="C64" s="270" t="s">
        <v>57</v>
      </c>
      <c r="D64" s="271">
        <v>2085.4</v>
      </c>
      <c r="E64" s="271">
        <v>0</v>
      </c>
      <c r="F64" s="271">
        <v>0</v>
      </c>
      <c r="G64" s="273">
        <v>0</v>
      </c>
      <c r="H64" s="562"/>
    </row>
    <row r="65" spans="1:8" s="260" customFormat="1">
      <c r="A65" s="559" t="s">
        <v>291</v>
      </c>
      <c r="B65" s="262"/>
      <c r="C65" s="263" t="s">
        <v>292</v>
      </c>
      <c r="D65" s="275">
        <v>0</v>
      </c>
      <c r="E65" s="275">
        <v>0</v>
      </c>
      <c r="F65" s="275">
        <v>0</v>
      </c>
      <c r="G65" s="276">
        <v>0</v>
      </c>
    </row>
    <row r="66" spans="1:8" s="355" customFormat="1" ht="28">
      <c r="A66" s="559" t="s">
        <v>293</v>
      </c>
      <c r="B66" s="354"/>
      <c r="C66" s="280" t="s">
        <v>294</v>
      </c>
      <c r="D66" s="344">
        <v>0</v>
      </c>
      <c r="E66" s="344">
        <v>0</v>
      </c>
      <c r="F66" s="344">
        <v>0</v>
      </c>
      <c r="G66" s="321">
        <v>0</v>
      </c>
    </row>
    <row r="67" spans="1:8" s="260" customFormat="1">
      <c r="A67" s="353">
        <v>481</v>
      </c>
      <c r="B67" s="262"/>
      <c r="C67" s="263" t="s">
        <v>295</v>
      </c>
      <c r="D67" s="275">
        <v>0</v>
      </c>
      <c r="E67" s="275">
        <v>0</v>
      </c>
      <c r="F67" s="275">
        <v>0</v>
      </c>
      <c r="G67" s="276">
        <v>0</v>
      </c>
    </row>
    <row r="68" spans="1:8" s="260" customFormat="1">
      <c r="A68" s="353">
        <v>482</v>
      </c>
      <c r="B68" s="262"/>
      <c r="C68" s="263" t="s">
        <v>296</v>
      </c>
      <c r="D68" s="275">
        <v>0</v>
      </c>
      <c r="E68" s="275"/>
      <c r="F68" s="275">
        <v>0</v>
      </c>
      <c r="G68" s="276">
        <v>0</v>
      </c>
    </row>
    <row r="69" spans="1:8" s="260" customFormat="1">
      <c r="A69" s="353">
        <v>483</v>
      </c>
      <c r="B69" s="262"/>
      <c r="C69" s="263" t="s">
        <v>297</v>
      </c>
      <c r="D69" s="275">
        <v>17780</v>
      </c>
      <c r="E69" s="275">
        <v>0</v>
      </c>
      <c r="F69" s="275">
        <v>0</v>
      </c>
      <c r="G69" s="276">
        <v>0</v>
      </c>
    </row>
    <row r="70" spans="1:8" s="260" customFormat="1">
      <c r="A70" s="353">
        <v>484</v>
      </c>
      <c r="B70" s="262"/>
      <c r="C70" s="263" t="s">
        <v>298</v>
      </c>
      <c r="D70" s="275">
        <v>0</v>
      </c>
      <c r="E70" s="275"/>
      <c r="F70" s="275">
        <v>0</v>
      </c>
      <c r="G70" s="276">
        <v>0</v>
      </c>
    </row>
    <row r="71" spans="1:8" s="260" customFormat="1">
      <c r="A71" s="353">
        <v>485</v>
      </c>
      <c r="B71" s="262"/>
      <c r="C71" s="263" t="s">
        <v>299</v>
      </c>
      <c r="D71" s="275">
        <v>0</v>
      </c>
      <c r="E71" s="275">
        <v>0</v>
      </c>
      <c r="F71" s="275">
        <v>0</v>
      </c>
      <c r="G71" s="276">
        <v>0</v>
      </c>
    </row>
    <row r="72" spans="1:8" s="260" customFormat="1">
      <c r="A72" s="353">
        <v>486</v>
      </c>
      <c r="B72" s="262"/>
      <c r="C72" s="263" t="s">
        <v>300</v>
      </c>
      <c r="D72" s="275">
        <v>0</v>
      </c>
      <c r="E72" s="275">
        <v>0</v>
      </c>
      <c r="F72" s="275">
        <v>0</v>
      </c>
      <c r="G72" s="276">
        <v>0</v>
      </c>
    </row>
    <row r="73" spans="1:8" s="285" customFormat="1">
      <c r="A73" s="353">
        <v>487</v>
      </c>
      <c r="B73" s="269"/>
      <c r="C73" s="263" t="s">
        <v>301</v>
      </c>
      <c r="D73" s="264">
        <v>0</v>
      </c>
      <c r="E73" s="264">
        <v>0</v>
      </c>
      <c r="F73" s="275">
        <v>0</v>
      </c>
      <c r="G73" s="276">
        <v>0</v>
      </c>
    </row>
    <row r="74" spans="1:8" s="285" customFormat="1">
      <c r="A74" s="353">
        <v>489</v>
      </c>
      <c r="B74" s="356"/>
      <c r="C74" s="303" t="s">
        <v>74</v>
      </c>
      <c r="D74" s="264">
        <v>63897.3</v>
      </c>
      <c r="E74" s="264">
        <v>127000</v>
      </c>
      <c r="F74" s="275">
        <v>120499.2</v>
      </c>
      <c r="G74" s="276">
        <v>0</v>
      </c>
      <c r="H74" s="562"/>
    </row>
    <row r="75" spans="1:8" s="285" customFormat="1">
      <c r="A75" s="357" t="s">
        <v>302</v>
      </c>
      <c r="B75" s="356"/>
      <c r="C75" s="330" t="s">
        <v>303</v>
      </c>
      <c r="D75" s="275">
        <v>0</v>
      </c>
      <c r="E75" s="275">
        <v>0</v>
      </c>
      <c r="F75" s="275">
        <v>0</v>
      </c>
      <c r="G75" s="276">
        <v>0</v>
      </c>
      <c r="H75" s="562"/>
    </row>
    <row r="76" spans="1:8">
      <c r="A76" s="309"/>
      <c r="B76" s="309"/>
      <c r="C76" s="310" t="s">
        <v>304</v>
      </c>
      <c r="D76" s="311">
        <f>SUM(D65:D74)-SUM(D57:D64)</f>
        <v>77579.883000000002</v>
      </c>
      <c r="E76" s="311">
        <f>SUM(E65:E74)-SUM(E57:E64)</f>
        <v>127000</v>
      </c>
      <c r="F76" s="311">
        <f>SUM(F65:F74)-SUM(F57:F64)</f>
        <v>9499.1999999999971</v>
      </c>
      <c r="G76" s="311">
        <f>SUM(G65:G74)-SUM(G57:G64)</f>
        <v>0</v>
      </c>
    </row>
    <row r="77" spans="1:8">
      <c r="A77" s="358"/>
      <c r="B77" s="358"/>
      <c r="C77" s="310" t="s">
        <v>305</v>
      </c>
      <c r="D77" s="311">
        <f>D56+D76</f>
        <v>-18917.216999999815</v>
      </c>
      <c r="E77" s="311">
        <f>E56+E76</f>
        <v>-28720.200000000361</v>
      </c>
      <c r="F77" s="311">
        <f>F56+F76</f>
        <v>-32252.900000000358</v>
      </c>
      <c r="G77" s="311">
        <f>G56+G76</f>
        <v>-24757.050000000236</v>
      </c>
    </row>
    <row r="78" spans="1:8">
      <c r="A78" s="359">
        <v>3</v>
      </c>
      <c r="B78" s="359"/>
      <c r="C78" s="360" t="s">
        <v>306</v>
      </c>
      <c r="D78" s="361">
        <f>D20+D21+SUM(D38:D43)+SUM(D57:D64)</f>
        <v>2871555.9169999999</v>
      </c>
      <c r="E78" s="361">
        <f>E20+E21+SUM(E38:E43)+SUM(E57:E64)</f>
        <v>2518376.1999999997</v>
      </c>
      <c r="F78" s="361">
        <f>F20+F21+SUM(F38:F43)+SUM(F57:F64)</f>
        <v>2582323.7999999998</v>
      </c>
      <c r="G78" s="361">
        <f>G20+G21+SUM(G38:G43)+SUM(G57:G64)</f>
        <v>2499570.9480000003</v>
      </c>
    </row>
    <row r="79" spans="1:8">
      <c r="A79" s="359">
        <v>4</v>
      </c>
      <c r="B79" s="359"/>
      <c r="C79" s="360" t="s">
        <v>307</v>
      </c>
      <c r="D79" s="361">
        <f>D35+D36+SUM(D44:D53)+SUM(D65:D74)</f>
        <v>2852647.9999999995</v>
      </c>
      <c r="E79" s="361">
        <f>E35+E36+SUM(E44:E53)+SUM(E65:E74)</f>
        <v>2489655.9999999995</v>
      </c>
      <c r="F79" s="361">
        <f>F35+F36+SUM(F44:F53)+SUM(F65:F74)</f>
        <v>2550070.7999999998</v>
      </c>
      <c r="G79" s="361">
        <f>G35+G36+SUM(G44:G53)+SUM(G65:G74)</f>
        <v>2474813.9720000001</v>
      </c>
    </row>
    <row r="80" spans="1:8">
      <c r="A80" s="362"/>
      <c r="B80" s="362"/>
      <c r="C80" s="363"/>
      <c r="D80" s="364"/>
      <c r="E80" s="364"/>
      <c r="F80" s="364"/>
      <c r="G80" s="364"/>
    </row>
    <row r="81" spans="1:8">
      <c r="A81" s="611" t="s">
        <v>308</v>
      </c>
      <c r="B81" s="612"/>
      <c r="C81" s="612"/>
      <c r="D81" s="366"/>
      <c r="E81" s="365"/>
      <c r="F81" s="366"/>
      <c r="G81" s="365"/>
    </row>
    <row r="82" spans="1:8" s="260" customFormat="1">
      <c r="A82" s="367">
        <v>50</v>
      </c>
      <c r="B82" s="368"/>
      <c r="C82" s="368" t="s">
        <v>309</v>
      </c>
      <c r="D82" s="316">
        <v>409680.2</v>
      </c>
      <c r="E82" s="275">
        <v>240850</v>
      </c>
      <c r="F82" s="275">
        <v>186363</v>
      </c>
      <c r="G82" s="276">
        <v>234630</v>
      </c>
    </row>
    <row r="83" spans="1:8" s="260" customFormat="1">
      <c r="A83" s="367">
        <v>51</v>
      </c>
      <c r="B83" s="368"/>
      <c r="C83" s="368" t="s">
        <v>310</v>
      </c>
      <c r="D83" s="316">
        <v>0</v>
      </c>
      <c r="E83" s="275">
        <v>0</v>
      </c>
      <c r="F83" s="275">
        <v>0</v>
      </c>
      <c r="G83" s="276">
        <v>0</v>
      </c>
    </row>
    <row r="84" spans="1:8" s="260" customFormat="1">
      <c r="A84" s="367">
        <v>52</v>
      </c>
      <c r="B84" s="368"/>
      <c r="C84" s="368" t="s">
        <v>311</v>
      </c>
      <c r="D84" s="316">
        <v>0</v>
      </c>
      <c r="E84" s="275">
        <v>0</v>
      </c>
      <c r="F84" s="275">
        <v>0</v>
      </c>
      <c r="G84" s="276">
        <v>0</v>
      </c>
    </row>
    <row r="85" spans="1:8" s="260" customFormat="1">
      <c r="A85" s="369">
        <v>54</v>
      </c>
      <c r="B85" s="370"/>
      <c r="C85" s="370" t="s">
        <v>312</v>
      </c>
      <c r="D85" s="316">
        <v>6140</v>
      </c>
      <c r="E85" s="275">
        <v>5300</v>
      </c>
      <c r="F85" s="271">
        <v>3690</v>
      </c>
      <c r="G85" s="276">
        <v>38000</v>
      </c>
      <c r="H85" s="569"/>
    </row>
    <row r="86" spans="1:8" s="260" customFormat="1">
      <c r="A86" s="369">
        <v>55</v>
      </c>
      <c r="B86" s="370"/>
      <c r="C86" s="370" t="s">
        <v>313</v>
      </c>
      <c r="D86" s="316">
        <v>3638.5</v>
      </c>
      <c r="E86" s="275">
        <v>0</v>
      </c>
      <c r="F86" s="271">
        <v>0</v>
      </c>
      <c r="G86" s="276">
        <v>11000</v>
      </c>
      <c r="H86" s="569"/>
    </row>
    <row r="87" spans="1:8" s="260" customFormat="1">
      <c r="A87" s="369">
        <v>56</v>
      </c>
      <c r="B87" s="370"/>
      <c r="C87" s="370" t="s">
        <v>314</v>
      </c>
      <c r="D87" s="316">
        <v>0</v>
      </c>
      <c r="E87" s="275">
        <v>0</v>
      </c>
      <c r="F87" s="271">
        <v>0</v>
      </c>
      <c r="G87" s="276">
        <v>77750.399999999994</v>
      </c>
      <c r="H87" s="569"/>
    </row>
    <row r="88" spans="1:8" s="260" customFormat="1">
      <c r="A88" s="367">
        <v>57</v>
      </c>
      <c r="B88" s="368"/>
      <c r="C88" s="368" t="s">
        <v>315</v>
      </c>
      <c r="D88" s="316">
        <v>0</v>
      </c>
      <c r="E88" s="275">
        <v>0</v>
      </c>
      <c r="F88" s="275">
        <v>0</v>
      </c>
      <c r="G88" s="276"/>
    </row>
    <row r="89" spans="1:8" s="260" customFormat="1">
      <c r="A89" s="367">
        <v>580</v>
      </c>
      <c r="B89" s="368"/>
      <c r="C89" s="368" t="s">
        <v>316</v>
      </c>
      <c r="D89" s="275">
        <v>0</v>
      </c>
      <c r="E89" s="275">
        <v>0</v>
      </c>
      <c r="F89" s="275">
        <v>0</v>
      </c>
      <c r="G89" s="276">
        <v>0</v>
      </c>
    </row>
    <row r="90" spans="1:8" s="260" customFormat="1">
      <c r="A90" s="367">
        <v>582</v>
      </c>
      <c r="B90" s="368"/>
      <c r="C90" s="368" t="s">
        <v>317</v>
      </c>
      <c r="D90" s="275">
        <v>0</v>
      </c>
      <c r="E90" s="275">
        <v>0</v>
      </c>
      <c r="F90" s="275">
        <v>0</v>
      </c>
      <c r="G90" s="276">
        <v>0</v>
      </c>
    </row>
    <row r="91" spans="1:8" s="260" customFormat="1">
      <c r="A91" s="367">
        <v>584</v>
      </c>
      <c r="B91" s="368"/>
      <c r="C91" s="368" t="s">
        <v>318</v>
      </c>
      <c r="D91" s="275">
        <v>0</v>
      </c>
      <c r="E91" s="275">
        <v>0</v>
      </c>
      <c r="F91" s="275">
        <v>0</v>
      </c>
      <c r="G91" s="276">
        <v>0</v>
      </c>
    </row>
    <row r="92" spans="1:8" s="260" customFormat="1">
      <c r="A92" s="367">
        <v>585</v>
      </c>
      <c r="B92" s="368"/>
      <c r="C92" s="368" t="s">
        <v>319</v>
      </c>
      <c r="D92" s="275">
        <v>0</v>
      </c>
      <c r="E92" s="275">
        <v>0</v>
      </c>
      <c r="F92" s="275">
        <v>0</v>
      </c>
      <c r="G92" s="276">
        <v>0</v>
      </c>
    </row>
    <row r="93" spans="1:8" s="260" customFormat="1">
      <c r="A93" s="367">
        <v>586</v>
      </c>
      <c r="B93" s="368"/>
      <c r="C93" s="368" t="s">
        <v>320</v>
      </c>
      <c r="D93" s="275">
        <v>0</v>
      </c>
      <c r="E93" s="275">
        <v>0</v>
      </c>
      <c r="F93" s="275">
        <v>0</v>
      </c>
      <c r="G93" s="276">
        <v>0</v>
      </c>
    </row>
    <row r="94" spans="1:8" s="260" customFormat="1">
      <c r="A94" s="371">
        <v>589</v>
      </c>
      <c r="B94" s="372"/>
      <c r="C94" s="372" t="s">
        <v>321</v>
      </c>
      <c r="D94" s="306">
        <v>0</v>
      </c>
      <c r="E94" s="306">
        <v>0</v>
      </c>
      <c r="F94" s="306">
        <v>0</v>
      </c>
      <c r="G94" s="308">
        <v>0</v>
      </c>
    </row>
    <row r="95" spans="1:8">
      <c r="A95" s="374">
        <v>5</v>
      </c>
      <c r="B95" s="375"/>
      <c r="C95" s="375" t="s">
        <v>322</v>
      </c>
      <c r="D95" s="376">
        <f>SUM(D82:D94)</f>
        <v>419458.7</v>
      </c>
      <c r="E95" s="376">
        <f>SUM(E82:E94)</f>
        <v>246150</v>
      </c>
      <c r="F95" s="376">
        <f>SUM(F82:F94)</f>
        <v>190053</v>
      </c>
      <c r="G95" s="376">
        <f>SUM(G82:G94)</f>
        <v>361380.4</v>
      </c>
    </row>
    <row r="96" spans="1:8" s="260" customFormat="1">
      <c r="A96" s="367">
        <v>60</v>
      </c>
      <c r="B96" s="368"/>
      <c r="C96" s="368" t="s">
        <v>323</v>
      </c>
      <c r="D96" s="316">
        <v>0</v>
      </c>
      <c r="E96" s="275">
        <v>0</v>
      </c>
      <c r="F96" s="275">
        <v>0</v>
      </c>
      <c r="G96" s="276">
        <v>0</v>
      </c>
    </row>
    <row r="97" spans="1:8" s="260" customFormat="1">
      <c r="A97" s="367">
        <v>61</v>
      </c>
      <c r="B97" s="368"/>
      <c r="C97" s="368" t="s">
        <v>324</v>
      </c>
      <c r="D97" s="316">
        <v>0</v>
      </c>
      <c r="E97" s="275">
        <v>0</v>
      </c>
      <c r="F97" s="275">
        <v>0</v>
      </c>
      <c r="G97" s="276">
        <v>0</v>
      </c>
    </row>
    <row r="98" spans="1:8" s="260" customFormat="1">
      <c r="A98" s="367">
        <v>62</v>
      </c>
      <c r="B98" s="368"/>
      <c r="C98" s="368" t="s">
        <v>325</v>
      </c>
      <c r="D98" s="316">
        <v>0</v>
      </c>
      <c r="E98" s="275">
        <v>0</v>
      </c>
      <c r="F98" s="275">
        <v>0</v>
      </c>
      <c r="G98" s="276">
        <v>0</v>
      </c>
    </row>
    <row r="99" spans="1:8" s="260" customFormat="1">
      <c r="A99" s="367">
        <v>63</v>
      </c>
      <c r="B99" s="368"/>
      <c r="C99" s="368" t="s">
        <v>326</v>
      </c>
      <c r="D99" s="316">
        <v>70386.3</v>
      </c>
      <c r="E99" s="275">
        <v>42240</v>
      </c>
      <c r="F99" s="275">
        <v>75106.7</v>
      </c>
      <c r="G99" s="276">
        <v>60900</v>
      </c>
    </row>
    <row r="100" spans="1:8" s="260" customFormat="1">
      <c r="A100" s="369">
        <v>64</v>
      </c>
      <c r="B100" s="370"/>
      <c r="C100" s="370" t="s">
        <v>327</v>
      </c>
      <c r="D100" s="485">
        <v>0</v>
      </c>
      <c r="E100" s="271">
        <v>0</v>
      </c>
      <c r="F100" s="271">
        <v>0</v>
      </c>
      <c r="G100" s="276">
        <v>0</v>
      </c>
      <c r="H100" s="569"/>
    </row>
    <row r="101" spans="1:8" s="260" customFormat="1">
      <c r="A101" s="369">
        <v>65</v>
      </c>
      <c r="B101" s="370"/>
      <c r="C101" s="370" t="s">
        <v>328</v>
      </c>
      <c r="D101" s="485">
        <v>1500</v>
      </c>
      <c r="E101" s="271">
        <v>0</v>
      </c>
      <c r="F101" s="271">
        <v>0</v>
      </c>
      <c r="G101" s="276">
        <v>0</v>
      </c>
      <c r="H101" s="569"/>
    </row>
    <row r="102" spans="1:8" s="260" customFormat="1">
      <c r="A102" s="369">
        <v>66</v>
      </c>
      <c r="B102" s="370"/>
      <c r="C102" s="370" t="s">
        <v>329</v>
      </c>
      <c r="D102" s="485">
        <v>0</v>
      </c>
      <c r="E102" s="271"/>
      <c r="F102" s="271">
        <v>0</v>
      </c>
      <c r="G102" s="276">
        <v>0</v>
      </c>
      <c r="H102" s="569"/>
    </row>
    <row r="103" spans="1:8" s="260" customFormat="1">
      <c r="A103" s="367">
        <v>67</v>
      </c>
      <c r="B103" s="368"/>
      <c r="C103" s="368" t="s">
        <v>315</v>
      </c>
      <c r="D103" s="316">
        <v>0</v>
      </c>
      <c r="E103" s="264">
        <v>0</v>
      </c>
      <c r="F103" s="275">
        <v>0</v>
      </c>
      <c r="G103" s="267">
        <v>0</v>
      </c>
    </row>
    <row r="104" spans="1:8" s="355" customFormat="1" ht="28">
      <c r="A104" s="377" t="s">
        <v>330</v>
      </c>
      <c r="B104" s="549"/>
      <c r="C104" s="378" t="s">
        <v>331</v>
      </c>
      <c r="D104" s="343">
        <v>0</v>
      </c>
      <c r="E104" s="343">
        <v>0</v>
      </c>
      <c r="F104" s="343">
        <v>0</v>
      </c>
      <c r="G104" s="380">
        <v>0</v>
      </c>
    </row>
    <row r="105" spans="1:8" s="355" customFormat="1" ht="42">
      <c r="A105" s="381" t="s">
        <v>332</v>
      </c>
      <c r="B105" s="543"/>
      <c r="C105" s="382" t="s">
        <v>333</v>
      </c>
      <c r="D105" s="383">
        <v>0</v>
      </c>
      <c r="E105" s="383">
        <v>0</v>
      </c>
      <c r="F105" s="383">
        <v>0</v>
      </c>
      <c r="G105" s="385">
        <v>0</v>
      </c>
    </row>
    <row r="106" spans="1:8">
      <c r="A106" s="374">
        <v>6</v>
      </c>
      <c r="B106" s="375"/>
      <c r="C106" s="375" t="s">
        <v>334</v>
      </c>
      <c r="D106" s="376">
        <f>SUM(D96:D105)</f>
        <v>71886.3</v>
      </c>
      <c r="E106" s="376">
        <f>SUM(E96:E105)</f>
        <v>42240</v>
      </c>
      <c r="F106" s="376">
        <f>SUM(F96:F105)</f>
        <v>75106.7</v>
      </c>
      <c r="G106" s="376">
        <f>SUM(G96:G105)</f>
        <v>60900</v>
      </c>
    </row>
    <row r="107" spans="1:8">
      <c r="A107" s="386" t="s">
        <v>335</v>
      </c>
      <c r="B107" s="386"/>
      <c r="C107" s="375" t="s">
        <v>3</v>
      </c>
      <c r="D107" s="376">
        <f>(D95-D88)-(D106-D103)</f>
        <v>347572.4</v>
      </c>
      <c r="E107" s="376">
        <f>(E95-E88)-(E106-E103)</f>
        <v>203910</v>
      </c>
      <c r="F107" s="376">
        <f>(F95-F88)-(F106-F103)</f>
        <v>114946.3</v>
      </c>
      <c r="G107" s="376">
        <f>(G95-G88)-(G106-G103)</f>
        <v>300480.40000000002</v>
      </c>
    </row>
    <row r="108" spans="1:8">
      <c r="A108" s="387" t="s">
        <v>336</v>
      </c>
      <c r="B108" s="387"/>
      <c r="C108" s="388" t="s">
        <v>337</v>
      </c>
      <c r="D108" s="389">
        <f>D107-D85-D86+D100+D101</f>
        <v>339293.9</v>
      </c>
      <c r="E108" s="389">
        <f>E107-E85-E86+E100+E101</f>
        <v>198610</v>
      </c>
      <c r="F108" s="389">
        <f>F107-F85-F86+F100+F101</f>
        <v>111256.3</v>
      </c>
      <c r="G108" s="389">
        <f>G107-G85-G86+G100+G101</f>
        <v>251480.40000000002</v>
      </c>
    </row>
    <row r="109" spans="1:8">
      <c r="A109" s="362"/>
      <c r="B109" s="362"/>
      <c r="C109" s="363"/>
      <c r="D109" s="364"/>
      <c r="E109" s="364"/>
      <c r="F109" s="364"/>
      <c r="G109" s="364"/>
    </row>
    <row r="110" spans="1:8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8" s="396" customFormat="1">
      <c r="A111" s="392">
        <v>10</v>
      </c>
      <c r="B111" s="393"/>
      <c r="C111" s="393" t="s">
        <v>339</v>
      </c>
      <c r="D111" s="394">
        <f>D112+D117</f>
        <v>1505607</v>
      </c>
      <c r="E111" s="493">
        <f>E112+E117</f>
        <v>0</v>
      </c>
      <c r="F111" s="394">
        <f>F112+F117</f>
        <v>1340600</v>
      </c>
      <c r="G111" s="395">
        <f>G112+G117</f>
        <v>0</v>
      </c>
    </row>
    <row r="112" spans="1:8" s="396" customFormat="1">
      <c r="A112" s="397" t="s">
        <v>340</v>
      </c>
      <c r="B112" s="398"/>
      <c r="C112" s="398" t="s">
        <v>341</v>
      </c>
      <c r="D112" s="394">
        <f>D113+D114+D115+D116</f>
        <v>1289819</v>
      </c>
      <c r="E112" s="493">
        <f>E113+E114+E115+E116</f>
        <v>0</v>
      </c>
      <c r="F112" s="394">
        <f>F113+F114+F115+F116</f>
        <v>1129600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>
        <v>867361</v>
      </c>
      <c r="E113" s="316"/>
      <c r="F113" s="275">
        <v>664000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>
        <v>0</v>
      </c>
      <c r="E114" s="344"/>
      <c r="F114" s="344">
        <v>6000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>
        <v>409521</v>
      </c>
      <c r="E115" s="316"/>
      <c r="F115" s="275">
        <v>454000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>
        <v>12937</v>
      </c>
      <c r="E116" s="316"/>
      <c r="F116" s="275">
        <v>5600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215788</v>
      </c>
      <c r="E117" s="493">
        <f>E118+E119+E120</f>
        <v>0</v>
      </c>
      <c r="F117" s="394">
        <f>F118+F119+F120</f>
        <v>211000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>
        <v>116379</v>
      </c>
      <c r="E118" s="316"/>
      <c r="F118" s="275">
        <v>105400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>
        <v>99409</v>
      </c>
      <c r="E119" s="316"/>
      <c r="F119" s="275">
        <v>105600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>
        <v>0</v>
      </c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1698412.7</v>
      </c>
      <c r="E121" s="394">
        <f>SUM(E122:E130)</f>
        <v>0</v>
      </c>
      <c r="F121" s="394">
        <f>SUM(F122:F130)</f>
        <v>1846000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>
        <v>1493362</v>
      </c>
      <c r="E122" s="316"/>
      <c r="F122" s="275">
        <v>1334090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>
        <v>6143.5</v>
      </c>
      <c r="E123" s="316"/>
      <c r="F123" s="275">
        <v>199400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>
        <v>198907.2</v>
      </c>
      <c r="E124" s="316"/>
      <c r="F124" s="275">
        <v>312510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>
        <v>0</v>
      </c>
      <c r="E125" s="316"/>
      <c r="F125" s="275">
        <v>0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>
        <v>0</v>
      </c>
      <c r="E126" s="281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359</v>
      </c>
      <c r="D127" s="275">
        <v>0</v>
      </c>
      <c r="E127" s="316"/>
      <c r="F127" s="275">
        <v>0</v>
      </c>
      <c r="G127" s="413"/>
    </row>
    <row r="128" spans="1:7" s="396" customFormat="1">
      <c r="A128" s="410">
        <v>1485</v>
      </c>
      <c r="B128" s="411"/>
      <c r="C128" s="411" t="s">
        <v>360</v>
      </c>
      <c r="D128" s="275">
        <v>0</v>
      </c>
      <c r="E128" s="316"/>
      <c r="F128" s="275">
        <v>0</v>
      </c>
      <c r="G128" s="413"/>
    </row>
    <row r="129" spans="1:7" s="396" customFormat="1">
      <c r="A129" s="410">
        <v>1486</v>
      </c>
      <c r="B129" s="411"/>
      <c r="C129" s="411" t="s">
        <v>361</v>
      </c>
      <c r="D129" s="275">
        <v>0</v>
      </c>
      <c r="E129" s="316"/>
      <c r="F129" s="275">
        <v>0</v>
      </c>
      <c r="G129" s="413"/>
    </row>
    <row r="130" spans="1:7" s="396" customFormat="1">
      <c r="A130" s="418">
        <v>1489</v>
      </c>
      <c r="B130" s="419"/>
      <c r="C130" s="419" t="s">
        <v>362</v>
      </c>
      <c r="D130" s="306">
        <v>0</v>
      </c>
      <c r="E130" s="497"/>
      <c r="F130" s="306">
        <v>0</v>
      </c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3204019.7</v>
      </c>
      <c r="E131" s="424">
        <f>E111+E121</f>
        <v>0</v>
      </c>
      <c r="F131" s="424">
        <f>F111+F121</f>
        <v>3186600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2835228.9610000001</v>
      </c>
      <c r="E133" s="425">
        <f>E134+E140</f>
        <v>0</v>
      </c>
      <c r="F133" s="425">
        <f>F134+F140</f>
        <v>2867100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1273457.4610000001</v>
      </c>
      <c r="E134" s="394">
        <f>E135+E136+E138+E139</f>
        <v>0</v>
      </c>
      <c r="F134" s="394">
        <f>F135+F136+F138+F139</f>
        <v>1194000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>
        <v>1039140.461</v>
      </c>
      <c r="E135" s="275"/>
      <c r="F135" s="275">
        <v>983000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>
        <v>20243</v>
      </c>
      <c r="E136" s="275"/>
      <c r="F136" s="275">
        <v>33300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>
        <v>19929</v>
      </c>
      <c r="E137" s="271"/>
      <c r="F137" s="271">
        <v>2457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>
        <v>213129</v>
      </c>
      <c r="E138" s="275"/>
      <c r="F138" s="275">
        <v>176300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>
        <v>945</v>
      </c>
      <c r="E139" s="275"/>
      <c r="F139" s="275">
        <v>1400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1561771.5</v>
      </c>
      <c r="E140" s="394">
        <f>E141+E143+E144</f>
        <v>0</v>
      </c>
      <c r="F140" s="394">
        <f>F141+F143+F144</f>
        <v>1673100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>
        <v>1092433.5</v>
      </c>
      <c r="E141" s="275"/>
      <c r="F141" s="275">
        <v>1132400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>
        <v>0</v>
      </c>
      <c r="E142" s="27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378</v>
      </c>
      <c r="D143" s="275">
        <v>458110</v>
      </c>
      <c r="E143" s="275"/>
      <c r="F143" s="275">
        <v>540700</v>
      </c>
      <c r="G143" s="413"/>
    </row>
    <row r="144" spans="1:7" s="433" customFormat="1" ht="29" customHeight="1">
      <c r="A144" s="414">
        <v>209</v>
      </c>
      <c r="B144" s="415"/>
      <c r="C144" s="415" t="s">
        <v>379</v>
      </c>
      <c r="D144" s="281">
        <v>11228</v>
      </c>
      <c r="E144" s="281"/>
      <c r="F144" s="281">
        <v>0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>
        <v>368790.8</v>
      </c>
      <c r="E145" s="412"/>
      <c r="F145" s="412">
        <v>319500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32">
        <v>367141.4</v>
      </c>
      <c r="E146" s="332"/>
      <c r="F146" s="332">
        <v>334900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3204019.7609999999</v>
      </c>
      <c r="E147" s="424">
        <f>E133+E145</f>
        <v>0</v>
      </c>
      <c r="F147" s="424">
        <f>F133+F145</f>
        <v>3186600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16" t="s">
        <v>386</v>
      </c>
      <c r="B150" s="441"/>
      <c r="C150" s="441" t="s">
        <v>97</v>
      </c>
      <c r="D150" s="442">
        <f>D77+SUM(D8:D12)-D30-D31+D16-D33+D59+D63-D73+D64-D74-D54+D20-D35</f>
        <v>59472.283000000185</v>
      </c>
      <c r="E150" s="442">
        <f>E77+SUM(E8:E12)-E30-E31+E16-E33+E59+E63-E73+E64-E74-E54+E20-E35</f>
        <v>-23828.500000000364</v>
      </c>
      <c r="F150" s="442">
        <f>F77+SUM(F8:F12)-F30-F31+F16-F33+F59+F63-F73+F64-F74-F54+F20-F35</f>
        <v>-49183.400000000351</v>
      </c>
      <c r="G150" s="442">
        <f>G77+SUM(G8:G12)-G30-G31+G16-G33+G59+G63-G73+G64-G74-G54+G20-G35</f>
        <v>-10301.304000000237</v>
      </c>
    </row>
    <row r="151" spans="1:7">
      <c r="A151" s="517" t="s">
        <v>387</v>
      </c>
      <c r="B151" s="444"/>
      <c r="C151" s="444" t="s">
        <v>388</v>
      </c>
      <c r="D151" s="445">
        <f>IF(D177=0,0,D150/D177)</f>
        <v>2.2183418458514209E-2</v>
      </c>
      <c r="E151" s="445">
        <f>IF(E177=0,0,E150/E177)</f>
        <v>-1.0475133707036057E-2</v>
      </c>
      <c r="F151" s="445">
        <f>IF(F177=0,0,F150/F177)</f>
        <v>-2.1045480726980103E-2</v>
      </c>
      <c r="G151" s="445">
        <f>IF(G177=0,0,G150/G177)</f>
        <v>-4.3218373656391746E-3</v>
      </c>
    </row>
    <row r="152" spans="1:7" s="589" customFormat="1" ht="28">
      <c r="A152" s="511" t="s">
        <v>389</v>
      </c>
      <c r="B152" s="511"/>
      <c r="C152" s="511" t="s">
        <v>390</v>
      </c>
      <c r="D152" s="591">
        <f t="shared" ref="D152:G153" si="0">IF(IF(D107=0,0,D$150/D107)&lt;0,"negativ",(IF(D107=0,0,D$150/D107)))</f>
        <v>0.17110761096105498</v>
      </c>
      <c r="E152" s="591" t="str">
        <f t="shared" si="0"/>
        <v>negativ</v>
      </c>
      <c r="F152" s="591" t="str">
        <f t="shared" si="0"/>
        <v>negativ</v>
      </c>
      <c r="G152" s="591" t="str">
        <f t="shared" si="0"/>
        <v>negativ</v>
      </c>
    </row>
    <row r="153" spans="1:7" s="589" customFormat="1" ht="28">
      <c r="A153" s="512" t="s">
        <v>389</v>
      </c>
      <c r="B153" s="512"/>
      <c r="C153" s="512" t="s">
        <v>391</v>
      </c>
      <c r="D153" s="592">
        <f t="shared" si="0"/>
        <v>0.17528249992116032</v>
      </c>
      <c r="E153" s="592" t="str">
        <f t="shared" si="0"/>
        <v>negativ</v>
      </c>
      <c r="F153" s="592" t="str">
        <f t="shared" si="0"/>
        <v>negativ</v>
      </c>
      <c r="G153" s="592" t="str">
        <f t="shared" si="0"/>
        <v>negativ</v>
      </c>
    </row>
    <row r="154" spans="1:7" ht="28">
      <c r="A154" s="513" t="s">
        <v>392</v>
      </c>
      <c r="B154" s="454"/>
      <c r="C154" s="454" t="s">
        <v>393</v>
      </c>
      <c r="D154" s="455">
        <f>D150-D107</f>
        <v>-288100.11699999985</v>
      </c>
      <c r="E154" s="455">
        <f>E150-E107</f>
        <v>-227738.50000000035</v>
      </c>
      <c r="F154" s="455">
        <f>F150-F107</f>
        <v>-164129.70000000036</v>
      </c>
      <c r="G154" s="455">
        <f>G150-G107</f>
        <v>-310781.70400000026</v>
      </c>
    </row>
    <row r="155" spans="1:7" ht="28">
      <c r="A155" s="512" t="s">
        <v>394</v>
      </c>
      <c r="B155" s="451"/>
      <c r="C155" s="451" t="s">
        <v>395</v>
      </c>
      <c r="D155" s="456">
        <f>D150-D108</f>
        <v>-279821.61699999985</v>
      </c>
      <c r="E155" s="456">
        <f>E150-E108</f>
        <v>-222438.50000000035</v>
      </c>
      <c r="F155" s="456">
        <f>F150-F108</f>
        <v>-160439.70000000036</v>
      </c>
      <c r="G155" s="456">
        <f>G150-G108</f>
        <v>-261781.70400000026</v>
      </c>
    </row>
    <row r="156" spans="1:7">
      <c r="A156" s="509" t="s">
        <v>396</v>
      </c>
      <c r="B156" s="441"/>
      <c r="C156" s="441" t="s">
        <v>397</v>
      </c>
      <c r="D156" s="457">
        <f>D135+D136-D137+D141-D142</f>
        <v>2131887.9610000001</v>
      </c>
      <c r="E156" s="457">
        <f>E135+E136-E137+E141-E142</f>
        <v>0</v>
      </c>
      <c r="F156" s="457">
        <f>F135+F136-F137+F141-F142</f>
        <v>2146243</v>
      </c>
      <c r="G156" s="457">
        <f>G135+G136-G137+G141-G142</f>
        <v>0</v>
      </c>
    </row>
    <row r="157" spans="1:7">
      <c r="A157" s="514" t="s">
        <v>398</v>
      </c>
      <c r="B157" s="459"/>
      <c r="C157" s="459" t="s">
        <v>399</v>
      </c>
      <c r="D157" s="460">
        <f>IF(D177=0,0,D156/D177)</f>
        <v>0.79520341846522824</v>
      </c>
      <c r="E157" s="460">
        <f>IF(E177=0,0,E156/E177)</f>
        <v>0</v>
      </c>
      <c r="F157" s="460">
        <f>IF(F177=0,0,F156/F177)</f>
        <v>0.91837318469068097</v>
      </c>
      <c r="G157" s="460">
        <f>IF(G177=0,0,G156/G177)</f>
        <v>0</v>
      </c>
    </row>
    <row r="158" spans="1:7">
      <c r="A158" s="509" t="s">
        <v>400</v>
      </c>
      <c r="B158" s="441"/>
      <c r="C158" s="441" t="s">
        <v>401</v>
      </c>
      <c r="D158" s="457">
        <f>D133-D142-D111</f>
        <v>1329621.9610000001</v>
      </c>
      <c r="E158" s="457">
        <f>E133-E142-E111</f>
        <v>0</v>
      </c>
      <c r="F158" s="457">
        <f>F133-F142-F111</f>
        <v>1526500</v>
      </c>
      <c r="G158" s="457">
        <f>G133-G142-G111</f>
        <v>0</v>
      </c>
    </row>
    <row r="159" spans="1:7">
      <c r="A159" s="510" t="s">
        <v>402</v>
      </c>
      <c r="B159" s="444"/>
      <c r="C159" s="444" t="s">
        <v>403</v>
      </c>
      <c r="D159" s="461">
        <f>D121-D123-D124-D142-D145</f>
        <v>1124571.2</v>
      </c>
      <c r="E159" s="461">
        <f>E121-E123-E124-E142-E145</f>
        <v>0</v>
      </c>
      <c r="F159" s="461">
        <f>F121-F123-F124-F142-F145</f>
        <v>1014590</v>
      </c>
      <c r="G159" s="461">
        <f>G121-G123-G124-G142-G145</f>
        <v>0</v>
      </c>
    </row>
    <row r="160" spans="1:7">
      <c r="A160" s="510" t="s">
        <v>404</v>
      </c>
      <c r="B160" s="444"/>
      <c r="C160" s="444" t="s">
        <v>405</v>
      </c>
      <c r="D160" s="462">
        <f>IF(D175=0,"-",1000*D158/D175)</f>
        <v>4805.526701748553</v>
      </c>
      <c r="E160" s="462">
        <f>IF(E175=0,"-",1000*E158/E175)</f>
        <v>0</v>
      </c>
      <c r="F160" s="462">
        <f>IF(F175=0,"-",1000*F158/F175)</f>
        <v>5491.5405453047597</v>
      </c>
      <c r="G160" s="462">
        <f>IF(G175=0,"-",1000*G158/G175)</f>
        <v>0</v>
      </c>
    </row>
    <row r="161" spans="1:7">
      <c r="A161" s="510" t="s">
        <v>404</v>
      </c>
      <c r="B161" s="444"/>
      <c r="C161" s="444" t="s">
        <v>406</v>
      </c>
      <c r="D161" s="461">
        <f>IF(D175=0,0,1000*(D159/D175))</f>
        <v>4064.4311602321768</v>
      </c>
      <c r="E161" s="461">
        <f>IF(E175=0,0,1000*(E159/E175))</f>
        <v>0</v>
      </c>
      <c r="F161" s="461">
        <f>IF(F175=0,0,1000*(F159/F175))</f>
        <v>3649.9588089490708</v>
      </c>
      <c r="G161" s="461">
        <f>IF(G175=0,0,1000*(G159/G175))</f>
        <v>0</v>
      </c>
    </row>
    <row r="162" spans="1:7">
      <c r="A162" s="514" t="s">
        <v>407</v>
      </c>
      <c r="B162" s="459"/>
      <c r="C162" s="459" t="s">
        <v>408</v>
      </c>
      <c r="D162" s="460">
        <f>IF((D22+D23+D65+D66)=0,0,D158/(D22+D23+D65+D66))</f>
        <v>0.87802974923802668</v>
      </c>
      <c r="E162" s="460">
        <f>IF((E22+E23+E65+E66)=0,0,E158/(E22+E23+E65+E66))</f>
        <v>0</v>
      </c>
      <c r="F162" s="460">
        <f>IF((F22+F23+F65+F66)=0,0,F158/(F22+F23+F65+F66))</f>
        <v>0.97898758510345818</v>
      </c>
      <c r="G162" s="460">
        <f>IF((G22+G23+G65+G66)=0,0,G158/(G22+G23+G65+G66))</f>
        <v>0</v>
      </c>
    </row>
    <row r="163" spans="1:7">
      <c r="A163" s="510" t="s">
        <v>409</v>
      </c>
      <c r="B163" s="444"/>
      <c r="C163" s="444" t="s">
        <v>380</v>
      </c>
      <c r="D163" s="442">
        <f>D145</f>
        <v>368790.8</v>
      </c>
      <c r="E163" s="442">
        <f>E145</f>
        <v>0</v>
      </c>
      <c r="F163" s="442">
        <f>F145</f>
        <v>319500</v>
      </c>
      <c r="G163" s="442">
        <f>G145</f>
        <v>0</v>
      </c>
    </row>
    <row r="164" spans="1:7" ht="28">
      <c r="A164" s="512" t="s">
        <v>411</v>
      </c>
      <c r="B164" s="463"/>
      <c r="C164" s="463" t="s">
        <v>412</v>
      </c>
      <c r="D164" s="452">
        <f>IF(D178=0,0,D146/D178)</f>
        <v>0.13294213347231615</v>
      </c>
      <c r="E164" s="452">
        <f>IF(E178=0,0,E146/E178)</f>
        <v>0</v>
      </c>
      <c r="F164" s="452">
        <f>IF(F178=0,0,F146/F178)</f>
        <v>0.13451109734627156</v>
      </c>
      <c r="G164" s="452">
        <f>IF(G178=0,0,G146/G178)</f>
        <v>0</v>
      </c>
    </row>
    <row r="165" spans="1:7">
      <c r="A165" s="515" t="s">
        <v>681</v>
      </c>
      <c r="B165" s="464"/>
      <c r="C165" s="464" t="s">
        <v>414</v>
      </c>
      <c r="D165" s="465">
        <f>IF(D177=0,0,D180/D177)</f>
        <v>5.2858106433873182E-2</v>
      </c>
      <c r="E165" s="465">
        <f>IF(E177=0,0,E180/E177)</f>
        <v>5.928714228056918E-2</v>
      </c>
      <c r="F165" s="465">
        <f>IF(F177=0,0,F180/F177)</f>
        <v>5.3646048641823797E-2</v>
      </c>
      <c r="G165" s="465">
        <f>IF(G177=0,0,G180/G177)</f>
        <v>2.9801845975495306E-2</v>
      </c>
    </row>
    <row r="166" spans="1:7">
      <c r="A166" s="510" t="s">
        <v>415</v>
      </c>
      <c r="B166" s="444"/>
      <c r="C166" s="444" t="s">
        <v>282</v>
      </c>
      <c r="D166" s="442">
        <f>D55</f>
        <v>69332.7</v>
      </c>
      <c r="E166" s="442">
        <f>E55</f>
        <v>76370.2</v>
      </c>
      <c r="F166" s="442">
        <f>F55</f>
        <v>118022.30000000002</v>
      </c>
      <c r="G166" s="442">
        <f>G55</f>
        <v>67811.88900000001</v>
      </c>
    </row>
    <row r="167" spans="1:7">
      <c r="A167" s="514" t="s">
        <v>416</v>
      </c>
      <c r="B167" s="459"/>
      <c r="C167" s="459" t="s">
        <v>417</v>
      </c>
      <c r="D167" s="460">
        <f>IF(0=D111,0,(D44+D45+D46+D47+D48)/D111)</f>
        <v>2.8998868894738135E-2</v>
      </c>
      <c r="E167" s="460">
        <f>IF(0=E111,0,(E44+E45+E46+E47+E48)/E111)</f>
        <v>0</v>
      </c>
      <c r="F167" s="460">
        <f>IF(0=F111,0,(F44+F45+F46+F47+F48)/F111)</f>
        <v>3.3174101148739372E-2</v>
      </c>
      <c r="G167" s="460">
        <f>IF(0=G111,0,(G44+G45+G46+G47+G48)/G111)</f>
        <v>0</v>
      </c>
    </row>
    <row r="168" spans="1:7">
      <c r="A168" s="510" t="s">
        <v>418</v>
      </c>
      <c r="B168" s="441"/>
      <c r="C168" s="441" t="s">
        <v>419</v>
      </c>
      <c r="D168" s="442">
        <f>D38-D44</f>
        <v>7412.7999999999993</v>
      </c>
      <c r="E168" s="442">
        <f>E38-E44</f>
        <v>5174.4000000000015</v>
      </c>
      <c r="F168" s="442">
        <f>F38-F44</f>
        <v>10999.3</v>
      </c>
      <c r="G168" s="442">
        <f>G38-G44</f>
        <v>7645.3109999999979</v>
      </c>
    </row>
    <row r="169" spans="1:7">
      <c r="A169" s="514" t="s">
        <v>420</v>
      </c>
      <c r="B169" s="459"/>
      <c r="C169" s="459" t="s">
        <v>421</v>
      </c>
      <c r="D169" s="445">
        <f>IF(D177=0,0,D168/D177)</f>
        <v>2.7650064207098558E-3</v>
      </c>
      <c r="E169" s="445">
        <f>IF(E177=0,0,E168/E177)</f>
        <v>2.2746934072092897E-3</v>
      </c>
      <c r="F169" s="445">
        <f>IF(F177=0,0,F168/F177)</f>
        <v>4.7065789709591164E-3</v>
      </c>
      <c r="G169" s="445">
        <f>IF(G177=0,0,G168/G177)</f>
        <v>3.2075347695526154E-3</v>
      </c>
    </row>
    <row r="170" spans="1:7">
      <c r="A170" s="510" t="s">
        <v>422</v>
      </c>
      <c r="B170" s="444"/>
      <c r="C170" s="444" t="s">
        <v>423</v>
      </c>
      <c r="D170" s="442">
        <f>SUM(D82:D87)+SUM(D89:D94)</f>
        <v>419458.7</v>
      </c>
      <c r="E170" s="442">
        <f>SUM(E82:E87)+SUM(E89:E94)</f>
        <v>246150</v>
      </c>
      <c r="F170" s="442">
        <f>SUM(F82:F87)+SUM(F89:F94)</f>
        <v>190053</v>
      </c>
      <c r="G170" s="442">
        <f>SUM(G82:G87)+SUM(G89:G94)</f>
        <v>361380.4</v>
      </c>
    </row>
    <row r="171" spans="1:7">
      <c r="A171" s="510" t="s">
        <v>424</v>
      </c>
      <c r="B171" s="444"/>
      <c r="C171" s="444" t="s">
        <v>425</v>
      </c>
      <c r="D171" s="461">
        <f>SUM(D96:D102)+SUM(D104:D105)</f>
        <v>71886.3</v>
      </c>
      <c r="E171" s="461">
        <f>SUM(E96:E102)+SUM(E104:E105)</f>
        <v>42240</v>
      </c>
      <c r="F171" s="461">
        <f>SUM(F96:F102)+SUM(F104:F105)</f>
        <v>75106.7</v>
      </c>
      <c r="G171" s="461">
        <f>SUM(G96:G102)+SUM(G104:G105)</f>
        <v>60900</v>
      </c>
    </row>
    <row r="172" spans="1:7">
      <c r="A172" s="515" t="s">
        <v>413</v>
      </c>
      <c r="B172" s="464"/>
      <c r="C172" s="464" t="s">
        <v>426</v>
      </c>
      <c r="D172" s="465">
        <f>IF(D184=0,0,D170/D184)</f>
        <v>0.1399045298948795</v>
      </c>
      <c r="E172" s="465">
        <f>IF(E184=0,0,E170/E184)</f>
        <v>9.8543714856645009E-2</v>
      </c>
      <c r="F172" s="465">
        <f>IF(F184=0,0,F170/F184)</f>
        <v>7.5548390971877238E-2</v>
      </c>
      <c r="G172" s="465">
        <f>IF(G184=0,0,G170/G184)</f>
        <v>0.13598641386673052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0">
        <v>276686</v>
      </c>
      <c r="E175" s="470">
        <v>276686</v>
      </c>
      <c r="F175" s="590">
        <v>277973</v>
      </c>
      <c r="G175" s="590">
        <v>277973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2680934.1</v>
      </c>
      <c r="E177" s="472">
        <f>SUM(E22:E32)+SUM(E44:E53)+SUM(E65:E72)+E75</f>
        <v>2274768.0999999996</v>
      </c>
      <c r="F177" s="472">
        <f>SUM(F22:F32)+SUM(F44:F53)+SUM(F65:F72)+F75</f>
        <v>2337005.2999999998</v>
      </c>
      <c r="G177" s="472">
        <f>SUM(G22:G32)+SUM(G44:G53)+SUM(G65:G72)+G75</f>
        <v>2383547.35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2761663.2170000002</v>
      </c>
      <c r="E178" s="472">
        <f>E78-E17-E20-E59-E63-E64</f>
        <v>2430488.2999999998</v>
      </c>
      <c r="F178" s="472">
        <f>F78-F17-F20-F59-F63-F64</f>
        <v>2489757.4</v>
      </c>
      <c r="G178" s="472">
        <f>G78-G17-G20-G59-G63-G64</f>
        <v>2408304.4000000004</v>
      </c>
    </row>
    <row r="179" spans="1:7">
      <c r="A179" s="468"/>
      <c r="B179" s="468"/>
      <c r="C179" s="468" t="s">
        <v>435</v>
      </c>
      <c r="D179" s="472">
        <f>D178+D170</f>
        <v>3181121.9170000004</v>
      </c>
      <c r="E179" s="472">
        <f>E178+E170</f>
        <v>2676638.2999999998</v>
      </c>
      <c r="F179" s="472">
        <f>F178+F170</f>
        <v>2679810.4</v>
      </c>
      <c r="G179" s="472">
        <f>G178+G170</f>
        <v>2769684.8000000003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141709.1</v>
      </c>
      <c r="E180" s="472">
        <f>E38-E44+E8+E9+E10+E16-E33</f>
        <v>134864.5</v>
      </c>
      <c r="F180" s="472">
        <f>F38-F44+F8+F9+F10+F16-F33</f>
        <v>125371.1</v>
      </c>
      <c r="G180" s="472">
        <f>G38-G44+G8+G9+G10+G16-G33</f>
        <v>71034.111000000004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2662476.1</v>
      </c>
      <c r="E181" s="475">
        <f>E22+E23+E24+E25+E26+E29+SUM(E44:E47)+SUM(E49:E53)-E54+E32-E33+SUM(E65:E70)+E72</f>
        <v>2254859.6999999997</v>
      </c>
      <c r="F181" s="475">
        <f>F22+F23+F24+F25+F26+F29+SUM(F44:F47)+SUM(F49:F53)-F54+F32-F33+SUM(F65:F70)+F72</f>
        <v>2302642.1999999997</v>
      </c>
      <c r="G181" s="475">
        <f>G22+G23+G24+G25+G26+G29+SUM(G44:G47)+SUM(G49:G53)-G54+G32-G33+SUM(G65:G70)+G72</f>
        <v>2311323.87</v>
      </c>
    </row>
    <row r="182" spans="1:7">
      <c r="A182" s="474" t="s">
        <v>440</v>
      </c>
      <c r="B182" s="474"/>
      <c r="C182" s="474" t="s">
        <v>441</v>
      </c>
      <c r="D182" s="475">
        <f>D181+D171</f>
        <v>2734362.4</v>
      </c>
      <c r="E182" s="475">
        <f>E181+E171</f>
        <v>2297099.6999999997</v>
      </c>
      <c r="F182" s="475">
        <f>F181+F171</f>
        <v>2377748.9</v>
      </c>
      <c r="G182" s="475">
        <f>G181+G171</f>
        <v>2372223.87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2578719.4169999999</v>
      </c>
      <c r="E183" s="475">
        <f>E4+E5-E7+E38+E39+E40+E41+E43+E13-E16+E57+E58+E60+E61+E62</f>
        <v>2251726.2000000002</v>
      </c>
      <c r="F183" s="475">
        <f>F4+F5-F7+F38+F39+F40+F41+F43+F13-F16+F57+F58+F60+F61+F62</f>
        <v>2325592.9</v>
      </c>
      <c r="G183" s="475">
        <f>G4+G5-G7+G38+G39+G40+G41+G43+G13-G16+G57+G58+G60+G61+G62</f>
        <v>2296093.9000000004</v>
      </c>
    </row>
    <row r="184" spans="1:7">
      <c r="A184" s="474" t="s">
        <v>444</v>
      </c>
      <c r="B184" s="474"/>
      <c r="C184" s="474" t="s">
        <v>445</v>
      </c>
      <c r="D184" s="475">
        <f>D183+D170</f>
        <v>2998178.1170000001</v>
      </c>
      <c r="E184" s="475">
        <f>E183+E170</f>
        <v>2497876.2000000002</v>
      </c>
      <c r="F184" s="475">
        <f>F183+F170</f>
        <v>2515645.9</v>
      </c>
      <c r="G184" s="475">
        <f>G183+G170</f>
        <v>2657474.3000000003</v>
      </c>
    </row>
    <row r="185" spans="1:7">
      <c r="A185" s="474"/>
      <c r="B185" s="474"/>
      <c r="C185" s="474" t="s">
        <v>446</v>
      </c>
      <c r="D185" s="475">
        <f t="shared" ref="D185:G186" si="1">D181-D183</f>
        <v>83756.683000000194</v>
      </c>
      <c r="E185" s="475">
        <f t="shared" si="1"/>
        <v>3133.4999999995343</v>
      </c>
      <c r="F185" s="475">
        <f t="shared" si="1"/>
        <v>-22950.700000000186</v>
      </c>
      <c r="G185" s="475">
        <f t="shared" si="1"/>
        <v>15229.969999999739</v>
      </c>
    </row>
    <row r="186" spans="1:7">
      <c r="A186" s="474"/>
      <c r="B186" s="474"/>
      <c r="C186" s="474" t="s">
        <v>447</v>
      </c>
      <c r="D186" s="475">
        <f t="shared" si="1"/>
        <v>-263815.71700000018</v>
      </c>
      <c r="E186" s="475">
        <f t="shared" si="1"/>
        <v>-200776.50000000047</v>
      </c>
      <c r="F186" s="475">
        <f t="shared" si="1"/>
        <v>-137897</v>
      </c>
      <c r="G186" s="475">
        <f t="shared" si="1"/>
        <v>-285250.43000000017</v>
      </c>
    </row>
  </sheetData>
  <mergeCells count="2">
    <mergeCell ref="A3:C3"/>
    <mergeCell ref="A81:C81"/>
  </mergeCells>
  <pageMargins left="0.25" right="0.25" top="0.75" bottom="0.75" header="0.3" footer="0.3"/>
  <pageSetup paperSize="9" fitToHeight="4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2" max="2" width="40" customWidth="1"/>
    <col min="4" max="4" width="8.6640625" customWidth="1"/>
    <col min="6" max="6" width="8" customWidth="1"/>
    <col min="8" max="8" width="7.83203125" customWidth="1"/>
    <col min="9" max="9" width="10.5" customWidth="1"/>
  </cols>
  <sheetData>
    <row r="1" spans="1:9">
      <c r="A1" s="5" t="s">
        <v>20</v>
      </c>
      <c r="B1" s="6" t="s">
        <v>164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174480.07003</v>
      </c>
      <c r="D4" s="11">
        <v>-7.8729337382992814E-3</v>
      </c>
      <c r="E4" s="10">
        <v>173106.4</v>
      </c>
      <c r="F4" s="11">
        <v>-7.8254066862923043E-3</v>
      </c>
      <c r="G4" s="10">
        <v>171751.77202</v>
      </c>
      <c r="H4" s="11">
        <v>2.3905593122625191E-2</v>
      </c>
      <c r="I4" s="12">
        <v>175857.6</v>
      </c>
    </row>
    <row r="5" spans="1:9">
      <c r="A5" s="13" t="s">
        <v>30</v>
      </c>
      <c r="B5" s="14" t="s">
        <v>31</v>
      </c>
      <c r="C5" s="15">
        <v>63333.519359999998</v>
      </c>
      <c r="D5" s="16">
        <v>1.7062686724506233E-5</v>
      </c>
      <c r="E5" s="15">
        <v>63334.6</v>
      </c>
      <c r="F5" s="16">
        <v>-1.4860042693882887E-2</v>
      </c>
      <c r="G5" s="15">
        <v>62393.445140000003</v>
      </c>
      <c r="H5" s="16">
        <v>7.1562883728910828E-2</v>
      </c>
      <c r="I5" s="17">
        <v>66858.5</v>
      </c>
    </row>
    <row r="6" spans="1:9">
      <c r="A6" s="13" t="s">
        <v>32</v>
      </c>
      <c r="B6" s="14" t="s">
        <v>33</v>
      </c>
      <c r="C6" s="15">
        <v>8360.9834100000007</v>
      </c>
      <c r="D6" s="16">
        <v>3.4304169250827223E-2</v>
      </c>
      <c r="E6" s="15">
        <v>8647.7999999999993</v>
      </c>
      <c r="F6" s="16">
        <v>1.6930414671939738E-2</v>
      </c>
      <c r="G6" s="15">
        <v>8794.2108399999997</v>
      </c>
      <c r="H6" s="16">
        <v>0.16574416812594858</v>
      </c>
      <c r="I6" s="17">
        <v>10251.799999999999</v>
      </c>
    </row>
    <row r="7" spans="1:9">
      <c r="A7" s="13" t="s">
        <v>34</v>
      </c>
      <c r="B7" s="14" t="s">
        <v>35</v>
      </c>
      <c r="C7" s="15">
        <v>2891.27342</v>
      </c>
      <c r="D7" s="16">
        <v>-0.25873492794742331</v>
      </c>
      <c r="E7" s="15">
        <v>2143.1999999999998</v>
      </c>
      <c r="F7" s="16">
        <v>0.65253768197088491</v>
      </c>
      <c r="G7" s="15">
        <v>3541.7187600000002</v>
      </c>
      <c r="H7" s="16">
        <v>-0.43095425227947803</v>
      </c>
      <c r="I7" s="17">
        <v>2015.4</v>
      </c>
    </row>
    <row r="8" spans="1:9">
      <c r="A8" s="13" t="s">
        <v>36</v>
      </c>
      <c r="B8" s="14" t="s">
        <v>37</v>
      </c>
      <c r="C8" s="15">
        <v>5179.6099400000003</v>
      </c>
      <c r="D8" s="16">
        <v>-0.22874501240917766</v>
      </c>
      <c r="E8" s="15">
        <v>3994.8</v>
      </c>
      <c r="F8" s="16">
        <v>-0.27821185040552721</v>
      </c>
      <c r="G8" s="15">
        <v>2883.3993</v>
      </c>
      <c r="H8" s="16">
        <v>0.2493240183556957</v>
      </c>
      <c r="I8" s="17">
        <v>3602.3</v>
      </c>
    </row>
    <row r="9" spans="1:9">
      <c r="A9" s="13" t="s">
        <v>38</v>
      </c>
      <c r="B9" s="14" t="s">
        <v>39</v>
      </c>
      <c r="C9" s="15">
        <v>13501.3125</v>
      </c>
      <c r="D9" s="16">
        <v>0.16068715541544568</v>
      </c>
      <c r="E9" s="15">
        <v>15670.8</v>
      </c>
      <c r="F9" s="16">
        <v>-2.118777981979221E-2</v>
      </c>
      <c r="G9" s="15">
        <v>15338.77054</v>
      </c>
      <c r="H9" s="16">
        <v>0.12694169033445896</v>
      </c>
      <c r="I9" s="17">
        <v>17285.900000000001</v>
      </c>
    </row>
    <row r="10" spans="1:9">
      <c r="A10" s="13" t="s">
        <v>40</v>
      </c>
      <c r="B10" s="14" t="s">
        <v>41</v>
      </c>
      <c r="C10" s="15">
        <v>364669.97726999997</v>
      </c>
      <c r="D10" s="16">
        <v>2.0923650905187831E-3</v>
      </c>
      <c r="E10" s="15">
        <v>365433</v>
      </c>
      <c r="F10" s="16">
        <v>1.9688872269335304E-2</v>
      </c>
      <c r="G10" s="15">
        <v>372627.96366000001</v>
      </c>
      <c r="H10" s="16">
        <v>-4.0100685018998692E-3</v>
      </c>
      <c r="I10" s="17">
        <v>371133.69999999995</v>
      </c>
    </row>
    <row r="11" spans="1:9">
      <c r="A11" s="13" t="s">
        <v>42</v>
      </c>
      <c r="B11" s="14" t="s">
        <v>43</v>
      </c>
      <c r="C11" s="15">
        <v>73693.472750000001</v>
      </c>
      <c r="D11" s="43">
        <v>-4.9088102582328104E-2</v>
      </c>
      <c r="E11" s="15">
        <v>70076</v>
      </c>
      <c r="F11" s="16">
        <v>-3.1406764512814669E-2</v>
      </c>
      <c r="G11" s="15">
        <v>67875.139569999999</v>
      </c>
      <c r="H11" s="16">
        <v>2.3270087398805279E-2</v>
      </c>
      <c r="I11" s="17">
        <v>69454.600000000006</v>
      </c>
    </row>
    <row r="12" spans="1:9">
      <c r="A12" s="13" t="s">
        <v>44</v>
      </c>
      <c r="B12" s="14" t="s">
        <v>45</v>
      </c>
      <c r="C12" s="15">
        <v>4357.0213999999996</v>
      </c>
      <c r="D12" s="43">
        <v>-3.6038702954270467E-2</v>
      </c>
      <c r="E12" s="15">
        <v>4200</v>
      </c>
      <c r="F12" s="16">
        <v>-3.5497261904761435E-3</v>
      </c>
      <c r="G12" s="15">
        <v>4185.0911500000002</v>
      </c>
      <c r="H12" s="16">
        <v>1.312010850707512E-2</v>
      </c>
      <c r="I12" s="17">
        <v>4240</v>
      </c>
    </row>
    <row r="13" spans="1:9">
      <c r="A13" s="13" t="s">
        <v>46</v>
      </c>
      <c r="B13" s="14" t="s">
        <v>47</v>
      </c>
      <c r="C13" s="15">
        <v>106680.27194000001</v>
      </c>
      <c r="D13" s="43">
        <v>-2.3196153281196903E-2</v>
      </c>
      <c r="E13" s="15">
        <v>104205.7</v>
      </c>
      <c r="F13" s="43">
        <v>8.6639693989868191E-2</v>
      </c>
      <c r="G13" s="15">
        <v>113234.04996</v>
      </c>
      <c r="H13" s="43">
        <v>-7.1727982553561609E-2</v>
      </c>
      <c r="I13" s="17">
        <v>105112</v>
      </c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 t="s">
        <v>48</v>
      </c>
      <c r="I14" s="17">
        <v>0</v>
      </c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603.34055000000001</v>
      </c>
      <c r="D16" s="43">
        <v>1.3568778859634083</v>
      </c>
      <c r="E16" s="15">
        <v>1422</v>
      </c>
      <c r="F16" s="43">
        <v>-0.56521655907172996</v>
      </c>
      <c r="G16" s="15">
        <v>618.26205300000004</v>
      </c>
      <c r="H16" s="43">
        <v>0.16859832573292341</v>
      </c>
      <c r="I16" s="17">
        <v>722.5</v>
      </c>
    </row>
    <row r="17" spans="1:9">
      <c r="A17" s="13" t="s">
        <v>55</v>
      </c>
      <c r="B17" s="14" t="s">
        <v>56</v>
      </c>
      <c r="C17" s="15">
        <v>6697.6170000000002</v>
      </c>
      <c r="D17" s="16">
        <v>-3.5925762849682234E-2</v>
      </c>
      <c r="E17" s="15">
        <v>6457</v>
      </c>
      <c r="F17" s="16">
        <v>-1.3603840792937355E-3</v>
      </c>
      <c r="G17" s="15">
        <v>6448.2160000000003</v>
      </c>
      <c r="H17" s="16">
        <v>8.4959933103977356E-3</v>
      </c>
      <c r="I17" s="17">
        <v>6503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20953.861659999999</v>
      </c>
      <c r="D19" s="43">
        <v>-4.5913334525660862E-2</v>
      </c>
      <c r="E19" s="20">
        <v>19991.8</v>
      </c>
      <c r="F19" s="43">
        <v>1.9866777878930382E-2</v>
      </c>
      <c r="G19" s="20">
        <v>20388.97265</v>
      </c>
      <c r="H19" s="43">
        <v>2.1253025222926058E-2</v>
      </c>
      <c r="I19" s="21">
        <v>20822.3</v>
      </c>
    </row>
    <row r="20" spans="1:9">
      <c r="A20" s="22" t="s">
        <v>60</v>
      </c>
      <c r="B20" s="23" t="s">
        <v>61</v>
      </c>
      <c r="C20" s="24">
        <v>651707.2411799999</v>
      </c>
      <c r="D20" s="25">
        <v>-2.4177131700225049E-3</v>
      </c>
      <c r="E20" s="24">
        <v>650131.6</v>
      </c>
      <c r="F20" s="25">
        <v>8.063995151135742E-3</v>
      </c>
      <c r="G20" s="24">
        <v>655374.2580700001</v>
      </c>
      <c r="H20" s="25">
        <v>1.3281635375233398E-2</v>
      </c>
      <c r="I20" s="26">
        <v>664078.69999999995</v>
      </c>
    </row>
    <row r="21" spans="1:9">
      <c r="A21" s="27" t="s">
        <v>62</v>
      </c>
      <c r="B21" s="28" t="s">
        <v>63</v>
      </c>
      <c r="C21" s="10">
        <v>263080.8738</v>
      </c>
      <c r="D21" s="16">
        <v>-1.7602472323854663E-2</v>
      </c>
      <c r="E21" s="10">
        <v>258450</v>
      </c>
      <c r="F21" s="16">
        <v>1.0033696807893254E-2</v>
      </c>
      <c r="G21" s="10">
        <v>261043.20894000001</v>
      </c>
      <c r="H21" s="16">
        <v>5.8905156439194313E-2</v>
      </c>
      <c r="I21" s="12">
        <v>276420</v>
      </c>
    </row>
    <row r="22" spans="1:9">
      <c r="A22" s="8" t="s">
        <v>64</v>
      </c>
      <c r="B22" s="29" t="s">
        <v>65</v>
      </c>
      <c r="C22" s="15">
        <v>18107.085200000001</v>
      </c>
      <c r="D22" s="16">
        <v>1.9103836767719998E-2</v>
      </c>
      <c r="E22" s="15">
        <v>18453</v>
      </c>
      <c r="F22" s="16">
        <v>-4.3899341570476209E-2</v>
      </c>
      <c r="G22" s="15">
        <v>17642.925450000002</v>
      </c>
      <c r="H22" s="16">
        <v>7.4424989989400961E-2</v>
      </c>
      <c r="I22" s="17">
        <v>18956</v>
      </c>
    </row>
    <row r="23" spans="1:9">
      <c r="A23" s="8" t="s">
        <v>66</v>
      </c>
      <c r="B23" s="29" t="s">
        <v>67</v>
      </c>
      <c r="C23" s="15">
        <v>66738.646930000003</v>
      </c>
      <c r="D23" s="16">
        <v>-0.25772094163132303</v>
      </c>
      <c r="E23" s="15">
        <v>49538.7</v>
      </c>
      <c r="F23" s="16">
        <v>0.23668278477230936</v>
      </c>
      <c r="G23" s="15">
        <v>61263.657469999998</v>
      </c>
      <c r="H23" s="16">
        <v>-7.9235515319617714E-2</v>
      </c>
      <c r="I23" s="17">
        <v>56409.4</v>
      </c>
    </row>
    <row r="24" spans="1:9">
      <c r="A24" s="8" t="s">
        <v>68</v>
      </c>
      <c r="B24" s="29" t="s">
        <v>69</v>
      </c>
      <c r="C24" s="15">
        <v>68508.735719999997</v>
      </c>
      <c r="D24" s="16">
        <v>6.1913896898285548E-3</v>
      </c>
      <c r="E24" s="15">
        <v>68932.899999999994</v>
      </c>
      <c r="F24" s="16">
        <v>2.895789963863412E-2</v>
      </c>
      <c r="G24" s="15">
        <v>70929.051999999996</v>
      </c>
      <c r="H24" s="16">
        <v>8.6924607423205062E-3</v>
      </c>
      <c r="I24" s="17">
        <v>71545.600000000006</v>
      </c>
    </row>
    <row r="25" spans="1:9">
      <c r="A25" s="8" t="s">
        <v>70</v>
      </c>
      <c r="B25" s="29" t="s">
        <v>71</v>
      </c>
      <c r="C25" s="15">
        <v>195913.78151</v>
      </c>
      <c r="D25" s="16">
        <v>-2.3575582454694464E-2</v>
      </c>
      <c r="E25" s="15">
        <v>191295</v>
      </c>
      <c r="F25" s="16">
        <v>-3.0576272667869081E-2</v>
      </c>
      <c r="G25" s="15">
        <v>185445.91191999998</v>
      </c>
      <c r="H25" s="16">
        <v>1.6317901261180011E-2</v>
      </c>
      <c r="I25" s="17">
        <v>188472.00000000003</v>
      </c>
    </row>
    <row r="26" spans="1:9">
      <c r="A26" s="59" t="s">
        <v>72</v>
      </c>
      <c r="B26" s="29" t="s">
        <v>73</v>
      </c>
      <c r="C26" s="15">
        <v>6955.3225899999998</v>
      </c>
      <c r="D26" s="16">
        <v>9.1092454994240596E-2</v>
      </c>
      <c r="E26" s="15">
        <v>7588.9</v>
      </c>
      <c r="F26" s="16">
        <v>0.15510072210728823</v>
      </c>
      <c r="G26" s="15">
        <v>8765.9438699999992</v>
      </c>
      <c r="H26" s="16">
        <v>-0.10714691811048517</v>
      </c>
      <c r="I26" s="17">
        <v>7826.7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20953.861659999999</v>
      </c>
      <c r="D28" s="16">
        <v>-4.5913334525660862E-2</v>
      </c>
      <c r="E28" s="20">
        <v>19991.8</v>
      </c>
      <c r="F28" s="16">
        <v>1.9866777878930382E-2</v>
      </c>
      <c r="G28" s="20">
        <v>20388.97265</v>
      </c>
      <c r="H28" s="16">
        <v>2.1253025222926058E-2</v>
      </c>
      <c r="I28" s="21">
        <v>20822.3</v>
      </c>
    </row>
    <row r="29" spans="1:9">
      <c r="A29" s="51" t="s">
        <v>77</v>
      </c>
      <c r="B29" s="52" t="s">
        <v>78</v>
      </c>
      <c r="C29" s="24">
        <v>640258.30741000001</v>
      </c>
      <c r="D29" s="53">
        <v>-4.0621116678998911E-2</v>
      </c>
      <c r="E29" s="24">
        <v>614250.30000000005</v>
      </c>
      <c r="F29" s="53">
        <v>1.8281427457178173E-2</v>
      </c>
      <c r="G29" s="24">
        <v>625479.67229999998</v>
      </c>
      <c r="H29" s="54">
        <v>2.3937352983741441E-2</v>
      </c>
      <c r="I29" s="26">
        <v>640452</v>
      </c>
    </row>
    <row r="30" spans="1:9">
      <c r="A30" s="50" t="s">
        <v>79</v>
      </c>
      <c r="B30" s="32" t="s">
        <v>80</v>
      </c>
      <c r="C30" s="33">
        <v>-11448.933769999887</v>
      </c>
      <c r="D30" s="136">
        <v>0</v>
      </c>
      <c r="E30" s="33">
        <v>-35881.29999999993</v>
      </c>
      <c r="F30" s="136">
        <v>0</v>
      </c>
      <c r="G30" s="34">
        <v>-29894.585770000122</v>
      </c>
      <c r="H30" s="137">
        <v>0</v>
      </c>
      <c r="I30" s="35">
        <v>-23626.699999999953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29403.516749999999</v>
      </c>
      <c r="D32" s="16">
        <v>-0.13614074751789679</v>
      </c>
      <c r="E32" s="15">
        <v>25400.5</v>
      </c>
      <c r="F32" s="16">
        <v>-0.15742370858841354</v>
      </c>
      <c r="G32" s="15">
        <v>21401.859090000002</v>
      </c>
      <c r="H32" s="16">
        <v>7.1121901307686725E-2</v>
      </c>
      <c r="I32" s="17">
        <v>22924</v>
      </c>
    </row>
    <row r="33" spans="1:9">
      <c r="A33" s="59" t="s">
        <v>84</v>
      </c>
      <c r="B33" s="29" t="s">
        <v>85</v>
      </c>
      <c r="C33" s="15">
        <v>84.85</v>
      </c>
      <c r="D33" s="16">
        <v>0.41426045963464947</v>
      </c>
      <c r="E33" s="15">
        <v>120</v>
      </c>
      <c r="F33" s="16">
        <v>81.558749999999989</v>
      </c>
      <c r="G33" s="15">
        <v>9907.0499999999993</v>
      </c>
      <c r="H33" s="16">
        <v>-0.99142025123523148</v>
      </c>
      <c r="I33" s="17">
        <v>85</v>
      </c>
    </row>
    <row r="34" spans="1:9">
      <c r="A34" s="8" t="s">
        <v>86</v>
      </c>
      <c r="B34" s="29" t="s">
        <v>87</v>
      </c>
      <c r="C34" s="15">
        <v>15093.266500000002</v>
      </c>
      <c r="D34" s="16">
        <v>8.7902343737188915E-2</v>
      </c>
      <c r="E34" s="15">
        <v>16420</v>
      </c>
      <c r="F34" s="16">
        <v>2.7921087088915789E-2</v>
      </c>
      <c r="G34" s="15">
        <v>16878.464249999997</v>
      </c>
      <c r="H34" s="16">
        <v>0.37826520561549337</v>
      </c>
      <c r="I34" s="17">
        <v>23263</v>
      </c>
    </row>
    <row r="35" spans="1:9">
      <c r="A35" s="51" t="s">
        <v>88</v>
      </c>
      <c r="B35" s="52" t="s">
        <v>89</v>
      </c>
      <c r="C35" s="24">
        <v>44581.633249999999</v>
      </c>
      <c r="D35" s="54">
        <v>-5.9242631044702676E-2</v>
      </c>
      <c r="E35" s="24">
        <v>41940.5</v>
      </c>
      <c r="F35" s="54">
        <v>0.14894608647965565</v>
      </c>
      <c r="G35" s="24">
        <v>48187.373339999998</v>
      </c>
      <c r="H35" s="54">
        <v>-3.9748448758257185E-2</v>
      </c>
      <c r="I35" s="26">
        <v>46272</v>
      </c>
    </row>
    <row r="36" spans="1:9">
      <c r="A36" s="8" t="s">
        <v>90</v>
      </c>
      <c r="B36" s="29" t="s">
        <v>91</v>
      </c>
      <c r="C36" s="15">
        <v>0</v>
      </c>
      <c r="D36" s="16" t="s">
        <v>48</v>
      </c>
      <c r="E36" s="15">
        <v>0</v>
      </c>
      <c r="F36" s="16" t="s">
        <v>48</v>
      </c>
      <c r="G36" s="15">
        <v>0</v>
      </c>
      <c r="H36" s="16" t="s">
        <v>48</v>
      </c>
      <c r="I36" s="17">
        <v>0</v>
      </c>
    </row>
    <row r="37" spans="1:9">
      <c r="A37" s="8" t="s">
        <v>92</v>
      </c>
      <c r="B37" s="29" t="s">
        <v>93</v>
      </c>
      <c r="C37" s="15">
        <v>14745.8688</v>
      </c>
      <c r="D37" s="16">
        <v>-0.12287297714190976</v>
      </c>
      <c r="E37" s="15">
        <v>12934</v>
      </c>
      <c r="F37" s="16">
        <v>1.0483950054120837E-2</v>
      </c>
      <c r="G37" s="15">
        <v>13069.599409999999</v>
      </c>
      <c r="H37" s="16">
        <v>0.1602497922313903</v>
      </c>
      <c r="I37" s="17">
        <v>15164</v>
      </c>
    </row>
    <row r="38" spans="1:9">
      <c r="A38" s="51" t="s">
        <v>94</v>
      </c>
      <c r="B38" s="52" t="s">
        <v>95</v>
      </c>
      <c r="C38" s="24">
        <v>14745.8688</v>
      </c>
      <c r="D38" s="54">
        <v>-0.12287297714190976</v>
      </c>
      <c r="E38" s="24">
        <v>12934</v>
      </c>
      <c r="F38" s="54">
        <v>1.0483950054120837E-2</v>
      </c>
      <c r="G38" s="24">
        <v>13069.599409999999</v>
      </c>
      <c r="H38" s="54">
        <v>0.1602497922313903</v>
      </c>
      <c r="I38" s="26">
        <v>15164</v>
      </c>
    </row>
    <row r="39" spans="1:9">
      <c r="A39" s="36" t="s">
        <v>96</v>
      </c>
      <c r="B39" s="37" t="s">
        <v>3</v>
      </c>
      <c r="C39" s="38">
        <v>29835.764449999999</v>
      </c>
      <c r="D39" s="39">
        <v>-2.7794308786346474E-2</v>
      </c>
      <c r="E39" s="38">
        <v>29006.5</v>
      </c>
      <c r="F39" s="39">
        <v>0.21068636098805427</v>
      </c>
      <c r="G39" s="38">
        <v>35117.773929999996</v>
      </c>
      <c r="H39" s="39">
        <v>-0.11418075467974277</v>
      </c>
      <c r="I39" s="40">
        <v>31108</v>
      </c>
    </row>
    <row r="40" spans="1:9">
      <c r="A40" s="131" t="s">
        <v>0</v>
      </c>
      <c r="B40" s="29" t="s">
        <v>97</v>
      </c>
      <c r="C40" s="15">
        <v>2052.3787300001131</v>
      </c>
      <c r="D40" s="16">
        <v>-10.847354050486976</v>
      </c>
      <c r="E40" s="15">
        <v>-20210.499999999931</v>
      </c>
      <c r="F40" s="16">
        <v>-0.27978945449146869</v>
      </c>
      <c r="G40" s="15">
        <v>-14555.815230000122</v>
      </c>
      <c r="H40" s="16">
        <v>-0.56438029063935169</v>
      </c>
      <c r="I40" s="17">
        <v>-6340.799999999952</v>
      </c>
    </row>
    <row r="41" spans="1:9">
      <c r="A41" s="131" t="s">
        <v>0</v>
      </c>
      <c r="B41" s="29" t="s">
        <v>98</v>
      </c>
      <c r="C41" s="15">
        <v>-27783.385719999886</v>
      </c>
      <c r="D41" s="16">
        <v>0.77145436830512137</v>
      </c>
      <c r="E41" s="15">
        <v>-49216.999999999927</v>
      </c>
      <c r="F41" s="16">
        <v>9.2770619907794668E-3</v>
      </c>
      <c r="G41" s="15">
        <v>-49673.58916000012</v>
      </c>
      <c r="H41" s="16">
        <v>-0.24610239297635117</v>
      </c>
      <c r="I41" s="17">
        <v>-37448.799999999952</v>
      </c>
    </row>
    <row r="42" spans="1:9">
      <c r="A42" s="141" t="s">
        <v>0</v>
      </c>
      <c r="B42" s="31" t="s">
        <v>99</v>
      </c>
      <c r="C42" s="20">
        <v>649956.47332999983</v>
      </c>
      <c r="D42" s="129">
        <v>-6.1523709572621106E-3</v>
      </c>
      <c r="E42" s="20">
        <v>645957.69999999984</v>
      </c>
      <c r="F42" s="129">
        <v>1.9420115156147506E-2</v>
      </c>
      <c r="G42" s="20">
        <v>658502.27292000002</v>
      </c>
      <c r="H42" s="129">
        <v>5.5199916985577647E-3</v>
      </c>
      <c r="I42" s="21">
        <v>662137.19999999984</v>
      </c>
    </row>
    <row r="43" spans="1:9">
      <c r="A43" s="141">
        <v>0</v>
      </c>
      <c r="B43" s="31" t="s">
        <v>5</v>
      </c>
      <c r="C43" s="66">
        <v>6.8789212136312908E-2</v>
      </c>
      <c r="D43" s="142">
        <v>0</v>
      </c>
      <c r="E43" s="66" t="s">
        <v>100</v>
      </c>
      <c r="F43" s="234">
        <v>0</v>
      </c>
      <c r="G43" s="66" t="s">
        <v>100</v>
      </c>
      <c r="H43" s="234">
        <v>0</v>
      </c>
      <c r="I43" s="235" t="s">
        <v>100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2" max="2" width="37.83203125" customWidth="1"/>
    <col min="4" max="4" width="9" customWidth="1"/>
    <col min="6" max="6" width="9.33203125" customWidth="1"/>
    <col min="8" max="8" width="8.83203125" customWidth="1"/>
  </cols>
  <sheetData>
    <row r="1" spans="1:9">
      <c r="A1" s="5" t="s">
        <v>20</v>
      </c>
      <c r="B1" s="6" t="s">
        <v>165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102</v>
      </c>
      <c r="F3" s="134">
        <v>0</v>
      </c>
      <c r="G3" s="135">
        <v>0</v>
      </c>
      <c r="H3" s="134">
        <v>0</v>
      </c>
      <c r="I3" s="115">
        <v>0</v>
      </c>
    </row>
    <row r="4" spans="1:9">
      <c r="A4" s="5" t="s">
        <v>28</v>
      </c>
      <c r="B4" s="9" t="s">
        <v>29</v>
      </c>
      <c r="C4" s="10">
        <v>74752</v>
      </c>
      <c r="D4" s="11">
        <v>3.3726187928082269E-2</v>
      </c>
      <c r="E4" s="10">
        <v>77273.100000000006</v>
      </c>
      <c r="F4" s="11">
        <v>6.633615061386061E-3</v>
      </c>
      <c r="G4" s="10">
        <v>77785.7</v>
      </c>
      <c r="H4" s="11"/>
      <c r="I4" s="12"/>
    </row>
    <row r="5" spans="1:9">
      <c r="A5" s="13" t="s">
        <v>30</v>
      </c>
      <c r="B5" s="14" t="s">
        <v>31</v>
      </c>
      <c r="C5" s="15">
        <v>36336</v>
      </c>
      <c r="D5" s="16">
        <v>6.4577829150154115E-2</v>
      </c>
      <c r="E5" s="15">
        <v>38682.5</v>
      </c>
      <c r="F5" s="16">
        <v>-1.8313190719317557E-2</v>
      </c>
      <c r="G5" s="15">
        <v>37974.1</v>
      </c>
      <c r="H5" s="16"/>
      <c r="I5" s="17"/>
    </row>
    <row r="6" spans="1:9">
      <c r="A6" s="13" t="s">
        <v>32</v>
      </c>
      <c r="B6" s="14" t="s">
        <v>33</v>
      </c>
      <c r="C6" s="15">
        <v>5662</v>
      </c>
      <c r="D6" s="16">
        <v>-0.14318262098198514</v>
      </c>
      <c r="E6" s="15">
        <v>4851.3</v>
      </c>
      <c r="F6" s="16">
        <v>0.17883866180199109</v>
      </c>
      <c r="G6" s="15">
        <v>5718.9</v>
      </c>
      <c r="H6" s="16"/>
      <c r="I6" s="17"/>
    </row>
    <row r="7" spans="1:9">
      <c r="A7" s="13" t="s">
        <v>34</v>
      </c>
      <c r="B7" s="14" t="s">
        <v>35</v>
      </c>
      <c r="C7" s="15">
        <v>612</v>
      </c>
      <c r="D7" s="16">
        <v>0.22712418300653595</v>
      </c>
      <c r="E7" s="15">
        <v>751</v>
      </c>
      <c r="F7" s="16">
        <v>-9.9201065246338219E-2</v>
      </c>
      <c r="G7" s="15">
        <v>676.5</v>
      </c>
      <c r="H7" s="16"/>
      <c r="I7" s="17"/>
    </row>
    <row r="8" spans="1:9">
      <c r="A8" s="13" t="s">
        <v>36</v>
      </c>
      <c r="B8" s="14" t="s">
        <v>37</v>
      </c>
      <c r="C8" s="15">
        <v>266</v>
      </c>
      <c r="D8" s="16">
        <v>-0.21616541353383459</v>
      </c>
      <c r="E8" s="15">
        <v>208.5</v>
      </c>
      <c r="F8" s="16">
        <v>3.8839328537170261</v>
      </c>
      <c r="G8" s="15">
        <v>1018.3</v>
      </c>
      <c r="H8" s="16"/>
      <c r="I8" s="17"/>
    </row>
    <row r="9" spans="1:9">
      <c r="A9" s="13" t="s">
        <v>38</v>
      </c>
      <c r="B9" s="14" t="s">
        <v>39</v>
      </c>
      <c r="C9" s="15">
        <v>31356</v>
      </c>
      <c r="D9" s="16">
        <v>-1.1500191350937574E-2</v>
      </c>
      <c r="E9" s="15">
        <v>30995.4</v>
      </c>
      <c r="F9" s="16">
        <v>-2.0338501842208891E-2</v>
      </c>
      <c r="G9" s="15">
        <v>30365</v>
      </c>
      <c r="H9" s="16"/>
      <c r="I9" s="17"/>
    </row>
    <row r="10" spans="1:9">
      <c r="A10" s="13" t="s">
        <v>40</v>
      </c>
      <c r="B10" s="14" t="s">
        <v>41</v>
      </c>
      <c r="C10" s="15">
        <v>263561</v>
      </c>
      <c r="D10" s="16">
        <v>1.6039171197559533E-2</v>
      </c>
      <c r="E10" s="15">
        <v>267788.3</v>
      </c>
      <c r="F10" s="16">
        <v>2.3873335765602472E-3</v>
      </c>
      <c r="G10" s="15">
        <v>268427.59999999998</v>
      </c>
      <c r="H10" s="16"/>
      <c r="I10" s="17"/>
    </row>
    <row r="11" spans="1:9">
      <c r="A11" s="13" t="s">
        <v>42</v>
      </c>
      <c r="B11" s="14" t="s">
        <v>43</v>
      </c>
      <c r="C11" s="15">
        <v>44497</v>
      </c>
      <c r="D11" s="43">
        <v>-0.48223475739937521</v>
      </c>
      <c r="E11" s="15">
        <v>23039</v>
      </c>
      <c r="F11" s="16">
        <v>1.7839315942532227E-2</v>
      </c>
      <c r="G11" s="15">
        <v>23450</v>
      </c>
      <c r="H11" s="16"/>
      <c r="I11" s="17"/>
    </row>
    <row r="12" spans="1:9">
      <c r="A12" s="13" t="s">
        <v>44</v>
      </c>
      <c r="B12" s="14" t="s">
        <v>45</v>
      </c>
      <c r="C12" s="15">
        <v>5669</v>
      </c>
      <c r="D12" s="43">
        <v>-2.0991356500264596E-2</v>
      </c>
      <c r="E12" s="15">
        <v>5550</v>
      </c>
      <c r="F12" s="16">
        <v>-3.9423423423423455E-2</v>
      </c>
      <c r="G12" s="15">
        <v>5331.2</v>
      </c>
      <c r="H12" s="16"/>
      <c r="I12" s="17"/>
    </row>
    <row r="13" spans="1:9">
      <c r="A13" s="13" t="s">
        <v>46</v>
      </c>
      <c r="B13" s="14" t="s">
        <v>47</v>
      </c>
      <c r="C13" s="15">
        <v>35240</v>
      </c>
      <c r="D13" s="43">
        <v>-9.5346197502837682E-2</v>
      </c>
      <c r="E13" s="15">
        <v>31880</v>
      </c>
      <c r="F13" s="43">
        <v>2.6571518193224546E-2</v>
      </c>
      <c r="G13" s="15">
        <v>32727.1</v>
      </c>
      <c r="H13" s="43"/>
      <c r="I13" s="17"/>
    </row>
    <row r="14" spans="1:9">
      <c r="A14" s="13" t="s">
        <v>49</v>
      </c>
      <c r="B14" s="14" t="s">
        <v>50</v>
      </c>
      <c r="C14" s="15">
        <v>66</v>
      </c>
      <c r="D14" s="43">
        <v>0.51515151515151514</v>
      </c>
      <c r="E14" s="15">
        <v>100</v>
      </c>
      <c r="F14" s="16">
        <v>-1</v>
      </c>
      <c r="G14" s="15">
        <v>0</v>
      </c>
      <c r="H14" s="16"/>
      <c r="I14" s="17"/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43" t="s">
        <v>48</v>
      </c>
      <c r="G15" s="15">
        <v>0</v>
      </c>
      <c r="H15" s="16"/>
      <c r="I15" s="17"/>
    </row>
    <row r="16" spans="1:9">
      <c r="A16" s="13" t="s">
        <v>53</v>
      </c>
      <c r="B16" s="14" t="s">
        <v>54</v>
      </c>
      <c r="C16" s="15">
        <v>35803</v>
      </c>
      <c r="D16" s="43">
        <v>2.561237885093428E-2</v>
      </c>
      <c r="E16" s="15">
        <v>36720</v>
      </c>
      <c r="F16" s="43">
        <v>-1.4861111111111032E-2</v>
      </c>
      <c r="G16" s="15">
        <v>36174.300000000003</v>
      </c>
      <c r="H16" s="43"/>
      <c r="I16" s="17"/>
    </row>
    <row r="17" spans="1:9">
      <c r="A17" s="13" t="s">
        <v>55</v>
      </c>
      <c r="B17" s="14" t="s">
        <v>56</v>
      </c>
      <c r="C17" s="15">
        <v>320</v>
      </c>
      <c r="D17" s="16">
        <v>2.375000000000007E-2</v>
      </c>
      <c r="E17" s="15">
        <v>327.60000000000002</v>
      </c>
      <c r="F17" s="16">
        <v>161.83730158730157</v>
      </c>
      <c r="G17" s="15">
        <v>53345.5</v>
      </c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/>
      <c r="I18" s="17"/>
    </row>
    <row r="19" spans="1:9">
      <c r="A19" s="18" t="s">
        <v>58</v>
      </c>
      <c r="B19" s="19" t="s">
        <v>59</v>
      </c>
      <c r="C19" s="20">
        <v>42975</v>
      </c>
      <c r="D19" s="43">
        <v>-4.0681791739383431E-2</v>
      </c>
      <c r="E19" s="20">
        <v>41226.699999999997</v>
      </c>
      <c r="F19" s="43">
        <v>-1.9407325834956437E-2</v>
      </c>
      <c r="G19" s="20">
        <v>40426.6</v>
      </c>
      <c r="H19" s="43"/>
      <c r="I19" s="21"/>
    </row>
    <row r="20" spans="1:9">
      <c r="A20" s="22" t="s">
        <v>60</v>
      </c>
      <c r="B20" s="23" t="s">
        <v>61</v>
      </c>
      <c r="C20" s="24">
        <v>450178</v>
      </c>
      <c r="D20" s="25">
        <v>1.5716227803224452E-2</v>
      </c>
      <c r="E20" s="24">
        <v>457253.1</v>
      </c>
      <c r="F20" s="25">
        <v>0.11539823349475369</v>
      </c>
      <c r="G20" s="24">
        <v>510019.29999999993</v>
      </c>
      <c r="H20" s="25"/>
      <c r="I20" s="26"/>
    </row>
    <row r="21" spans="1:9">
      <c r="A21" s="27" t="s">
        <v>62</v>
      </c>
      <c r="B21" s="28" t="s">
        <v>63</v>
      </c>
      <c r="C21" s="10">
        <v>127321</v>
      </c>
      <c r="D21" s="16">
        <v>2.104130504787113E-2</v>
      </c>
      <c r="E21" s="10">
        <v>130000</v>
      </c>
      <c r="F21" s="16">
        <v>-3.7064615384615342E-2</v>
      </c>
      <c r="G21" s="10">
        <v>125181.6</v>
      </c>
      <c r="H21" s="16"/>
      <c r="I21" s="12"/>
    </row>
    <row r="22" spans="1:9">
      <c r="A22" s="8" t="s">
        <v>64</v>
      </c>
      <c r="B22" s="29" t="s">
        <v>65</v>
      </c>
      <c r="C22" s="15">
        <v>22116</v>
      </c>
      <c r="D22" s="16">
        <v>5.6701030927835051E-2</v>
      </c>
      <c r="E22" s="15">
        <v>23370</v>
      </c>
      <c r="F22" s="16">
        <v>-3.2635857937526776E-2</v>
      </c>
      <c r="G22" s="15">
        <v>22607.3</v>
      </c>
      <c r="H22" s="16"/>
      <c r="I22" s="17"/>
    </row>
    <row r="23" spans="1:9">
      <c r="A23" s="8" t="s">
        <v>66</v>
      </c>
      <c r="B23" s="29" t="s">
        <v>67</v>
      </c>
      <c r="C23" s="15">
        <v>9180</v>
      </c>
      <c r="D23" s="16">
        <v>0.8755119825708062</v>
      </c>
      <c r="E23" s="15">
        <v>17217.2</v>
      </c>
      <c r="F23" s="16">
        <v>2.8260634714123092</v>
      </c>
      <c r="G23" s="15">
        <v>65874.100000000006</v>
      </c>
      <c r="H23" s="16"/>
      <c r="I23" s="17"/>
    </row>
    <row r="24" spans="1:9">
      <c r="A24" s="8" t="s">
        <v>68</v>
      </c>
      <c r="B24" s="29" t="s">
        <v>69</v>
      </c>
      <c r="C24" s="15">
        <v>36235</v>
      </c>
      <c r="D24" s="16">
        <v>-0.32232372016006627</v>
      </c>
      <c r="E24" s="15">
        <v>24555.599999999999</v>
      </c>
      <c r="F24" s="16">
        <v>0.26587825180406927</v>
      </c>
      <c r="G24" s="15">
        <v>31084.400000000001</v>
      </c>
      <c r="H24" s="16"/>
      <c r="I24" s="17"/>
    </row>
    <row r="25" spans="1:9">
      <c r="A25" s="8" t="s">
        <v>70</v>
      </c>
      <c r="B25" s="29" t="s">
        <v>71</v>
      </c>
      <c r="C25" s="15">
        <v>205217</v>
      </c>
      <c r="D25" s="16">
        <v>-1.3654326883250441E-2</v>
      </c>
      <c r="E25" s="15">
        <v>202414.9</v>
      </c>
      <c r="F25" s="16">
        <v>-1.8187890318350927E-2</v>
      </c>
      <c r="G25" s="15">
        <v>198733.40000000002</v>
      </c>
      <c r="H25" s="16"/>
      <c r="I25" s="17"/>
    </row>
    <row r="26" spans="1:9">
      <c r="A26" s="59" t="s">
        <v>72</v>
      </c>
      <c r="B26" s="29" t="s">
        <v>73</v>
      </c>
      <c r="C26" s="15">
        <v>1787</v>
      </c>
      <c r="D26" s="16">
        <v>1.9503637381085619</v>
      </c>
      <c r="E26" s="15">
        <v>5272.3</v>
      </c>
      <c r="F26" s="16">
        <v>-0.20837205773571313</v>
      </c>
      <c r="G26" s="15">
        <v>4173.7</v>
      </c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43" t="s">
        <v>48</v>
      </c>
      <c r="E27" s="15">
        <v>0</v>
      </c>
      <c r="F27" s="43" t="s">
        <v>48</v>
      </c>
      <c r="G27" s="15">
        <v>0</v>
      </c>
      <c r="H27" s="16"/>
      <c r="I27" s="17"/>
    </row>
    <row r="28" spans="1:9">
      <c r="A28" s="30" t="s">
        <v>75</v>
      </c>
      <c r="B28" s="31" t="s">
        <v>76</v>
      </c>
      <c r="C28" s="20">
        <v>42975</v>
      </c>
      <c r="D28" s="16">
        <v>-4.0681791739383431E-2</v>
      </c>
      <c r="E28" s="20">
        <v>41226.699999999997</v>
      </c>
      <c r="F28" s="16">
        <v>-1.9407325834956437E-2</v>
      </c>
      <c r="G28" s="20">
        <v>40426.6</v>
      </c>
      <c r="H28" s="16"/>
      <c r="I28" s="21"/>
    </row>
    <row r="29" spans="1:9">
      <c r="A29" s="51" t="s">
        <v>77</v>
      </c>
      <c r="B29" s="52" t="s">
        <v>78</v>
      </c>
      <c r="C29" s="24">
        <v>444831</v>
      </c>
      <c r="D29" s="53">
        <v>-1.7406610600430015E-3</v>
      </c>
      <c r="E29" s="24">
        <v>444056.7</v>
      </c>
      <c r="F29" s="53">
        <v>9.9141393430163358E-2</v>
      </c>
      <c r="G29" s="24">
        <v>488081.10000000003</v>
      </c>
      <c r="H29" s="54"/>
      <c r="I29" s="26"/>
    </row>
    <row r="30" spans="1:9">
      <c r="A30" s="50" t="s">
        <v>79</v>
      </c>
      <c r="B30" s="32" t="s">
        <v>80</v>
      </c>
      <c r="C30" s="33">
        <v>-5347</v>
      </c>
      <c r="D30" s="136">
        <v>0</v>
      </c>
      <c r="E30" s="33">
        <v>-13196.399999999965</v>
      </c>
      <c r="F30" s="136">
        <v>0</v>
      </c>
      <c r="G30" s="34">
        <v>-21938.199999999895</v>
      </c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/>
      <c r="I31" s="139"/>
    </row>
    <row r="32" spans="1:9">
      <c r="A32" s="59" t="s">
        <v>82</v>
      </c>
      <c r="B32" s="29" t="s">
        <v>83</v>
      </c>
      <c r="C32" s="15">
        <v>58884</v>
      </c>
      <c r="D32" s="16">
        <v>-0.22338835676924121</v>
      </c>
      <c r="E32" s="15">
        <v>45730</v>
      </c>
      <c r="F32" s="16">
        <v>1.7951016837961981E-2</v>
      </c>
      <c r="G32" s="15">
        <v>46550.9</v>
      </c>
      <c r="H32" s="16"/>
      <c r="I32" s="17"/>
    </row>
    <row r="33" spans="1:9">
      <c r="A33" s="59" t="s">
        <v>84</v>
      </c>
      <c r="B33" s="29" t="s">
        <v>85</v>
      </c>
      <c r="C33" s="15">
        <v>2312</v>
      </c>
      <c r="D33" s="16">
        <v>-0.93944636678200688</v>
      </c>
      <c r="E33" s="15">
        <v>140</v>
      </c>
      <c r="F33" s="16">
        <v>597.18214285714282</v>
      </c>
      <c r="G33" s="15">
        <v>83745.5</v>
      </c>
      <c r="H33" s="16"/>
      <c r="I33" s="17"/>
    </row>
    <row r="34" spans="1:9">
      <c r="A34" s="8" t="s">
        <v>86</v>
      </c>
      <c r="B34" s="29" t="s">
        <v>87</v>
      </c>
      <c r="C34" s="15">
        <v>5713</v>
      </c>
      <c r="D34" s="16">
        <v>4.4985121652371785E-2</v>
      </c>
      <c r="E34" s="15">
        <v>5970</v>
      </c>
      <c r="F34" s="16">
        <v>0.12227805695142378</v>
      </c>
      <c r="G34" s="15">
        <v>6700</v>
      </c>
      <c r="H34" s="16"/>
      <c r="I34" s="17"/>
    </row>
    <row r="35" spans="1:9">
      <c r="A35" s="51" t="s">
        <v>88</v>
      </c>
      <c r="B35" s="52" t="s">
        <v>89</v>
      </c>
      <c r="C35" s="24">
        <v>66909</v>
      </c>
      <c r="D35" s="54">
        <v>-0.22521633860915571</v>
      </c>
      <c r="E35" s="24">
        <v>51840</v>
      </c>
      <c r="F35" s="54">
        <v>1.6426774691358024</v>
      </c>
      <c r="G35" s="24">
        <v>136996.4</v>
      </c>
      <c r="H35" s="54"/>
      <c r="I35" s="26"/>
    </row>
    <row r="36" spans="1:9">
      <c r="A36" s="8" t="s">
        <v>90</v>
      </c>
      <c r="B36" s="29" t="s">
        <v>91</v>
      </c>
      <c r="C36" s="15">
        <v>375</v>
      </c>
      <c r="D36" s="16">
        <v>0.5093333333333333</v>
      </c>
      <c r="E36" s="15">
        <v>566</v>
      </c>
      <c r="F36" s="16">
        <v>15.75494699646643</v>
      </c>
      <c r="G36" s="15">
        <v>9483.2999999999993</v>
      </c>
      <c r="H36" s="16"/>
      <c r="I36" s="17"/>
    </row>
    <row r="37" spans="1:9">
      <c r="A37" s="8" t="s">
        <v>92</v>
      </c>
      <c r="B37" s="29" t="s">
        <v>93</v>
      </c>
      <c r="C37" s="15">
        <v>13069</v>
      </c>
      <c r="D37" s="16">
        <v>-0.35274313260387175</v>
      </c>
      <c r="E37" s="15">
        <v>8459</v>
      </c>
      <c r="F37" s="16">
        <v>0.33005083343184771</v>
      </c>
      <c r="G37" s="15">
        <v>11250.9</v>
      </c>
      <c r="H37" s="16"/>
      <c r="I37" s="17"/>
    </row>
    <row r="38" spans="1:9">
      <c r="A38" s="51" t="s">
        <v>94</v>
      </c>
      <c r="B38" s="52" t="s">
        <v>95</v>
      </c>
      <c r="C38" s="24">
        <v>13444</v>
      </c>
      <c r="D38" s="54">
        <v>-0.32869681642368342</v>
      </c>
      <c r="E38" s="24">
        <v>9025</v>
      </c>
      <c r="F38" s="54">
        <v>1.2974182825484761</v>
      </c>
      <c r="G38" s="24">
        <v>20734.199999999997</v>
      </c>
      <c r="H38" s="54"/>
      <c r="I38" s="26"/>
    </row>
    <row r="39" spans="1:9">
      <c r="A39" s="36" t="s">
        <v>96</v>
      </c>
      <c r="B39" s="37" t="s">
        <v>3</v>
      </c>
      <c r="C39" s="38">
        <v>53465</v>
      </c>
      <c r="D39" s="39">
        <v>-0.19919573552791545</v>
      </c>
      <c r="E39" s="38">
        <v>42815</v>
      </c>
      <c r="F39" s="39">
        <v>1.7154548639495504</v>
      </c>
      <c r="G39" s="38">
        <v>116262.2</v>
      </c>
      <c r="H39" s="39"/>
      <c r="I39" s="40"/>
    </row>
    <row r="40" spans="1:9">
      <c r="A40" s="131" t="s">
        <v>0</v>
      </c>
      <c r="B40" s="29" t="s">
        <v>97</v>
      </c>
      <c r="C40" s="15">
        <v>26009</v>
      </c>
      <c r="D40" s="16">
        <v>-0.31565996385866291</v>
      </c>
      <c r="E40" s="15">
        <v>17799.000000000036</v>
      </c>
      <c r="F40" s="16">
        <v>-0.52655767177930857</v>
      </c>
      <c r="G40" s="15">
        <v>8426.8000000001048</v>
      </c>
      <c r="H40" s="16"/>
      <c r="I40" s="17"/>
    </row>
    <row r="41" spans="1:9">
      <c r="A41" s="131" t="s">
        <v>0</v>
      </c>
      <c r="B41" s="29" t="s">
        <v>98</v>
      </c>
      <c r="C41" s="15">
        <v>-27456</v>
      </c>
      <c r="D41" s="16">
        <v>-8.886946386946519E-2</v>
      </c>
      <c r="E41" s="15">
        <v>-25015.999999999964</v>
      </c>
      <c r="F41" s="16">
        <v>3.3106571794051831</v>
      </c>
      <c r="G41" s="15">
        <v>-107835.39999999989</v>
      </c>
      <c r="H41" s="16"/>
      <c r="I41" s="17"/>
    </row>
    <row r="42" spans="1:9">
      <c r="A42" s="141" t="s">
        <v>0</v>
      </c>
      <c r="B42" s="31" t="s">
        <v>99</v>
      </c>
      <c r="C42" s="20">
        <v>442170</v>
      </c>
      <c r="D42" s="129">
        <v>-1.3196508130357181E-2</v>
      </c>
      <c r="E42" s="20">
        <v>436334.89999999997</v>
      </c>
      <c r="F42" s="129">
        <v>0.19600861631742034</v>
      </c>
      <c r="G42" s="20">
        <v>521860.29999999993</v>
      </c>
      <c r="H42" s="129"/>
      <c r="I42" s="21"/>
    </row>
    <row r="43" spans="1:9">
      <c r="A43" s="141">
        <v>0</v>
      </c>
      <c r="B43" s="31" t="s">
        <v>5</v>
      </c>
      <c r="C43" s="66">
        <v>0.48646778266155427</v>
      </c>
      <c r="D43" s="142">
        <v>0</v>
      </c>
      <c r="E43" s="41">
        <v>0.4157187901436421</v>
      </c>
      <c r="F43" s="142">
        <v>0</v>
      </c>
      <c r="G43" s="41">
        <v>7.2480995542834256E-2</v>
      </c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237" t="s">
        <v>220</v>
      </c>
      <c r="B1" s="532" t="s">
        <v>679</v>
      </c>
      <c r="C1" s="532" t="s">
        <v>680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/>
      <c r="F4" s="257"/>
      <c r="G4" s="259">
        <v>77524.100000000006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/>
      <c r="F5" s="275"/>
      <c r="G5" s="267">
        <v>36921.199999999997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/>
      <c r="F6" s="271"/>
      <c r="G6" s="273">
        <v>4305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/>
      <c r="F7" s="271"/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/>
      <c r="F8" s="275"/>
      <c r="G8" s="276">
        <v>28967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/>
      <c r="F9" s="275"/>
      <c r="G9" s="276">
        <v>97.1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75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0</v>
      </c>
      <c r="F11" s="275"/>
      <c r="G11" s="277">
        <v>471.1</v>
      </c>
    </row>
    <row r="12" spans="1:55" s="285" customFormat="1" ht="14">
      <c r="A12" s="278">
        <v>351</v>
      </c>
      <c r="B12" s="279"/>
      <c r="C12" s="280" t="s">
        <v>232</v>
      </c>
      <c r="D12" s="282"/>
      <c r="E12" s="282"/>
      <c r="F12" s="282"/>
      <c r="G12" s="482">
        <v>238.3</v>
      </c>
    </row>
    <row r="13" spans="1:55" s="260" customFormat="1" ht="12.75" customHeight="1">
      <c r="A13" s="261">
        <v>36</v>
      </c>
      <c r="B13" s="262"/>
      <c r="C13" s="263" t="s">
        <v>233</v>
      </c>
      <c r="D13" s="271"/>
      <c r="E13" s="323"/>
      <c r="F13" s="271"/>
      <c r="G13" s="276">
        <v>233423.1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/>
      <c r="E14" s="323"/>
      <c r="F14" s="271"/>
      <c r="G14" s="276">
        <v>18567.099999999999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/>
      <c r="E15" s="323"/>
      <c r="F15" s="271"/>
      <c r="G15" s="276">
        <v>44252.4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/>
      <c r="F16" s="293"/>
      <c r="G16" s="296">
        <v>870</v>
      </c>
    </row>
    <row r="17" spans="1:7" s="299" customFormat="1">
      <c r="A17" s="261">
        <v>37</v>
      </c>
      <c r="B17" s="262"/>
      <c r="C17" s="263" t="s">
        <v>240</v>
      </c>
      <c r="D17" s="316"/>
      <c r="E17" s="264"/>
      <c r="F17" s="316"/>
      <c r="G17" s="298">
        <v>36366</v>
      </c>
    </row>
    <row r="18" spans="1:7" s="299" customFormat="1">
      <c r="A18" s="322" t="s">
        <v>241</v>
      </c>
      <c r="B18" s="269"/>
      <c r="C18" s="270" t="s">
        <v>242</v>
      </c>
      <c r="D18" s="485"/>
      <c r="E18" s="323"/>
      <c r="F18" s="485"/>
      <c r="G18" s="298">
        <v>0</v>
      </c>
    </row>
    <row r="19" spans="1:7" s="299" customFormat="1">
      <c r="A19" s="322" t="s">
        <v>243</v>
      </c>
      <c r="B19" s="269"/>
      <c r="C19" s="270" t="s">
        <v>244</v>
      </c>
      <c r="D19" s="485"/>
      <c r="E19" s="323"/>
      <c r="F19" s="485"/>
      <c r="G19" s="298">
        <v>400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/>
      <c r="F20" s="306">
        <v>0</v>
      </c>
      <c r="G20" s="308">
        <v>36051.5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0</v>
      </c>
      <c r="F21" s="311">
        <f>F4+F5+SUM(F8:F13)+F17</f>
        <v>0</v>
      </c>
      <c r="G21" s="311">
        <f>G4+G5+SUM(G8:G13)+G17</f>
        <v>414007.89999999997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/>
      <c r="F22" s="275"/>
      <c r="G22" s="276">
        <v>134650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/>
      <c r="F23" s="275"/>
      <c r="G23" s="276">
        <v>25895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/>
      <c r="F24" s="275"/>
      <c r="G24" s="276">
        <v>3141.3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/>
      <c r="F25" s="275"/>
      <c r="G25" s="276">
        <v>18879.099999999999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/>
      <c r="F26" s="316"/>
      <c r="G26" s="298">
        <v>2943.5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/>
      <c r="F27" s="316"/>
      <c r="G27" s="298">
        <v>1940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/>
      <c r="F28" s="316"/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/>
      <c r="F29" s="316"/>
      <c r="G29" s="298">
        <v>640.70000000000005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0</v>
      </c>
      <c r="F30" s="264">
        <v>0</v>
      </c>
      <c r="G30" s="319">
        <v>172.19999999999982</v>
      </c>
    </row>
    <row r="31" spans="1:7" s="285" customFormat="1" ht="28">
      <c r="A31" s="278">
        <v>451</v>
      </c>
      <c r="B31" s="279"/>
      <c r="C31" s="280" t="s">
        <v>258</v>
      </c>
      <c r="D31" s="281"/>
      <c r="E31" s="281"/>
      <c r="F31" s="281"/>
      <c r="G31" s="276">
        <v>3022.9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/>
      <c r="F32" s="275"/>
      <c r="G32" s="276">
        <v>155818.70000000001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/>
      <c r="F33" s="271"/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/>
      <c r="F34" s="275"/>
      <c r="G34" s="276">
        <v>36366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/>
      <c r="F35" s="306"/>
      <c r="G35" s="308">
        <v>36051.5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0</v>
      </c>
      <c r="F36" s="311">
        <f>F22+F23+F24+F25+F26+F27+F28+F29+F30+F31+F32+F34</f>
        <v>0</v>
      </c>
      <c r="G36" s="311">
        <f>G22+G23+G24+G25+G26+G27+G28+G29+G30+G31+G32+G34</f>
        <v>383469.4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0</v>
      </c>
      <c r="F37" s="311">
        <f>F36-F21</f>
        <v>0</v>
      </c>
      <c r="G37" s="311">
        <f>G36-G21</f>
        <v>-30538.499999999942</v>
      </c>
    </row>
    <row r="38" spans="1:7" s="285" customFormat="1" ht="15" customHeight="1">
      <c r="A38" s="274">
        <v>340</v>
      </c>
      <c r="B38" s="262"/>
      <c r="C38" s="263" t="s">
        <v>265</v>
      </c>
      <c r="D38" s="275">
        <v>0</v>
      </c>
      <c r="E38" s="264">
        <v>0</v>
      </c>
      <c r="F38" s="275">
        <v>0</v>
      </c>
      <c r="G38" s="276">
        <v>1417</v>
      </c>
    </row>
    <row r="39" spans="1:7" s="285" customFormat="1" ht="15" customHeight="1">
      <c r="A39" s="274">
        <v>341</v>
      </c>
      <c r="B39" s="262"/>
      <c r="C39" s="263" t="s">
        <v>266</v>
      </c>
      <c r="D39" s="275"/>
      <c r="E39" s="275"/>
      <c r="F39" s="275"/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275"/>
      <c r="E40" s="275"/>
      <c r="F40" s="275"/>
      <c r="G40" s="276">
        <v>0</v>
      </c>
    </row>
    <row r="41" spans="1:7" s="285" customFormat="1" ht="15" customHeight="1">
      <c r="A41" s="274">
        <v>343</v>
      </c>
      <c r="B41" s="262"/>
      <c r="C41" s="263" t="s">
        <v>268</v>
      </c>
      <c r="D41" s="275"/>
      <c r="E41" s="275"/>
      <c r="F41" s="275"/>
      <c r="G41" s="276">
        <v>499</v>
      </c>
    </row>
    <row r="42" spans="1:7" s="285" customFormat="1" ht="15" customHeight="1">
      <c r="A42" s="274">
        <v>344</v>
      </c>
      <c r="B42" s="262"/>
      <c r="C42" s="263" t="s">
        <v>269</v>
      </c>
      <c r="D42" s="275"/>
      <c r="E42" s="275"/>
      <c r="F42" s="275"/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/>
      <c r="E43" s="275"/>
      <c r="F43" s="275"/>
      <c r="G43" s="276">
        <v>0</v>
      </c>
    </row>
    <row r="44" spans="1:7" s="260" customFormat="1" ht="15" customHeight="1">
      <c r="A44" s="261">
        <v>440</v>
      </c>
      <c r="B44" s="262"/>
      <c r="C44" s="263" t="s">
        <v>271</v>
      </c>
      <c r="D44" s="275"/>
      <c r="E44" s="264"/>
      <c r="F44" s="275"/>
      <c r="G44" s="276">
        <v>1740.4</v>
      </c>
    </row>
    <row r="45" spans="1:7" s="260" customFormat="1" ht="15" customHeight="1">
      <c r="A45" s="261">
        <v>441</v>
      </c>
      <c r="B45" s="262"/>
      <c r="C45" s="263" t="s">
        <v>272</v>
      </c>
      <c r="D45" s="275">
        <v>0</v>
      </c>
      <c r="E45" s="264">
        <v>0</v>
      </c>
      <c r="F45" s="275">
        <v>0</v>
      </c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275"/>
      <c r="E46" s="264"/>
      <c r="F46" s="275"/>
      <c r="G46" s="276">
        <v>0</v>
      </c>
    </row>
    <row r="47" spans="1:7" s="260" customFormat="1" ht="15" customHeight="1">
      <c r="A47" s="261">
        <v>443</v>
      </c>
      <c r="B47" s="262"/>
      <c r="C47" s="263" t="s">
        <v>274</v>
      </c>
      <c r="D47" s="275"/>
      <c r="E47" s="264"/>
      <c r="F47" s="275"/>
      <c r="G47" s="276">
        <v>1829.1</v>
      </c>
    </row>
    <row r="48" spans="1:7" s="260" customFormat="1" ht="15" customHeight="1">
      <c r="A48" s="261">
        <v>444</v>
      </c>
      <c r="B48" s="262"/>
      <c r="C48" s="263" t="s">
        <v>269</v>
      </c>
      <c r="D48" s="275"/>
      <c r="E48" s="264"/>
      <c r="F48" s="275"/>
      <c r="G48" s="276">
        <v>2190</v>
      </c>
    </row>
    <row r="49" spans="1:7" s="260" customFormat="1" ht="15" customHeight="1">
      <c r="A49" s="261">
        <v>445</v>
      </c>
      <c r="B49" s="262"/>
      <c r="C49" s="263" t="s">
        <v>275</v>
      </c>
      <c r="D49" s="275"/>
      <c r="E49" s="264"/>
      <c r="F49" s="275"/>
      <c r="G49" s="276">
        <v>400</v>
      </c>
    </row>
    <row r="50" spans="1:7" s="260" customFormat="1" ht="15" customHeight="1">
      <c r="A50" s="261">
        <v>446</v>
      </c>
      <c r="B50" s="262"/>
      <c r="C50" s="263" t="s">
        <v>276</v>
      </c>
      <c r="D50" s="275"/>
      <c r="E50" s="264"/>
      <c r="F50" s="275"/>
      <c r="G50" s="276">
        <v>6530</v>
      </c>
    </row>
    <row r="51" spans="1:7" s="260" customFormat="1" ht="15" customHeight="1">
      <c r="A51" s="261">
        <v>447</v>
      </c>
      <c r="B51" s="262"/>
      <c r="C51" s="263" t="s">
        <v>277</v>
      </c>
      <c r="D51" s="275"/>
      <c r="E51" s="264"/>
      <c r="F51" s="275"/>
      <c r="G51" s="276">
        <v>2545</v>
      </c>
    </row>
    <row r="52" spans="1:7" s="260" customFormat="1" ht="15" customHeight="1">
      <c r="A52" s="261">
        <v>448</v>
      </c>
      <c r="B52" s="262"/>
      <c r="C52" s="263" t="s">
        <v>278</v>
      </c>
      <c r="D52" s="275"/>
      <c r="E52" s="264"/>
      <c r="F52" s="275"/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275"/>
      <c r="E53" s="264"/>
      <c r="F53" s="275"/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/>
      <c r="E54" s="331"/>
      <c r="F54" s="332"/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0</v>
      </c>
      <c r="F55" s="311">
        <f>SUM(F44:F53)-SUM(F38:F43)</f>
        <v>0</v>
      </c>
      <c r="G55" s="311">
        <f>SUM(G44:G53)-SUM(G38:G43)</f>
        <v>13318.5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0</v>
      </c>
      <c r="F56" s="311">
        <f>F55+F37</f>
        <v>0</v>
      </c>
      <c r="G56" s="311">
        <f>G55+G37</f>
        <v>-17219.999999999942</v>
      </c>
    </row>
    <row r="57" spans="1:7" s="260" customFormat="1" ht="15.75" customHeight="1">
      <c r="A57" s="336">
        <v>380</v>
      </c>
      <c r="B57" s="337"/>
      <c r="C57" s="338" t="s">
        <v>284</v>
      </c>
      <c r="D57" s="257">
        <v>0</v>
      </c>
      <c r="E57" s="257">
        <v>0</v>
      </c>
      <c r="F57" s="257">
        <v>0</v>
      </c>
      <c r="G57" s="257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257">
        <v>0</v>
      </c>
      <c r="E58" s="257">
        <v>0</v>
      </c>
      <c r="F58" s="257">
        <v>0</v>
      </c>
      <c r="G58" s="257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343"/>
      <c r="F59" s="344"/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346"/>
      <c r="F60" s="346"/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346"/>
      <c r="F61" s="346"/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346"/>
      <c r="F62" s="346"/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346"/>
      <c r="F63" s="346"/>
      <c r="G63" s="482">
        <v>0</v>
      </c>
    </row>
    <row r="64" spans="1:7" s="285" customFormat="1">
      <c r="A64" s="274">
        <v>389</v>
      </c>
      <c r="B64" s="352"/>
      <c r="C64" s="263" t="s">
        <v>57</v>
      </c>
      <c r="D64" s="275"/>
      <c r="E64" s="275"/>
      <c r="F64" s="275"/>
      <c r="G64" s="276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/>
      <c r="F65" s="275"/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/>
      <c r="F66" s="344"/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/>
      <c r="F67" s="275"/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/>
      <c r="F68" s="275"/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/>
      <c r="F69" s="275"/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/>
      <c r="F70" s="275"/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/>
      <c r="F71" s="275"/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/>
      <c r="F72" s="275"/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/>
      <c r="F73" s="275"/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/>
      <c r="F74" s="275"/>
      <c r="G74" s="276">
        <v>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/>
      <c r="F75" s="275"/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0</v>
      </c>
      <c r="F77" s="311">
        <f>F56+F76</f>
        <v>0</v>
      </c>
      <c r="G77" s="311">
        <f>G56+G76</f>
        <v>-17219.999999999942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0</v>
      </c>
      <c r="F78" s="361">
        <f>F20+F21+SUM(F38:F43)+SUM(F57:F64)</f>
        <v>0</v>
      </c>
      <c r="G78" s="361">
        <f>G20+G21+SUM(G38:G43)+SUM(G57:G64)</f>
        <v>451975.39999999997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0</v>
      </c>
      <c r="F79" s="361">
        <f>F35+F36+SUM(F44:F53)+SUM(F65:F74)</f>
        <v>0</v>
      </c>
      <c r="G79" s="361">
        <f>G35+G36+SUM(G44:G53)+SUM(G65:G74)</f>
        <v>434755.4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275"/>
      <c r="E82" s="275"/>
      <c r="F82" s="275"/>
      <c r="G82" s="276">
        <v>40148.5</v>
      </c>
    </row>
    <row r="83" spans="1:7" s="260" customFormat="1">
      <c r="A83" s="367">
        <v>51</v>
      </c>
      <c r="B83" s="368"/>
      <c r="C83" s="368" t="s">
        <v>310</v>
      </c>
      <c r="D83" s="275"/>
      <c r="E83" s="275"/>
      <c r="F83" s="275"/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275"/>
      <c r="E84" s="275"/>
      <c r="F84" s="275"/>
      <c r="G84" s="276">
        <v>845</v>
      </c>
    </row>
    <row r="85" spans="1:7" s="260" customFormat="1">
      <c r="A85" s="369">
        <v>54</v>
      </c>
      <c r="B85" s="370"/>
      <c r="C85" s="370" t="s">
        <v>312</v>
      </c>
      <c r="D85" s="271"/>
      <c r="E85" s="271"/>
      <c r="F85" s="271"/>
      <c r="G85" s="276">
        <v>1120</v>
      </c>
    </row>
    <row r="86" spans="1:7" s="260" customFormat="1">
      <c r="A86" s="369">
        <v>55</v>
      </c>
      <c r="B86" s="370"/>
      <c r="C86" s="370" t="s">
        <v>313</v>
      </c>
      <c r="D86" s="271"/>
      <c r="E86" s="271"/>
      <c r="F86" s="271"/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271"/>
      <c r="E87" s="271"/>
      <c r="F87" s="271"/>
      <c r="G87" s="276">
        <v>5336</v>
      </c>
    </row>
    <row r="88" spans="1:7" s="260" customFormat="1">
      <c r="A88" s="367">
        <v>57</v>
      </c>
      <c r="B88" s="368"/>
      <c r="C88" s="368" t="s">
        <v>315</v>
      </c>
      <c r="D88" s="275"/>
      <c r="E88" s="275"/>
      <c r="F88" s="275"/>
      <c r="G88" s="276">
        <v>3705.3</v>
      </c>
    </row>
    <row r="89" spans="1:7" s="260" customFormat="1">
      <c r="A89" s="367">
        <v>580</v>
      </c>
      <c r="B89" s="368"/>
      <c r="C89" s="368" t="s">
        <v>316</v>
      </c>
      <c r="D89" s="275"/>
      <c r="E89" s="275"/>
      <c r="F89" s="275"/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/>
      <c r="F90" s="275"/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/>
      <c r="F91" s="275"/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/>
      <c r="F92" s="275"/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/>
      <c r="F93" s="275"/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/>
      <c r="F94" s="306"/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0</v>
      </c>
      <c r="F95" s="376">
        <f>SUM(F82:F94)</f>
        <v>0</v>
      </c>
      <c r="G95" s="376">
        <f>SUM(G82:G94)</f>
        <v>51154.8</v>
      </c>
    </row>
    <row r="96" spans="1:7" s="260" customFormat="1">
      <c r="A96" s="367">
        <v>60</v>
      </c>
      <c r="B96" s="368"/>
      <c r="C96" s="368" t="s">
        <v>323</v>
      </c>
      <c r="D96" s="275"/>
      <c r="E96" s="275"/>
      <c r="F96" s="275"/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275"/>
      <c r="E97" s="275"/>
      <c r="F97" s="275"/>
      <c r="G97" s="276">
        <v>2406</v>
      </c>
    </row>
    <row r="98" spans="1:7" s="260" customFormat="1">
      <c r="A98" s="367">
        <v>62</v>
      </c>
      <c r="B98" s="368"/>
      <c r="C98" s="368" t="s">
        <v>325</v>
      </c>
      <c r="D98" s="275"/>
      <c r="E98" s="275"/>
      <c r="F98" s="275"/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275"/>
      <c r="E99" s="275"/>
      <c r="F99" s="275"/>
      <c r="G99" s="276">
        <v>4754</v>
      </c>
    </row>
    <row r="100" spans="1:7" s="260" customFormat="1">
      <c r="A100" s="369">
        <v>64</v>
      </c>
      <c r="B100" s="370"/>
      <c r="C100" s="370" t="s">
        <v>327</v>
      </c>
      <c r="D100" s="271"/>
      <c r="E100" s="271"/>
      <c r="F100" s="271"/>
      <c r="G100" s="276">
        <v>1110</v>
      </c>
    </row>
    <row r="101" spans="1:7" s="260" customFormat="1">
      <c r="A101" s="369">
        <v>65</v>
      </c>
      <c r="B101" s="370"/>
      <c r="C101" s="370" t="s">
        <v>328</v>
      </c>
      <c r="D101" s="271"/>
      <c r="E101" s="271"/>
      <c r="F101" s="271"/>
      <c r="G101" s="276">
        <v>0</v>
      </c>
    </row>
    <row r="102" spans="1:7" s="260" customFormat="1">
      <c r="A102" s="369">
        <v>66</v>
      </c>
      <c r="B102" s="370"/>
      <c r="C102" s="370" t="s">
        <v>329</v>
      </c>
      <c r="D102" s="271"/>
      <c r="E102" s="271"/>
      <c r="F102" s="271"/>
      <c r="G102" s="276">
        <v>0</v>
      </c>
    </row>
    <row r="103" spans="1:7" s="260" customFormat="1">
      <c r="A103" s="367">
        <v>67</v>
      </c>
      <c r="B103" s="368"/>
      <c r="C103" s="368" t="s">
        <v>315</v>
      </c>
      <c r="D103" s="275"/>
      <c r="E103" s="275"/>
      <c r="F103" s="275"/>
      <c r="G103" s="267">
        <v>3705.3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/>
      <c r="F104" s="264"/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/>
      <c r="F105" s="304"/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0</v>
      </c>
      <c r="F106" s="376">
        <f>SUM(F96:F105)</f>
        <v>0</v>
      </c>
      <c r="G106" s="376">
        <f>SUM(G96:G105)</f>
        <v>11975.3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0</v>
      </c>
      <c r="F107" s="376">
        <f>(F95-F88)-(F106-F103)</f>
        <v>0</v>
      </c>
      <c r="G107" s="376">
        <f>(G95-G88)-(G106-G103)</f>
        <v>39179.5</v>
      </c>
    </row>
    <row r="108" spans="1:7">
      <c r="A108" s="387" t="s">
        <v>336</v>
      </c>
      <c r="B108" s="387"/>
      <c r="C108" s="388" t="s">
        <v>337</v>
      </c>
      <c r="D108" s="376">
        <f>D107-D85-D86+D100+D101</f>
        <v>0</v>
      </c>
      <c r="E108" s="376">
        <f>E107-E85-E86+E100+E101</f>
        <v>0</v>
      </c>
      <c r="F108" s="376">
        <f>F107-F85-F86+F100+F101</f>
        <v>0</v>
      </c>
      <c r="G108" s="376">
        <f>G107-G85-G86+G100+G101</f>
        <v>39169.5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394">
        <f>E112+E117</f>
        <v>0</v>
      </c>
      <c r="F111" s="394">
        <f>F112+F117</f>
        <v>0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394">
        <f>E113+E114+E115+E116</f>
        <v>0</v>
      </c>
      <c r="F112" s="394">
        <f>F113+F114+F115+F116</f>
        <v>0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275"/>
      <c r="F113" s="275"/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/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275"/>
      <c r="F115" s="275"/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275"/>
      <c r="F116" s="275"/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394">
        <f>E118+E119+E120</f>
        <v>0</v>
      </c>
      <c r="F117" s="394">
        <f>F118+F119+F120</f>
        <v>0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275"/>
      <c r="F118" s="275"/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275"/>
      <c r="F119" s="275"/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/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0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275"/>
      <c r="F122" s="275"/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275"/>
      <c r="F123" s="275"/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412"/>
      <c r="F124" s="275"/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412"/>
      <c r="F125" s="275"/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416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412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412"/>
      <c r="F128" s="275"/>
      <c r="G128" s="413"/>
    </row>
    <row r="129" spans="1:8" s="396" customFormat="1">
      <c r="A129" s="410">
        <v>1486</v>
      </c>
      <c r="B129" s="411"/>
      <c r="C129" s="411" t="s">
        <v>361</v>
      </c>
      <c r="D129" s="275"/>
      <c r="E129" s="412"/>
      <c r="F129" s="275"/>
      <c r="G129" s="413"/>
    </row>
    <row r="130" spans="1:8" s="396" customFormat="1">
      <c r="A130" s="418">
        <v>1489</v>
      </c>
      <c r="B130" s="419"/>
      <c r="C130" s="419" t="s">
        <v>362</v>
      </c>
      <c r="D130" s="306"/>
      <c r="E130" s="420"/>
      <c r="F130" s="306"/>
      <c r="G130" s="421"/>
    </row>
    <row r="131" spans="1:8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0</v>
      </c>
      <c r="G131" s="424">
        <f>G111+G121</f>
        <v>0</v>
      </c>
    </row>
    <row r="132" spans="1:8" s="250" customFormat="1">
      <c r="A132" s="362"/>
      <c r="B132" s="362"/>
      <c r="C132" s="363"/>
      <c r="D132" s="364"/>
      <c r="E132" s="364"/>
      <c r="F132" s="364"/>
      <c r="G132" s="364"/>
    </row>
    <row r="133" spans="1:8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0</v>
      </c>
      <c r="G133" s="426">
        <f>G134+G140</f>
        <v>0</v>
      </c>
    </row>
    <row r="134" spans="1:8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0</v>
      </c>
      <c r="G134" s="395">
        <f>G135+G136+G138+G139</f>
        <v>0</v>
      </c>
    </row>
    <row r="135" spans="1:8" s="429" customFormat="1">
      <c r="A135" s="428">
        <v>200</v>
      </c>
      <c r="B135" s="411"/>
      <c r="C135" s="411" t="s">
        <v>367</v>
      </c>
      <c r="D135" s="275"/>
      <c r="E135" s="275"/>
      <c r="F135" s="275"/>
      <c r="G135" s="277"/>
    </row>
    <row r="136" spans="1:8" s="429" customFormat="1">
      <c r="A136" s="428">
        <v>201</v>
      </c>
      <c r="B136" s="411"/>
      <c r="C136" s="411" t="s">
        <v>368</v>
      </c>
      <c r="D136" s="275"/>
      <c r="E136" s="275"/>
      <c r="F136" s="275"/>
      <c r="G136" s="277"/>
    </row>
    <row r="137" spans="1:8" s="429" customFormat="1">
      <c r="A137" s="430" t="s">
        <v>369</v>
      </c>
      <c r="B137" s="400"/>
      <c r="C137" s="400" t="s">
        <v>370</v>
      </c>
      <c r="D137" s="271"/>
      <c r="E137" s="431"/>
      <c r="F137" s="271"/>
      <c r="G137" s="432"/>
    </row>
    <row r="138" spans="1:8" s="429" customFormat="1">
      <c r="A138" s="428">
        <v>204</v>
      </c>
      <c r="B138" s="411"/>
      <c r="C138" s="411" t="s">
        <v>371</v>
      </c>
      <c r="D138" s="275"/>
      <c r="E138" s="412"/>
      <c r="F138" s="275"/>
      <c r="G138" s="413"/>
    </row>
    <row r="139" spans="1:8" s="429" customFormat="1">
      <c r="A139" s="428">
        <v>205</v>
      </c>
      <c r="B139" s="411"/>
      <c r="C139" s="411" t="s">
        <v>372</v>
      </c>
      <c r="D139" s="275"/>
      <c r="E139" s="412"/>
      <c r="F139" s="275"/>
      <c r="G139" s="413"/>
    </row>
    <row r="140" spans="1:8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0</v>
      </c>
      <c r="G140" s="395">
        <f>G141+G143+G144</f>
        <v>0</v>
      </c>
    </row>
    <row r="141" spans="1:8" s="429" customFormat="1">
      <c r="A141" s="428">
        <v>206</v>
      </c>
      <c r="B141" s="411"/>
      <c r="C141" s="411" t="s">
        <v>375</v>
      </c>
      <c r="D141" s="275"/>
      <c r="E141" s="412"/>
      <c r="F141" s="275"/>
      <c r="G141" s="413"/>
    </row>
    <row r="142" spans="1:8" s="429" customFormat="1">
      <c r="A142" s="430" t="s">
        <v>376</v>
      </c>
      <c r="B142" s="400"/>
      <c r="C142" s="400" t="s">
        <v>377</v>
      </c>
      <c r="D142" s="271"/>
      <c r="E142" s="271"/>
      <c r="F142" s="271"/>
      <c r="G142" s="401"/>
    </row>
    <row r="143" spans="1:8" s="429" customFormat="1">
      <c r="A143" s="428">
        <v>208</v>
      </c>
      <c r="B143" s="411"/>
      <c r="C143" s="411" t="s">
        <v>378</v>
      </c>
      <c r="D143" s="275"/>
      <c r="E143" s="275"/>
      <c r="F143" s="275"/>
      <c r="G143" s="277"/>
      <c r="H143" s="396"/>
    </row>
    <row r="144" spans="1:8" s="433" customFormat="1" ht="28">
      <c r="A144" s="414">
        <v>209</v>
      </c>
      <c r="B144" s="415"/>
      <c r="C144" s="415" t="s">
        <v>379</v>
      </c>
      <c r="D144" s="281"/>
      <c r="E144" s="281"/>
      <c r="F144" s="281"/>
      <c r="G144" s="496"/>
      <c r="H144" s="409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/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/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0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509"/>
      <c r="C150" s="509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0</v>
      </c>
      <c r="F150" s="442">
        <f>F77+SUM(F8:F12)-F30-F31+F16-F33+F59+F63-F73+F64-F74-F54+F20-F35</f>
        <v>0</v>
      </c>
      <c r="G150" s="442">
        <f>G77+SUM(G8:G12)-G30-G31+G16-G33+G59+G63-G73+G64-G74-G54+G20-G35</f>
        <v>10228.400000000052</v>
      </c>
    </row>
    <row r="151" spans="1:7">
      <c r="A151" s="510" t="s">
        <v>387</v>
      </c>
      <c r="B151" s="510"/>
      <c r="C151" s="510" t="s">
        <v>388</v>
      </c>
      <c r="D151" s="445">
        <f>IF(D177=0,0,D150/D177)</f>
        <v>0</v>
      </c>
      <c r="E151" s="445">
        <f>IF(E177=0,0,E150/E177)</f>
        <v>0</v>
      </c>
      <c r="F151" s="445">
        <f>IF(F177=0,0,F150/F177)</f>
        <v>0</v>
      </c>
      <c r="G151" s="445">
        <f>IF(G177=0,0,G150/G177)</f>
        <v>2.8228899046994674E-2</v>
      </c>
    </row>
    <row r="152" spans="1:7" s="328" customFormat="1" ht="28">
      <c r="A152" s="511" t="s">
        <v>389</v>
      </c>
      <c r="B152" s="511"/>
      <c r="C152" s="511" t="s">
        <v>390</v>
      </c>
      <c r="D152" s="504">
        <f t="shared" ref="D152:G153" si="0">IF(IF(D107=0,0,D$150/D107)&lt;0,"negativ",(IF(D107=0,0,D$150/D107)))</f>
        <v>0</v>
      </c>
      <c r="E152" s="504">
        <f t="shared" si="0"/>
        <v>0</v>
      </c>
      <c r="F152" s="504">
        <f t="shared" si="0"/>
        <v>0</v>
      </c>
      <c r="G152" s="504">
        <f t="shared" si="0"/>
        <v>0.26106509781901382</v>
      </c>
    </row>
    <row r="153" spans="1:7" s="328" customFormat="1" ht="28">
      <c r="A153" s="512" t="s">
        <v>389</v>
      </c>
      <c r="B153" s="512"/>
      <c r="C153" s="512" t="s">
        <v>391</v>
      </c>
      <c r="D153" s="507">
        <f t="shared" si="0"/>
        <v>0</v>
      </c>
      <c r="E153" s="507">
        <f t="shared" si="0"/>
        <v>0</v>
      </c>
      <c r="F153" s="507">
        <f t="shared" si="0"/>
        <v>0</v>
      </c>
      <c r="G153" s="507">
        <f t="shared" si="0"/>
        <v>0.26113174791610955</v>
      </c>
    </row>
    <row r="154" spans="1:7" ht="28">
      <c r="A154" s="513" t="s">
        <v>392</v>
      </c>
      <c r="B154" s="513"/>
      <c r="C154" s="513" t="s">
        <v>393</v>
      </c>
      <c r="D154" s="455">
        <f>D150-D107</f>
        <v>0</v>
      </c>
      <c r="E154" s="455">
        <f>E150-E107</f>
        <v>0</v>
      </c>
      <c r="F154" s="455">
        <f>F150-F107</f>
        <v>0</v>
      </c>
      <c r="G154" s="455">
        <f>G150-G107</f>
        <v>-28951.099999999948</v>
      </c>
    </row>
    <row r="155" spans="1:7" ht="28">
      <c r="A155" s="512" t="s">
        <v>394</v>
      </c>
      <c r="B155" s="512"/>
      <c r="C155" s="512" t="s">
        <v>395</v>
      </c>
      <c r="D155" s="456">
        <f>D150-D108</f>
        <v>0</v>
      </c>
      <c r="E155" s="456">
        <f>E150-E108</f>
        <v>0</v>
      </c>
      <c r="F155" s="456">
        <f>F150-F108</f>
        <v>0</v>
      </c>
      <c r="G155" s="456">
        <f>G150-G108</f>
        <v>-28941.099999999948</v>
      </c>
    </row>
    <row r="156" spans="1:7">
      <c r="A156" s="509" t="s">
        <v>396</v>
      </c>
      <c r="B156" s="509"/>
      <c r="C156" s="509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0</v>
      </c>
      <c r="G156" s="457">
        <f>G135+G136-G137+G141-G142</f>
        <v>0</v>
      </c>
    </row>
    <row r="157" spans="1:7">
      <c r="A157" s="514" t="s">
        <v>398</v>
      </c>
      <c r="B157" s="514"/>
      <c r="C157" s="514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</v>
      </c>
      <c r="G157" s="460">
        <f>IF(G177=0,0,G156/G177)</f>
        <v>0</v>
      </c>
    </row>
    <row r="158" spans="1:7">
      <c r="A158" s="509" t="s">
        <v>400</v>
      </c>
      <c r="B158" s="509"/>
      <c r="C158" s="509" t="s">
        <v>401</v>
      </c>
      <c r="D158" s="457">
        <f>D133-D142-D111</f>
        <v>0</v>
      </c>
      <c r="E158" s="457">
        <f>E133-E142-E111</f>
        <v>0</v>
      </c>
      <c r="F158" s="457">
        <f>F133-F142-F111</f>
        <v>0</v>
      </c>
      <c r="G158" s="457">
        <f>G133-G142-G111</f>
        <v>0</v>
      </c>
    </row>
    <row r="159" spans="1:7">
      <c r="A159" s="510" t="s">
        <v>402</v>
      </c>
      <c r="B159" s="510"/>
      <c r="C159" s="510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0</v>
      </c>
      <c r="G159" s="461">
        <f>G121-G123-G124-G142-G145</f>
        <v>0</v>
      </c>
    </row>
    <row r="160" spans="1:7">
      <c r="A160" s="510" t="s">
        <v>404</v>
      </c>
      <c r="B160" s="510"/>
      <c r="C160" s="510" t="s">
        <v>405</v>
      </c>
      <c r="D160" s="462" t="str">
        <f>IF(D175=0,"-",1000*D158/D175)</f>
        <v>-</v>
      </c>
      <c r="E160" s="462" t="str">
        <f>IF(E175=0,"-",1000*E158/E175)</f>
        <v>-</v>
      </c>
      <c r="F160" s="462" t="str">
        <f>IF(F175=0,"-",1000*F158/F175)</f>
        <v>-</v>
      </c>
      <c r="G160" s="462">
        <f>IF(G175=0,"-",1000*G158/G175)</f>
        <v>0</v>
      </c>
    </row>
    <row r="161" spans="1:7">
      <c r="A161" s="510" t="s">
        <v>404</v>
      </c>
      <c r="B161" s="510"/>
      <c r="C161" s="510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0</v>
      </c>
      <c r="G161" s="461">
        <f>IF(G175=0,0,1000*(G159/G175))</f>
        <v>0</v>
      </c>
    </row>
    <row r="162" spans="1:7">
      <c r="A162" s="514" t="s">
        <v>407</v>
      </c>
      <c r="B162" s="514"/>
      <c r="C162" s="514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</v>
      </c>
      <c r="G162" s="460">
        <f>IF((G22+G23+G65+G66)=0,0,G158/(G22+G23+G65+G66))</f>
        <v>0</v>
      </c>
    </row>
    <row r="163" spans="1:7">
      <c r="A163" s="510" t="s">
        <v>409</v>
      </c>
      <c r="B163" s="510"/>
      <c r="C163" s="510" t="s">
        <v>380</v>
      </c>
      <c r="D163" s="442">
        <f>D145</f>
        <v>0</v>
      </c>
      <c r="E163" s="442">
        <f>E145</f>
        <v>0</v>
      </c>
      <c r="F163" s="442">
        <f>F145</f>
        <v>0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</v>
      </c>
      <c r="G164" s="452">
        <f>IF(G178=0,0,G146/G178)</f>
        <v>0</v>
      </c>
    </row>
    <row r="165" spans="1:7">
      <c r="A165" s="515" t="s">
        <v>681</v>
      </c>
      <c r="B165" s="515"/>
      <c r="C165" s="515" t="s">
        <v>414</v>
      </c>
      <c r="D165" s="465">
        <f>IF(D177=0,0,D180/D177)</f>
        <v>0</v>
      </c>
      <c r="E165" s="465">
        <f>IF(E177=0,0,E180/E177)</f>
        <v>0</v>
      </c>
      <c r="F165" s="465">
        <f>IF(F177=0,0,F180/F177)</f>
        <v>0</v>
      </c>
      <c r="G165" s="465">
        <f>IF(G177=0,0,G180/G177)</f>
        <v>8.1721233136252083E-2</v>
      </c>
    </row>
    <row r="166" spans="1:7">
      <c r="A166" s="510" t="s">
        <v>415</v>
      </c>
      <c r="B166" s="510"/>
      <c r="C166" s="510" t="s">
        <v>282</v>
      </c>
      <c r="D166" s="442">
        <f>D55</f>
        <v>0</v>
      </c>
      <c r="E166" s="442">
        <f>E55</f>
        <v>0</v>
      </c>
      <c r="F166" s="442">
        <f>F55</f>
        <v>0</v>
      </c>
      <c r="G166" s="442">
        <f>G55</f>
        <v>13318.5</v>
      </c>
    </row>
    <row r="167" spans="1:7">
      <c r="A167" s="514" t="s">
        <v>416</v>
      </c>
      <c r="B167" s="514"/>
      <c r="C167" s="514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0</v>
      </c>
      <c r="G167" s="460">
        <f>IF(0=G111,0,(G44+G45+G46+G47+G48)/G111)</f>
        <v>0</v>
      </c>
    </row>
    <row r="168" spans="1:7">
      <c r="A168" s="510" t="s">
        <v>418</v>
      </c>
      <c r="B168" s="509"/>
      <c r="C168" s="509" t="s">
        <v>419</v>
      </c>
      <c r="D168" s="442">
        <f>D38-D44</f>
        <v>0</v>
      </c>
      <c r="E168" s="442">
        <f>E38-E44</f>
        <v>0</v>
      </c>
      <c r="F168" s="442">
        <f>F38-F44</f>
        <v>0</v>
      </c>
      <c r="G168" s="442">
        <f>G38-G44</f>
        <v>-323.40000000000009</v>
      </c>
    </row>
    <row r="169" spans="1:7">
      <c r="A169" s="514" t="s">
        <v>420</v>
      </c>
      <c r="B169" s="514"/>
      <c r="C169" s="514" t="s">
        <v>421</v>
      </c>
      <c r="D169" s="445">
        <f>IF(D177=0,0,D168/D177)</f>
        <v>0</v>
      </c>
      <c r="E169" s="445">
        <f>IF(E177=0,0,E168/E177)</f>
        <v>0</v>
      </c>
      <c r="F169" s="445">
        <f>IF(F177=0,0,F168/F177)</f>
        <v>0</v>
      </c>
      <c r="G169" s="445">
        <f>IF(G177=0,0,G168/G177)</f>
        <v>-8.9253704898107559E-4</v>
      </c>
    </row>
    <row r="170" spans="1:7">
      <c r="A170" s="510" t="s">
        <v>422</v>
      </c>
      <c r="B170" s="510"/>
      <c r="C170" s="510" t="s">
        <v>423</v>
      </c>
      <c r="D170" s="442">
        <f>SUM(D82:D87)+SUM(D89:D94)</f>
        <v>0</v>
      </c>
      <c r="E170" s="442">
        <f>SUM(E82:E87)+SUM(E89:E94)</f>
        <v>0</v>
      </c>
      <c r="F170" s="442">
        <f>SUM(F82:F87)+SUM(F89:F94)</f>
        <v>0</v>
      </c>
      <c r="G170" s="442">
        <f>SUM(G82:G87)+SUM(G89:G94)</f>
        <v>47449.5</v>
      </c>
    </row>
    <row r="171" spans="1:7">
      <c r="A171" s="510" t="s">
        <v>424</v>
      </c>
      <c r="B171" s="510"/>
      <c r="C171" s="510" t="s">
        <v>425</v>
      </c>
      <c r="D171" s="461">
        <f>SUM(D96:D102)+SUM(D104:D105)</f>
        <v>0</v>
      </c>
      <c r="E171" s="461">
        <f>SUM(E96:E102)+SUM(E104:E105)</f>
        <v>0</v>
      </c>
      <c r="F171" s="461">
        <f>SUM(F96:F102)+SUM(F104:F105)</f>
        <v>0</v>
      </c>
      <c r="G171" s="461">
        <f>SUM(G96:G102)+SUM(G104:G105)</f>
        <v>8270</v>
      </c>
    </row>
    <row r="172" spans="1:7">
      <c r="A172" s="515" t="s">
        <v>413</v>
      </c>
      <c r="B172" s="515"/>
      <c r="C172" s="515" t="s">
        <v>426</v>
      </c>
      <c r="D172" s="465">
        <f>IF(D184=0,0,D170/D184)</f>
        <v>0</v>
      </c>
      <c r="E172" s="465">
        <f>IF(E184=0,0,E170/E184)</f>
        <v>0</v>
      </c>
      <c r="F172" s="465">
        <f>IF(F184=0,0,F170/F184)</f>
        <v>0</v>
      </c>
      <c r="G172" s="465">
        <f>IF(G184=0,0,G170/G184)</f>
        <v>0.11971196165947504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455</v>
      </c>
      <c r="D175" s="470"/>
      <c r="E175" s="470"/>
      <c r="F175" s="470"/>
      <c r="G175" s="472">
        <v>193388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0</v>
      </c>
      <c r="F177" s="472">
        <f>SUM(F22:F32)+SUM(F44:F53)+SUM(F65:F72)+F75</f>
        <v>0</v>
      </c>
      <c r="G177" s="472">
        <f>SUM(G22:G32)+SUM(G44:G53)+SUM(G65:G72)+G75</f>
        <v>362337.9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0</v>
      </c>
      <c r="F178" s="472">
        <f>F78-F17-F20-F59-F63-F64</f>
        <v>0</v>
      </c>
      <c r="G178" s="472">
        <f>G78-G17-G20-G59-G63-G64</f>
        <v>379557.89999999997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0</v>
      </c>
      <c r="F179" s="472">
        <f>F178+F170</f>
        <v>0</v>
      </c>
      <c r="G179" s="472">
        <f>G178+G170</f>
        <v>427007.39999999997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0</v>
      </c>
      <c r="F180" s="472">
        <f>F38-F44+F8+F9+F10+F16-F33</f>
        <v>0</v>
      </c>
      <c r="G180" s="472">
        <f>G38-G44+G8+G9+G10+G16-G33</f>
        <v>29610.699999999997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0</v>
      </c>
      <c r="F181" s="475">
        <f>F22+F23+F24+F25+F26+F29+SUM(F44:F47)+SUM(F49:F53)-F54+F32-F33+SUM(F65:F70)+F72</f>
        <v>0</v>
      </c>
      <c r="G181" s="475">
        <f>G22+G23+G24+G25+G26+G29+SUM(G44:G47)+SUM(G49:G53)-G54+G32-G33+SUM(G65:G70)+G72</f>
        <v>355012.80000000005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0</v>
      </c>
      <c r="F182" s="475">
        <f>F181+F171</f>
        <v>0</v>
      </c>
      <c r="G182" s="475">
        <f>G181+G171</f>
        <v>363282.80000000005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0</v>
      </c>
      <c r="F183" s="475">
        <f>F4+F5-F7+F38+F39+F40+F41+F43+F13-F16+F57+F58+F60+F61+F62</f>
        <v>0</v>
      </c>
      <c r="G183" s="475">
        <f>G4+G5-G7+G38+G39+G40+G41+G43+G13-G16+G57+G58+G60+G61+G62</f>
        <v>348914.4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0</v>
      </c>
      <c r="F184" s="475">
        <f>F183+F170</f>
        <v>0</v>
      </c>
      <c r="G184" s="475">
        <f>G183+G170</f>
        <v>396363.9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0</v>
      </c>
      <c r="F185" s="475">
        <f t="shared" si="1"/>
        <v>0</v>
      </c>
      <c r="G185" s="475">
        <f t="shared" si="1"/>
        <v>6098.4000000000233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0</v>
      </c>
      <c r="F186" s="475">
        <f t="shared" si="1"/>
        <v>0</v>
      </c>
      <c r="G186" s="475">
        <f t="shared" si="1"/>
        <v>-33081.099999999977</v>
      </c>
    </row>
  </sheetData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2" max="2" width="42.5" customWidth="1"/>
    <col min="4" max="4" width="8.6640625" customWidth="1"/>
    <col min="6" max="6" width="9" customWidth="1"/>
    <col min="8" max="8" width="9.33203125" customWidth="1"/>
  </cols>
  <sheetData>
    <row r="1" spans="1:9">
      <c r="A1" s="5" t="s">
        <v>20</v>
      </c>
      <c r="B1" s="6" t="s">
        <v>166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20042.7</v>
      </c>
      <c r="D4" s="11">
        <v>4.7912706371895965E-2</v>
      </c>
      <c r="E4" s="10">
        <v>21003</v>
      </c>
      <c r="F4" s="11">
        <v>4.3469980478978848E-3</v>
      </c>
      <c r="G4" s="10">
        <v>21094.3</v>
      </c>
      <c r="H4" s="11">
        <v>2.7908013065140857E-2</v>
      </c>
      <c r="I4" s="12">
        <v>21683</v>
      </c>
    </row>
    <row r="5" spans="1:9">
      <c r="A5" s="13" t="s">
        <v>30</v>
      </c>
      <c r="B5" s="14" t="s">
        <v>31</v>
      </c>
      <c r="C5" s="15">
        <v>10357.6</v>
      </c>
      <c r="D5" s="16">
        <v>0.15316289487912255</v>
      </c>
      <c r="E5" s="15">
        <v>11944</v>
      </c>
      <c r="F5" s="16">
        <v>-0.10401875418620225</v>
      </c>
      <c r="G5" s="15">
        <v>10701.6</v>
      </c>
      <c r="H5" s="16">
        <v>0.12642034835912383</v>
      </c>
      <c r="I5" s="17">
        <v>12054.5</v>
      </c>
    </row>
    <row r="6" spans="1:9">
      <c r="A6" s="13" t="s">
        <v>32</v>
      </c>
      <c r="B6" s="14" t="s">
        <v>33</v>
      </c>
      <c r="C6" s="15">
        <v>1075.7</v>
      </c>
      <c r="D6" s="16">
        <v>0.20851538533048242</v>
      </c>
      <c r="E6" s="15">
        <v>1300</v>
      </c>
      <c r="F6" s="16">
        <v>-0.24223076923076922</v>
      </c>
      <c r="G6" s="15">
        <v>985.1</v>
      </c>
      <c r="H6" s="16">
        <v>0.44046289716780018</v>
      </c>
      <c r="I6" s="17">
        <v>1419</v>
      </c>
    </row>
    <row r="7" spans="1:9">
      <c r="A7" s="13" t="s">
        <v>34</v>
      </c>
      <c r="B7" s="14" t="s">
        <v>35</v>
      </c>
      <c r="C7" s="15">
        <v>19.899999999999999</v>
      </c>
      <c r="D7" s="16">
        <v>2.3668341708542715</v>
      </c>
      <c r="E7" s="15">
        <v>67</v>
      </c>
      <c r="F7" s="16">
        <v>-0.77462686567164174</v>
      </c>
      <c r="G7" s="15">
        <v>15.1</v>
      </c>
      <c r="H7" s="16">
        <v>0.98675496688741726</v>
      </c>
      <c r="I7" s="17">
        <v>30</v>
      </c>
    </row>
    <row r="8" spans="1:9">
      <c r="A8" s="13" t="s">
        <v>36</v>
      </c>
      <c r="B8" s="14" t="s">
        <v>37</v>
      </c>
      <c r="C8" s="15">
        <v>0</v>
      </c>
      <c r="D8" s="43" t="s">
        <v>48</v>
      </c>
      <c r="E8" s="15">
        <v>0</v>
      </c>
      <c r="F8" s="43" t="s">
        <v>48</v>
      </c>
      <c r="G8" s="15">
        <v>0</v>
      </c>
      <c r="H8" s="43" t="s">
        <v>48</v>
      </c>
      <c r="I8" s="17">
        <v>0</v>
      </c>
    </row>
    <row r="9" spans="1:9">
      <c r="A9" s="13" t="s">
        <v>38</v>
      </c>
      <c r="B9" s="14" t="s">
        <v>39</v>
      </c>
      <c r="C9" s="15">
        <v>7363.5</v>
      </c>
      <c r="D9" s="16">
        <v>-0.77537855639301967</v>
      </c>
      <c r="E9" s="15">
        <v>1654</v>
      </c>
      <c r="F9" s="16">
        <v>1.9808948004836757</v>
      </c>
      <c r="G9" s="15">
        <v>4930.3999999999996</v>
      </c>
      <c r="H9" s="16">
        <v>-0.56109037806263184</v>
      </c>
      <c r="I9" s="17">
        <v>2164</v>
      </c>
    </row>
    <row r="10" spans="1:9">
      <c r="A10" s="13" t="s">
        <v>40</v>
      </c>
      <c r="B10" s="14" t="s">
        <v>41</v>
      </c>
      <c r="C10" s="15">
        <v>99300.3</v>
      </c>
      <c r="D10" s="16">
        <v>-3.1450056042127052E-3</v>
      </c>
      <c r="E10" s="15">
        <v>98988</v>
      </c>
      <c r="F10" s="16">
        <v>1.9924637329777378E-2</v>
      </c>
      <c r="G10" s="15">
        <v>100960.3</v>
      </c>
      <c r="H10" s="16">
        <v>-1.2725794198313623E-2</v>
      </c>
      <c r="I10" s="17">
        <v>99675.5</v>
      </c>
    </row>
    <row r="11" spans="1:9">
      <c r="A11" s="13" t="s">
        <v>42</v>
      </c>
      <c r="B11" s="14" t="s">
        <v>43</v>
      </c>
      <c r="C11" s="15">
        <v>20195.400000000001</v>
      </c>
      <c r="D11" s="43">
        <v>-8.7465462432039051E-2</v>
      </c>
      <c r="E11" s="15">
        <v>18429</v>
      </c>
      <c r="F11" s="16">
        <v>6.7350371696782291E-2</v>
      </c>
      <c r="G11" s="15">
        <v>19670.2</v>
      </c>
      <c r="H11" s="16">
        <v>-8.6130288456650189E-2</v>
      </c>
      <c r="I11" s="17">
        <v>17976</v>
      </c>
    </row>
    <row r="12" spans="1:9">
      <c r="A12" s="13" t="s">
        <v>44</v>
      </c>
      <c r="B12" s="14" t="s">
        <v>45</v>
      </c>
      <c r="C12" s="15">
        <v>523.29999999999995</v>
      </c>
      <c r="D12" s="43">
        <v>-5.7328492260644856E-4</v>
      </c>
      <c r="E12" s="15">
        <v>523</v>
      </c>
      <c r="F12" s="16">
        <v>-3.2504780114723623E-3</v>
      </c>
      <c r="G12" s="15">
        <v>521.29999999999995</v>
      </c>
      <c r="H12" s="16">
        <v>1.8607327834260591E-2</v>
      </c>
      <c r="I12" s="17">
        <v>531</v>
      </c>
    </row>
    <row r="13" spans="1:9">
      <c r="A13" s="13" t="s">
        <v>46</v>
      </c>
      <c r="B13" s="14" t="s">
        <v>47</v>
      </c>
      <c r="C13" s="15">
        <v>8656.9</v>
      </c>
      <c r="D13" s="43">
        <v>5.1300118980235461E-2</v>
      </c>
      <c r="E13" s="15">
        <v>9101</v>
      </c>
      <c r="F13" s="43">
        <v>-0.10502142621689926</v>
      </c>
      <c r="G13" s="15">
        <v>8145.2</v>
      </c>
      <c r="H13" s="43">
        <v>0.14644207631488487</v>
      </c>
      <c r="I13" s="17">
        <v>9338</v>
      </c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43" t="s">
        <v>48</v>
      </c>
      <c r="G14" s="15">
        <v>0</v>
      </c>
      <c r="H14" s="43" t="s">
        <v>48</v>
      </c>
      <c r="I14" s="17">
        <v>0</v>
      </c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43" t="s">
        <v>48</v>
      </c>
      <c r="G15" s="15">
        <v>0</v>
      </c>
      <c r="H15" s="43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295</v>
      </c>
      <c r="D16" s="43">
        <v>-8.4745762711864403E-2</v>
      </c>
      <c r="E16" s="15">
        <v>270</v>
      </c>
      <c r="F16" s="43">
        <v>0</v>
      </c>
      <c r="G16" s="15">
        <v>270</v>
      </c>
      <c r="H16" s="43">
        <v>0</v>
      </c>
      <c r="I16" s="17">
        <v>270</v>
      </c>
    </row>
    <row r="17" spans="1:9">
      <c r="A17" s="13" t="s">
        <v>55</v>
      </c>
      <c r="B17" s="14" t="s">
        <v>56</v>
      </c>
      <c r="C17" s="15">
        <v>1032.4000000000001</v>
      </c>
      <c r="D17" s="16">
        <v>-0.21929484695854326</v>
      </c>
      <c r="E17" s="15">
        <v>806</v>
      </c>
      <c r="F17" s="16">
        <v>3.0991315136476429</v>
      </c>
      <c r="G17" s="15">
        <v>3303.9</v>
      </c>
      <c r="H17" s="16">
        <v>-0.78116771088713344</v>
      </c>
      <c r="I17" s="17">
        <v>723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6776.2</v>
      </c>
      <c r="D19" s="43">
        <v>-9.3267613116495701E-3</v>
      </c>
      <c r="E19" s="20">
        <v>6713</v>
      </c>
      <c r="F19" s="43">
        <v>4.5315060330701595E-2</v>
      </c>
      <c r="G19" s="20">
        <v>7017.2</v>
      </c>
      <c r="H19" s="43">
        <v>-1.6060536966311323E-2</v>
      </c>
      <c r="I19" s="21">
        <v>6904.5</v>
      </c>
    </row>
    <row r="20" spans="1:9">
      <c r="A20" s="22" t="s">
        <v>60</v>
      </c>
      <c r="B20" s="23" t="s">
        <v>61</v>
      </c>
      <c r="C20" s="24">
        <v>144892.6</v>
      </c>
      <c r="D20" s="25">
        <v>-2.565762502708907E-2</v>
      </c>
      <c r="E20" s="24">
        <v>141175</v>
      </c>
      <c r="F20" s="25">
        <v>4.850575526828417E-2</v>
      </c>
      <c r="G20" s="24">
        <v>148022.80000000002</v>
      </c>
      <c r="H20" s="25">
        <v>-3.2348394976990144E-2</v>
      </c>
      <c r="I20" s="26">
        <v>143234.5</v>
      </c>
    </row>
    <row r="21" spans="1:9">
      <c r="A21" s="27" t="s">
        <v>62</v>
      </c>
      <c r="B21" s="28" t="s">
        <v>63</v>
      </c>
      <c r="C21" s="10">
        <v>35055.800000000003</v>
      </c>
      <c r="D21" s="16">
        <v>-4.5692866800928884E-2</v>
      </c>
      <c r="E21" s="10">
        <v>33454</v>
      </c>
      <c r="F21" s="16">
        <v>0.23695821127518374</v>
      </c>
      <c r="G21" s="10">
        <v>41381.199999999997</v>
      </c>
      <c r="H21" s="16">
        <v>-0.15224788068011555</v>
      </c>
      <c r="I21" s="12">
        <v>35081</v>
      </c>
    </row>
    <row r="22" spans="1:9">
      <c r="A22" s="8" t="s">
        <v>64</v>
      </c>
      <c r="B22" s="29" t="s">
        <v>65</v>
      </c>
      <c r="C22" s="15">
        <v>11027.6</v>
      </c>
      <c r="D22" s="16">
        <v>-0.44684246798940841</v>
      </c>
      <c r="E22" s="15">
        <v>6100</v>
      </c>
      <c r="F22" s="16">
        <v>0.48793442622950811</v>
      </c>
      <c r="G22" s="15">
        <v>9076.4</v>
      </c>
      <c r="H22" s="16">
        <v>-0.31690978802168257</v>
      </c>
      <c r="I22" s="17">
        <v>6200</v>
      </c>
    </row>
    <row r="23" spans="1:9">
      <c r="A23" s="8" t="s">
        <v>66</v>
      </c>
      <c r="B23" s="29" t="s">
        <v>67</v>
      </c>
      <c r="C23" s="15">
        <v>15066.4</v>
      </c>
      <c r="D23" s="16">
        <v>-0.19688844050337173</v>
      </c>
      <c r="E23" s="15">
        <v>12100</v>
      </c>
      <c r="F23" s="16">
        <v>0.10396694214876033</v>
      </c>
      <c r="G23" s="15">
        <v>13358</v>
      </c>
      <c r="H23" s="16">
        <v>-1.7817038478814193E-2</v>
      </c>
      <c r="I23" s="17">
        <v>13120</v>
      </c>
    </row>
    <row r="24" spans="1:9">
      <c r="A24" s="8" t="s">
        <v>68</v>
      </c>
      <c r="B24" s="29" t="s">
        <v>69</v>
      </c>
      <c r="C24" s="15">
        <v>12769</v>
      </c>
      <c r="D24" s="16">
        <v>-0.10008614613517111</v>
      </c>
      <c r="E24" s="15">
        <v>11491</v>
      </c>
      <c r="F24" s="16">
        <v>0.12685580019145423</v>
      </c>
      <c r="G24" s="15">
        <v>12948.7</v>
      </c>
      <c r="H24" s="16">
        <v>-6.9868017638836377E-2</v>
      </c>
      <c r="I24" s="17">
        <v>12044</v>
      </c>
    </row>
    <row r="25" spans="1:9">
      <c r="A25" s="8" t="s">
        <v>70</v>
      </c>
      <c r="B25" s="29" t="s">
        <v>71</v>
      </c>
      <c r="C25" s="15">
        <v>62535.1</v>
      </c>
      <c r="D25" s="16">
        <v>-3.8124189455201934E-2</v>
      </c>
      <c r="E25" s="15">
        <v>60151</v>
      </c>
      <c r="F25" s="16">
        <v>5.2612591644361641E-2</v>
      </c>
      <c r="G25" s="15">
        <v>63315.7</v>
      </c>
      <c r="H25" s="16">
        <v>-4.989599735926472E-2</v>
      </c>
      <c r="I25" s="17">
        <v>60156.5</v>
      </c>
    </row>
    <row r="26" spans="1:9">
      <c r="A26" s="59" t="s">
        <v>72</v>
      </c>
      <c r="B26" s="29" t="s">
        <v>73</v>
      </c>
      <c r="C26" s="15">
        <v>2104.9</v>
      </c>
      <c r="D26" s="16">
        <v>5.895767019810913E-2</v>
      </c>
      <c r="E26" s="15">
        <v>2229</v>
      </c>
      <c r="F26" s="16">
        <v>-0.45231045311799017</v>
      </c>
      <c r="G26" s="15">
        <v>1220.8</v>
      </c>
      <c r="H26" s="16">
        <v>0.716497378768021</v>
      </c>
      <c r="I26" s="17">
        <v>2095.5</v>
      </c>
    </row>
    <row r="27" spans="1:9">
      <c r="A27" s="195">
        <v>489</v>
      </c>
      <c r="B27" s="29" t="s">
        <v>74</v>
      </c>
      <c r="C27" s="15">
        <v>0</v>
      </c>
      <c r="D27" s="43" t="s">
        <v>48</v>
      </c>
      <c r="E27" s="15">
        <v>0</v>
      </c>
      <c r="F27" s="43" t="s">
        <v>48</v>
      </c>
      <c r="G27" s="15">
        <v>0</v>
      </c>
      <c r="H27" s="43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6776.2</v>
      </c>
      <c r="D28" s="16">
        <v>-9.3267613116495701E-3</v>
      </c>
      <c r="E28" s="20">
        <v>6713</v>
      </c>
      <c r="F28" s="16">
        <v>4.5315060330701595E-2</v>
      </c>
      <c r="G28" s="20">
        <v>7017.2</v>
      </c>
      <c r="H28" s="16">
        <v>-1.6060536966311323E-2</v>
      </c>
      <c r="I28" s="21">
        <v>6904.5</v>
      </c>
    </row>
    <row r="29" spans="1:9">
      <c r="A29" s="51" t="s">
        <v>77</v>
      </c>
      <c r="B29" s="52" t="s">
        <v>78</v>
      </c>
      <c r="C29" s="24">
        <v>145335</v>
      </c>
      <c r="D29" s="53">
        <v>-9.0115939037396356E-2</v>
      </c>
      <c r="E29" s="24">
        <v>132238</v>
      </c>
      <c r="F29" s="53">
        <v>0.12159893525310425</v>
      </c>
      <c r="G29" s="24">
        <v>148318</v>
      </c>
      <c r="H29" s="54">
        <v>-8.5738076295527182E-2</v>
      </c>
      <c r="I29" s="26">
        <v>135601.5</v>
      </c>
    </row>
    <row r="30" spans="1:9">
      <c r="A30" s="50" t="s">
        <v>79</v>
      </c>
      <c r="B30" s="32" t="s">
        <v>80</v>
      </c>
      <c r="C30" s="33">
        <v>442.39999999999418</v>
      </c>
      <c r="D30" s="136">
        <v>0</v>
      </c>
      <c r="E30" s="33">
        <v>-8937</v>
      </c>
      <c r="F30" s="136">
        <v>0</v>
      </c>
      <c r="G30" s="34">
        <v>295.19999999998254</v>
      </c>
      <c r="H30" s="137">
        <v>0</v>
      </c>
      <c r="I30" s="35">
        <v>-7633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8842.4</v>
      </c>
      <c r="D32" s="16">
        <v>-0.71500949968334393</v>
      </c>
      <c r="E32" s="15">
        <v>2520</v>
      </c>
      <c r="F32" s="16">
        <v>2.8690476190476263E-2</v>
      </c>
      <c r="G32" s="15">
        <v>2592.3000000000002</v>
      </c>
      <c r="H32" s="16">
        <v>1.0163561316205685</v>
      </c>
      <c r="I32" s="17">
        <v>5227</v>
      </c>
    </row>
    <row r="33" spans="1:9">
      <c r="A33" s="59" t="s">
        <v>84</v>
      </c>
      <c r="B33" s="29" t="s">
        <v>85</v>
      </c>
      <c r="C33" s="15">
        <v>0</v>
      </c>
      <c r="D33" s="43" t="s">
        <v>48</v>
      </c>
      <c r="E33" s="15">
        <v>0</v>
      </c>
      <c r="F33" s="43" t="s">
        <v>48</v>
      </c>
      <c r="G33" s="15">
        <v>0</v>
      </c>
      <c r="H33" s="43" t="s">
        <v>48</v>
      </c>
      <c r="I33" s="17">
        <v>0</v>
      </c>
    </row>
    <row r="34" spans="1:9">
      <c r="A34" s="8" t="s">
        <v>86</v>
      </c>
      <c r="B34" s="29" t="s">
        <v>87</v>
      </c>
      <c r="C34" s="15">
        <v>3656.3</v>
      </c>
      <c r="D34" s="16">
        <v>0.96920383994748782</v>
      </c>
      <c r="E34" s="15">
        <v>7200</v>
      </c>
      <c r="F34" s="16">
        <v>0.10561111111111106</v>
      </c>
      <c r="G34" s="15">
        <v>7960.4</v>
      </c>
      <c r="H34" s="16">
        <v>-0.15456509723129488</v>
      </c>
      <c r="I34" s="17">
        <v>6730</v>
      </c>
    </row>
    <row r="35" spans="1:9">
      <c r="A35" s="51" t="s">
        <v>88</v>
      </c>
      <c r="B35" s="52" t="s">
        <v>89</v>
      </c>
      <c r="C35" s="24">
        <v>12498.7</v>
      </c>
      <c r="D35" s="54">
        <v>-0.22231912118860367</v>
      </c>
      <c r="E35" s="24">
        <v>9720</v>
      </c>
      <c r="F35" s="54">
        <v>8.5668724279835462E-2</v>
      </c>
      <c r="G35" s="24">
        <v>10552.7</v>
      </c>
      <c r="H35" s="54">
        <v>0.1330749476437309</v>
      </c>
      <c r="I35" s="26">
        <v>11957</v>
      </c>
    </row>
    <row r="36" spans="1:9">
      <c r="A36" s="8" t="s">
        <v>90</v>
      </c>
      <c r="B36" s="29" t="s">
        <v>91</v>
      </c>
      <c r="C36" s="15">
        <v>0</v>
      </c>
      <c r="D36" s="43" t="s">
        <v>48</v>
      </c>
      <c r="E36" s="15">
        <v>0</v>
      </c>
      <c r="F36" s="43" t="s">
        <v>48</v>
      </c>
      <c r="G36" s="15">
        <v>0</v>
      </c>
      <c r="H36" s="43" t="s">
        <v>48</v>
      </c>
      <c r="I36" s="17">
        <v>0</v>
      </c>
    </row>
    <row r="37" spans="1:9">
      <c r="A37" s="8" t="s">
        <v>92</v>
      </c>
      <c r="B37" s="29" t="s">
        <v>93</v>
      </c>
      <c r="C37" s="15">
        <v>3135.2</v>
      </c>
      <c r="D37" s="16">
        <v>-0.88836437866802753</v>
      </c>
      <c r="E37" s="15">
        <v>350</v>
      </c>
      <c r="F37" s="16">
        <v>3.6342857142857143</v>
      </c>
      <c r="G37" s="15">
        <v>1622</v>
      </c>
      <c r="H37" s="16">
        <v>-0.61273119605425397</v>
      </c>
      <c r="I37" s="17">
        <v>628.15</v>
      </c>
    </row>
    <row r="38" spans="1:9">
      <c r="A38" s="51" t="s">
        <v>94</v>
      </c>
      <c r="B38" s="52" t="s">
        <v>95</v>
      </c>
      <c r="C38" s="24">
        <v>3135.2</v>
      </c>
      <c r="D38" s="54">
        <v>-0.88836437866802753</v>
      </c>
      <c r="E38" s="24">
        <v>350</v>
      </c>
      <c r="F38" s="54">
        <v>3.6342857142857143</v>
      </c>
      <c r="G38" s="24">
        <v>1622</v>
      </c>
      <c r="H38" s="54">
        <v>-0.61273119605425397</v>
      </c>
      <c r="I38" s="26">
        <v>628.15</v>
      </c>
    </row>
    <row r="39" spans="1:9">
      <c r="A39" s="36" t="s">
        <v>96</v>
      </c>
      <c r="B39" s="37" t="s">
        <v>3</v>
      </c>
      <c r="C39" s="38">
        <v>9363.5</v>
      </c>
      <c r="D39" s="39">
        <v>6.9418486676990437E-4</v>
      </c>
      <c r="E39" s="38">
        <v>9370</v>
      </c>
      <c r="F39" s="39">
        <v>-4.688367129135531E-2</v>
      </c>
      <c r="G39" s="38">
        <v>8930.7000000000007</v>
      </c>
      <c r="H39" s="39">
        <v>0.26852878273819514</v>
      </c>
      <c r="I39" s="40">
        <v>11328.85</v>
      </c>
    </row>
    <row r="40" spans="1:9">
      <c r="A40" s="131" t="s">
        <v>0</v>
      </c>
      <c r="B40" s="29" t="s">
        <v>97</v>
      </c>
      <c r="C40" s="15">
        <v>7805.8999999999942</v>
      </c>
      <c r="D40" s="16">
        <v>-1.9330122087139223</v>
      </c>
      <c r="E40" s="15">
        <v>-7283</v>
      </c>
      <c r="F40" s="16">
        <v>-1.7175065220376193</v>
      </c>
      <c r="G40" s="15">
        <v>5225.5999999999822</v>
      </c>
      <c r="H40" s="16">
        <v>-2.0465783833435429</v>
      </c>
      <c r="I40" s="17">
        <v>-5469</v>
      </c>
    </row>
    <row r="41" spans="1:9">
      <c r="A41" s="131" t="s">
        <v>0</v>
      </c>
      <c r="B41" s="29" t="s">
        <v>98</v>
      </c>
      <c r="C41" s="15">
        <v>-1557.6000000000058</v>
      </c>
      <c r="D41" s="16">
        <v>9.6914483821263087</v>
      </c>
      <c r="E41" s="15">
        <v>-16653</v>
      </c>
      <c r="F41" s="16">
        <v>-0.77751155947877149</v>
      </c>
      <c r="G41" s="15">
        <v>-3705.1000000000186</v>
      </c>
      <c r="H41" s="16">
        <v>3.5337102912201868</v>
      </c>
      <c r="I41" s="17">
        <v>-16797.849999999999</v>
      </c>
    </row>
    <row r="42" spans="1:9">
      <c r="A42" s="141" t="s">
        <v>0</v>
      </c>
      <c r="B42" s="31" t="s">
        <v>99</v>
      </c>
      <c r="C42" s="20">
        <v>142219.20000000001</v>
      </c>
      <c r="D42" s="129">
        <v>-3.4960117902506243E-3</v>
      </c>
      <c r="E42" s="20">
        <v>141722</v>
      </c>
      <c r="F42" s="129">
        <v>1.1303820154951448E-2</v>
      </c>
      <c r="G42" s="20">
        <v>143324.00000000003</v>
      </c>
      <c r="H42" s="129">
        <v>1.4484664117663269E-2</v>
      </c>
      <c r="I42" s="21">
        <v>145400</v>
      </c>
    </row>
    <row r="43" spans="1:9">
      <c r="A43" s="141">
        <v>0</v>
      </c>
      <c r="B43" s="31" t="s">
        <v>5</v>
      </c>
      <c r="C43" s="66">
        <v>0.83365194638756812</v>
      </c>
      <c r="D43" s="142">
        <v>0</v>
      </c>
      <c r="E43" s="66" t="s">
        <v>100</v>
      </c>
      <c r="F43" s="142">
        <v>0</v>
      </c>
      <c r="G43" s="41">
        <v>0.5851277055549936</v>
      </c>
      <c r="H43" s="142">
        <v>0</v>
      </c>
      <c r="I43" s="235" t="s">
        <v>100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1.5" bestFit="1" customWidth="1"/>
    <col min="2" max="2" width="43" customWidth="1"/>
    <col min="3" max="3" width="12.33203125" bestFit="1" customWidth="1"/>
    <col min="4" max="4" width="8.5" customWidth="1"/>
    <col min="5" max="5" width="12.33203125" bestFit="1" customWidth="1"/>
    <col min="6" max="6" width="7.6640625" customWidth="1"/>
    <col min="7" max="7" width="12.33203125" bestFit="1" customWidth="1"/>
    <col min="8" max="8" width="9.33203125" customWidth="1"/>
    <col min="9" max="9" width="12.33203125" bestFit="1" customWidth="1"/>
  </cols>
  <sheetData>
    <row r="1" spans="1:9">
      <c r="A1" s="5" t="s">
        <v>20</v>
      </c>
      <c r="B1" s="6" t="s">
        <v>167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103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786167.13462999987</v>
      </c>
      <c r="D4" s="11">
        <v>-0.11309914993056346</v>
      </c>
      <c r="E4" s="10">
        <v>697252.3</v>
      </c>
      <c r="F4" s="11">
        <v>-4.4200643009711452E-3</v>
      </c>
      <c r="G4" s="10">
        <v>694170.4</v>
      </c>
      <c r="H4" s="11">
        <v>5.0771395611222013E-3</v>
      </c>
      <c r="I4" s="12">
        <v>697694.8</v>
      </c>
    </row>
    <row r="5" spans="1:9">
      <c r="A5" s="13" t="s">
        <v>30</v>
      </c>
      <c r="B5" s="14" t="s">
        <v>31</v>
      </c>
      <c r="C5" s="15">
        <v>463163.60262000002</v>
      </c>
      <c r="D5" s="16">
        <v>-5.208311379292821E-2</v>
      </c>
      <c r="E5" s="15">
        <v>439040.6</v>
      </c>
      <c r="F5" s="16">
        <v>-1.4643292670427292E-2</v>
      </c>
      <c r="G5" s="15">
        <v>432611.6</v>
      </c>
      <c r="H5" s="16">
        <v>4.8899058647525973E-2</v>
      </c>
      <c r="I5" s="17">
        <v>453765.9</v>
      </c>
    </row>
    <row r="6" spans="1:9">
      <c r="A6" s="13" t="s">
        <v>32</v>
      </c>
      <c r="B6" s="14" t="s">
        <v>33</v>
      </c>
      <c r="C6" s="15">
        <v>62221.93881</v>
      </c>
      <c r="D6" s="16">
        <v>2.8138968722051676E-2</v>
      </c>
      <c r="E6" s="15">
        <v>63972.800000000003</v>
      </c>
      <c r="F6" s="16">
        <v>1.3738651426856322E-2</v>
      </c>
      <c r="G6" s="15">
        <v>64851.7</v>
      </c>
      <c r="H6" s="16">
        <v>-2.994987024241455E-2</v>
      </c>
      <c r="I6" s="17">
        <v>62909.4</v>
      </c>
    </row>
    <row r="7" spans="1:9">
      <c r="A7" s="13" t="s">
        <v>34</v>
      </c>
      <c r="B7" s="14" t="s">
        <v>35</v>
      </c>
      <c r="C7" s="15">
        <v>22734.70206</v>
      </c>
      <c r="D7" s="16">
        <v>4.6519102700745912E-2</v>
      </c>
      <c r="E7" s="15">
        <v>23792.3</v>
      </c>
      <c r="F7" s="16">
        <v>4.2034607835308158E-2</v>
      </c>
      <c r="G7" s="15">
        <v>24792.400000000001</v>
      </c>
      <c r="H7" s="16">
        <v>-0.1110703280037431</v>
      </c>
      <c r="I7" s="17">
        <v>22038.7</v>
      </c>
    </row>
    <row r="8" spans="1:9">
      <c r="A8" s="13" t="s">
        <v>36</v>
      </c>
      <c r="B8" s="14" t="s">
        <v>37</v>
      </c>
      <c r="C8" s="15">
        <v>50507.960450000006</v>
      </c>
      <c r="D8" s="16">
        <v>-0.6110474502440536</v>
      </c>
      <c r="E8" s="15">
        <v>19645.2</v>
      </c>
      <c r="F8" s="16">
        <v>0.15465864435078286</v>
      </c>
      <c r="G8" s="15">
        <v>22683.5</v>
      </c>
      <c r="H8" s="16">
        <v>-9.0118367976723207E-2</v>
      </c>
      <c r="I8" s="17">
        <v>20639.3</v>
      </c>
    </row>
    <row r="9" spans="1:9">
      <c r="A9" s="13" t="s">
        <v>38</v>
      </c>
      <c r="B9" s="14" t="s">
        <v>39</v>
      </c>
      <c r="C9" s="15">
        <v>96938.669389999995</v>
      </c>
      <c r="D9" s="16">
        <v>0.17779004723761868</v>
      </c>
      <c r="E9" s="15">
        <v>114173.4</v>
      </c>
      <c r="F9" s="16">
        <v>-0.12624744467625551</v>
      </c>
      <c r="G9" s="15">
        <v>99759.3</v>
      </c>
      <c r="H9" s="16">
        <v>0.15661497223817733</v>
      </c>
      <c r="I9" s="17">
        <v>115383.1</v>
      </c>
    </row>
    <row r="10" spans="1:9">
      <c r="A10" s="13" t="s">
        <v>40</v>
      </c>
      <c r="B10" s="14" t="s">
        <v>41</v>
      </c>
      <c r="C10" s="15">
        <v>2610999.6850099997</v>
      </c>
      <c r="D10" s="16">
        <v>2.2638805867865913E-2</v>
      </c>
      <c r="E10" s="15">
        <v>2670109.6</v>
      </c>
      <c r="F10" s="16">
        <v>3.4477124085093631E-2</v>
      </c>
      <c r="G10" s="15">
        <v>2762167.3</v>
      </c>
      <c r="H10" s="16">
        <v>2.064103792699272E-3</v>
      </c>
      <c r="I10" s="17">
        <v>2767868.6999999997</v>
      </c>
    </row>
    <row r="11" spans="1:9">
      <c r="A11" s="13" t="s">
        <v>42</v>
      </c>
      <c r="B11" s="14" t="s">
        <v>43</v>
      </c>
      <c r="C11" s="15">
        <v>779732.4</v>
      </c>
      <c r="D11" s="43">
        <v>1.8367198797946578E-2</v>
      </c>
      <c r="E11" s="15">
        <v>794053.9</v>
      </c>
      <c r="F11" s="16">
        <v>3.7347716571885077E-2</v>
      </c>
      <c r="G11" s="15">
        <v>823710</v>
      </c>
      <c r="H11" s="16">
        <v>2.0094693520777886E-2</v>
      </c>
      <c r="I11" s="17">
        <v>840262.2</v>
      </c>
    </row>
    <row r="12" spans="1:9">
      <c r="A12" s="13" t="s">
        <v>44</v>
      </c>
      <c r="B12" s="14" t="s">
        <v>45</v>
      </c>
      <c r="C12" s="15">
        <v>83308.7</v>
      </c>
      <c r="D12" s="43">
        <v>6.7413127320435987E-2</v>
      </c>
      <c r="E12" s="15">
        <v>88924.800000000003</v>
      </c>
      <c r="F12" s="16">
        <v>-6.6613588110403466E-2</v>
      </c>
      <c r="G12" s="15">
        <v>83001.2</v>
      </c>
      <c r="H12" s="16">
        <v>0.10826831419304792</v>
      </c>
      <c r="I12" s="17">
        <v>91987.6</v>
      </c>
    </row>
    <row r="13" spans="1:9">
      <c r="A13" s="13" t="s">
        <v>46</v>
      </c>
      <c r="B13" s="14" t="s">
        <v>47</v>
      </c>
      <c r="C13" s="15">
        <v>346322.1</v>
      </c>
      <c r="D13" s="43">
        <v>7.4330803607393303E-2</v>
      </c>
      <c r="E13" s="15">
        <v>372064.5</v>
      </c>
      <c r="F13" s="43">
        <v>-5.6044046126411187E-3</v>
      </c>
      <c r="G13" s="15">
        <v>369979.3</v>
      </c>
      <c r="H13" s="43">
        <v>5.7749176778268407E-2</v>
      </c>
      <c r="I13" s="17">
        <v>391345.3</v>
      </c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 t="s">
        <v>48</v>
      </c>
      <c r="I14" s="17">
        <v>0</v>
      </c>
    </row>
    <row r="15" spans="1:9">
      <c r="A15" s="13" t="s">
        <v>51</v>
      </c>
      <c r="B15" s="14" t="s">
        <v>52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1467</v>
      </c>
      <c r="D16" s="43">
        <v>-0.14410361281526932</v>
      </c>
      <c r="E16" s="15">
        <v>1255.5999999999999</v>
      </c>
      <c r="F16" s="43">
        <v>0.20993947116916228</v>
      </c>
      <c r="G16" s="15">
        <v>1519.2</v>
      </c>
      <c r="H16" s="43">
        <v>0.35966298051606099</v>
      </c>
      <c r="I16" s="17">
        <v>2065.6</v>
      </c>
    </row>
    <row r="17" spans="1:9">
      <c r="A17" s="13" t="s">
        <v>55</v>
      </c>
      <c r="B17" s="14" t="s">
        <v>56</v>
      </c>
      <c r="C17" s="15">
        <v>46559.931269999994</v>
      </c>
      <c r="D17" s="16">
        <v>-0.63411458016956812</v>
      </c>
      <c r="E17" s="15">
        <v>17035.599999999999</v>
      </c>
      <c r="F17" s="16">
        <v>3.0387482683321987</v>
      </c>
      <c r="G17" s="15">
        <v>68802.5</v>
      </c>
      <c r="H17" s="16">
        <v>-0.78637694851204532</v>
      </c>
      <c r="I17" s="17">
        <v>14697.8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384776.52356</v>
      </c>
      <c r="D19" s="43">
        <v>6.1501352060295084E-2</v>
      </c>
      <c r="E19" s="20">
        <v>408440.8</v>
      </c>
      <c r="F19" s="43">
        <v>-5.524741896500053E-2</v>
      </c>
      <c r="G19" s="20">
        <v>385875.5</v>
      </c>
      <c r="H19" s="43">
        <v>5.8569149894201686E-2</v>
      </c>
      <c r="I19" s="21">
        <v>408475.9</v>
      </c>
    </row>
    <row r="20" spans="1:9">
      <c r="A20" s="22" t="s">
        <v>60</v>
      </c>
      <c r="B20" s="23" t="s">
        <v>61</v>
      </c>
      <c r="C20" s="24">
        <v>4461848.2089900002</v>
      </c>
      <c r="D20" s="25">
        <v>-1.6217138190449485E-2</v>
      </c>
      <c r="E20" s="24">
        <v>4389489.8</v>
      </c>
      <c r="F20" s="25">
        <v>2.3094415209713025E-2</v>
      </c>
      <c r="G20" s="24">
        <v>4490862.5</v>
      </c>
      <c r="H20" s="25">
        <v>2.1603199830767892E-3</v>
      </c>
      <c r="I20" s="26">
        <v>4500564.2</v>
      </c>
    </row>
    <row r="21" spans="1:9">
      <c r="A21" s="27" t="s">
        <v>62</v>
      </c>
      <c r="B21" s="28" t="s">
        <v>63</v>
      </c>
      <c r="C21" s="10">
        <v>1438474.3637099999</v>
      </c>
      <c r="D21" s="16">
        <v>9.3319449881459751E-2</v>
      </c>
      <c r="E21" s="10">
        <v>1572712</v>
      </c>
      <c r="F21" s="16">
        <v>2.6793844009582852E-3</v>
      </c>
      <c r="G21" s="10">
        <v>1576925.9</v>
      </c>
      <c r="H21" s="16">
        <v>7.1388325856021576E-2</v>
      </c>
      <c r="I21" s="12">
        <v>1689500</v>
      </c>
    </row>
    <row r="22" spans="1:9">
      <c r="A22" s="8" t="s">
        <v>64</v>
      </c>
      <c r="B22" s="29" t="s">
        <v>65</v>
      </c>
      <c r="C22" s="15">
        <v>186645.83979</v>
      </c>
      <c r="D22" s="16">
        <v>2.14130688071952E-2</v>
      </c>
      <c r="E22" s="15">
        <v>190642.5</v>
      </c>
      <c r="F22" s="16">
        <v>1.6036298307040727E-2</v>
      </c>
      <c r="G22" s="15">
        <v>193699.7</v>
      </c>
      <c r="H22" s="16">
        <v>-2.4817797859263652E-2</v>
      </c>
      <c r="I22" s="17">
        <v>188892.5</v>
      </c>
    </row>
    <row r="23" spans="1:9">
      <c r="A23" s="8" t="s">
        <v>66</v>
      </c>
      <c r="B23" s="29" t="s">
        <v>67</v>
      </c>
      <c r="C23" s="15">
        <v>241418.93613999998</v>
      </c>
      <c r="D23" s="16">
        <v>-0.41698318180651062</v>
      </c>
      <c r="E23" s="15">
        <v>140751.29999999999</v>
      </c>
      <c r="F23" s="16">
        <v>0.29451095655954879</v>
      </c>
      <c r="G23" s="15">
        <v>182204.1</v>
      </c>
      <c r="H23" s="16">
        <v>-0.10759088297134915</v>
      </c>
      <c r="I23" s="17">
        <v>162600.6</v>
      </c>
    </row>
    <row r="24" spans="1:9">
      <c r="A24" s="8" t="s">
        <v>68</v>
      </c>
      <c r="B24" s="29" t="s">
        <v>69</v>
      </c>
      <c r="C24" s="15">
        <v>393720.64412000007</v>
      </c>
      <c r="D24" s="16">
        <v>-0.28233125638725792</v>
      </c>
      <c r="E24" s="15">
        <v>282561</v>
      </c>
      <c r="F24" s="16">
        <v>0.10783830748050871</v>
      </c>
      <c r="G24" s="15">
        <v>313031.90000000002</v>
      </c>
      <c r="H24" s="16">
        <v>-6.2052461745911586E-2</v>
      </c>
      <c r="I24" s="17">
        <v>293607.5</v>
      </c>
    </row>
    <row r="25" spans="1:9">
      <c r="A25" s="8" t="s">
        <v>70</v>
      </c>
      <c r="B25" s="29" t="s">
        <v>71</v>
      </c>
      <c r="C25" s="15">
        <v>1524136.7567499999</v>
      </c>
      <c r="D25" s="16">
        <v>6.6004859507828445E-3</v>
      </c>
      <c r="E25" s="15">
        <v>1534196.8</v>
      </c>
      <c r="F25" s="16">
        <v>4.1503801859057452E-3</v>
      </c>
      <c r="G25" s="15">
        <v>1540564.3</v>
      </c>
      <c r="H25" s="16">
        <v>1.1312932540368517E-2</v>
      </c>
      <c r="I25" s="17">
        <v>1557992.6</v>
      </c>
    </row>
    <row r="26" spans="1:9">
      <c r="A26" s="59" t="s">
        <v>72</v>
      </c>
      <c r="B26" s="29" t="s">
        <v>73</v>
      </c>
      <c r="C26" s="15">
        <v>227827.83897000001</v>
      </c>
      <c r="D26" s="16">
        <v>1.7321680475227832E-2</v>
      </c>
      <c r="E26" s="15">
        <v>231774.2</v>
      </c>
      <c r="F26" s="16">
        <v>0.26531727862721566</v>
      </c>
      <c r="G26" s="15">
        <v>293267.90000000002</v>
      </c>
      <c r="H26" s="16">
        <v>-0.41191518062495086</v>
      </c>
      <c r="I26" s="17">
        <v>172466.4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384776.57993000001</v>
      </c>
      <c r="D28" s="16">
        <v>6.1501196549709612E-2</v>
      </c>
      <c r="E28" s="20">
        <v>408440.8</v>
      </c>
      <c r="F28" s="16">
        <v>-5.524741896500053E-2</v>
      </c>
      <c r="G28" s="20">
        <v>385875.5</v>
      </c>
      <c r="H28" s="16">
        <v>5.8569149894201686E-2</v>
      </c>
      <c r="I28" s="21">
        <v>408475.9</v>
      </c>
    </row>
    <row r="29" spans="1:9">
      <c r="A29" s="51" t="s">
        <v>77</v>
      </c>
      <c r="B29" s="52" t="s">
        <v>78</v>
      </c>
      <c r="C29" s="24">
        <v>4397000.9594099997</v>
      </c>
      <c r="D29" s="53">
        <v>-8.1697410898041254E-3</v>
      </c>
      <c r="E29" s="24">
        <v>4361078.5999999996</v>
      </c>
      <c r="F29" s="53">
        <v>2.8545851019516393E-2</v>
      </c>
      <c r="G29" s="24">
        <v>4485569.3000000007</v>
      </c>
      <c r="H29" s="54">
        <v>-2.6827809794401666E-3</v>
      </c>
      <c r="I29" s="26">
        <v>4473535.5</v>
      </c>
    </row>
    <row r="30" spans="1:9">
      <c r="A30" s="50" t="s">
        <v>79</v>
      </c>
      <c r="B30" s="32" t="s">
        <v>80</v>
      </c>
      <c r="C30" s="33">
        <v>-64847.249580000527</v>
      </c>
      <c r="D30" s="136">
        <v>0</v>
      </c>
      <c r="E30" s="33">
        <v>-28411.200000000186</v>
      </c>
      <c r="F30" s="136">
        <v>0</v>
      </c>
      <c r="G30" s="34">
        <v>-5293.1999999992549</v>
      </c>
      <c r="H30" s="137">
        <v>0</v>
      </c>
      <c r="I30" s="35">
        <v>-27028.700000000186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160446.88902999996</v>
      </c>
      <c r="D32" s="16">
        <v>0.11001404313111741</v>
      </c>
      <c r="E32" s="15">
        <v>178098.3</v>
      </c>
      <c r="F32" s="16">
        <v>-0.1597774936650152</v>
      </c>
      <c r="G32" s="15">
        <v>149642.20000000001</v>
      </c>
      <c r="H32" s="16">
        <v>1.9966292930737373E-2</v>
      </c>
      <c r="I32" s="17">
        <v>152630</v>
      </c>
    </row>
    <row r="33" spans="1:9">
      <c r="A33" s="59" t="s">
        <v>84</v>
      </c>
      <c r="B33" s="29" t="s">
        <v>85</v>
      </c>
      <c r="C33" s="15">
        <v>10301.80575</v>
      </c>
      <c r="D33" s="16">
        <v>-0.43310909351984234</v>
      </c>
      <c r="E33" s="15">
        <v>5840</v>
      </c>
      <c r="F33" s="16">
        <v>1.8787842465753422</v>
      </c>
      <c r="G33" s="15">
        <v>16812.099999999999</v>
      </c>
      <c r="H33" s="16">
        <v>4.582407908589647</v>
      </c>
      <c r="I33" s="17">
        <v>93852</v>
      </c>
    </row>
    <row r="34" spans="1:9">
      <c r="A34" s="8" t="s">
        <v>86</v>
      </c>
      <c r="B34" s="29" t="s">
        <v>87</v>
      </c>
      <c r="C34" s="15">
        <v>27645.9696</v>
      </c>
      <c r="D34" s="16">
        <v>1.1292289925689565</v>
      </c>
      <c r="E34" s="15">
        <v>58864.6</v>
      </c>
      <c r="F34" s="16">
        <v>-0.24022927192234383</v>
      </c>
      <c r="G34" s="15">
        <v>44723.6</v>
      </c>
      <c r="H34" s="16">
        <v>-0.33015678523195807</v>
      </c>
      <c r="I34" s="17">
        <v>29957.8</v>
      </c>
    </row>
    <row r="35" spans="1:9">
      <c r="A35" s="51" t="s">
        <v>88</v>
      </c>
      <c r="B35" s="52" t="s">
        <v>89</v>
      </c>
      <c r="C35" s="24">
        <v>198394.66437999997</v>
      </c>
      <c r="D35" s="54">
        <v>0.22383785248852078</v>
      </c>
      <c r="E35" s="24">
        <v>242802.9</v>
      </c>
      <c r="F35" s="54">
        <v>-0.13024967988438346</v>
      </c>
      <c r="G35" s="24">
        <v>211177.90000000002</v>
      </c>
      <c r="H35" s="54">
        <v>0.30903754606897765</v>
      </c>
      <c r="I35" s="26">
        <v>276439.8</v>
      </c>
    </row>
    <row r="36" spans="1:9">
      <c r="A36" s="8" t="s">
        <v>90</v>
      </c>
      <c r="B36" s="29" t="s">
        <v>91</v>
      </c>
      <c r="C36" s="15">
        <v>54.663599999999995</v>
      </c>
      <c r="D36" s="16">
        <v>2.6587418318588605</v>
      </c>
      <c r="E36" s="15">
        <v>200</v>
      </c>
      <c r="F36" s="16">
        <v>-5.9000000000000059E-2</v>
      </c>
      <c r="G36" s="15">
        <v>188.2</v>
      </c>
      <c r="H36" s="16">
        <v>390.16896918172159</v>
      </c>
      <c r="I36" s="17">
        <v>73618</v>
      </c>
    </row>
    <row r="37" spans="1:9">
      <c r="A37" s="8" t="s">
        <v>92</v>
      </c>
      <c r="B37" s="29" t="s">
        <v>93</v>
      </c>
      <c r="C37" s="15">
        <v>46131.532340000005</v>
      </c>
      <c r="D37" s="16">
        <v>4.8948464216569162E-2</v>
      </c>
      <c r="E37" s="15">
        <v>48389.599999999999</v>
      </c>
      <c r="F37" s="16">
        <v>-0.23611271843536633</v>
      </c>
      <c r="G37" s="15">
        <v>36964.199999999997</v>
      </c>
      <c r="H37" s="16">
        <v>-0.1468420796338078</v>
      </c>
      <c r="I37" s="17">
        <v>31536.3</v>
      </c>
    </row>
    <row r="38" spans="1:9">
      <c r="A38" s="51" t="s">
        <v>94</v>
      </c>
      <c r="B38" s="52" t="s">
        <v>95</v>
      </c>
      <c r="C38" s="24">
        <v>46186.195940000005</v>
      </c>
      <c r="D38" s="54">
        <v>5.203728107684448E-2</v>
      </c>
      <c r="E38" s="24">
        <v>48589.599999999999</v>
      </c>
      <c r="F38" s="54">
        <v>-0.23538370350856982</v>
      </c>
      <c r="G38" s="24">
        <v>37152.399999999994</v>
      </c>
      <c r="H38" s="54">
        <v>1.8303501254293133</v>
      </c>
      <c r="I38" s="26">
        <v>105154.3</v>
      </c>
    </row>
    <row r="39" spans="1:9">
      <c r="A39" s="36" t="s">
        <v>96</v>
      </c>
      <c r="B39" s="37" t="s">
        <v>3</v>
      </c>
      <c r="C39" s="38">
        <v>152208.46843999997</v>
      </c>
      <c r="D39" s="39">
        <v>0.27596908365554035</v>
      </c>
      <c r="E39" s="38">
        <v>194213.3</v>
      </c>
      <c r="F39" s="39">
        <v>-0.10394653713211176</v>
      </c>
      <c r="G39" s="38">
        <v>174025.50000000003</v>
      </c>
      <c r="H39" s="39">
        <v>-1.5744819006410143E-2</v>
      </c>
      <c r="I39" s="40">
        <v>171285.5</v>
      </c>
    </row>
    <row r="40" spans="1:9">
      <c r="A40" s="131" t="s">
        <v>0</v>
      </c>
      <c r="B40" s="29" t="s">
        <v>97</v>
      </c>
      <c r="C40" s="15">
        <v>32091.419809999468</v>
      </c>
      <c r="D40" s="16">
        <v>1.6724339561092554</v>
      </c>
      <c r="E40" s="15">
        <v>85762.199999999808</v>
      </c>
      <c r="F40" s="16">
        <v>0.10148876777882283</v>
      </c>
      <c r="G40" s="15">
        <v>94466.100000000748</v>
      </c>
      <c r="H40" s="16">
        <v>-6.4697282940662099E-2</v>
      </c>
      <c r="I40" s="17">
        <v>88354.39999999982</v>
      </c>
    </row>
    <row r="41" spans="1:9">
      <c r="A41" s="131" t="s">
        <v>0</v>
      </c>
      <c r="B41" s="29" t="s">
        <v>98</v>
      </c>
      <c r="C41" s="15">
        <v>-120117.0486300005</v>
      </c>
      <c r="D41" s="16">
        <v>-9.7121505756732562E-2</v>
      </c>
      <c r="E41" s="15">
        <v>-108451.10000000018</v>
      </c>
      <c r="F41" s="16">
        <v>-0.26640301481497974</v>
      </c>
      <c r="G41" s="15">
        <v>-79559.399999999281</v>
      </c>
      <c r="H41" s="16">
        <v>4.2379655955184801E-2</v>
      </c>
      <c r="I41" s="17">
        <v>-82931.10000000018</v>
      </c>
    </row>
    <row r="42" spans="1:9">
      <c r="A42" s="141" t="s">
        <v>0</v>
      </c>
      <c r="B42" s="31" t="s">
        <v>99</v>
      </c>
      <c r="C42" s="20">
        <v>4081459.7886999999</v>
      </c>
      <c r="D42" s="129">
        <v>-2.073299539402058E-3</v>
      </c>
      <c r="E42" s="20">
        <v>4072997.7</v>
      </c>
      <c r="F42" s="129">
        <v>1.2747834353061474E-2</v>
      </c>
      <c r="G42" s="20">
        <v>4124919.6000000006</v>
      </c>
      <c r="H42" s="129">
        <v>2.2518814669745271E-2</v>
      </c>
      <c r="I42" s="21">
        <v>4217807.9000000004</v>
      </c>
    </row>
    <row r="43" spans="1:9">
      <c r="A43" s="141">
        <v>0</v>
      </c>
      <c r="B43" s="31" t="s">
        <v>5</v>
      </c>
      <c r="C43" s="66">
        <v>0.21083859616293157</v>
      </c>
      <c r="D43" s="142">
        <v>0</v>
      </c>
      <c r="E43" s="41">
        <v>0.44158767705404217</v>
      </c>
      <c r="F43" s="142">
        <v>0</v>
      </c>
      <c r="G43" s="41">
        <v>0.54282906815380927</v>
      </c>
      <c r="H43" s="142">
        <v>0</v>
      </c>
      <c r="I43" s="42">
        <v>0.51583117076459961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2.6640625" customWidth="1"/>
    <col min="3" max="3" width="12.33203125" bestFit="1" customWidth="1"/>
    <col min="4" max="4" width="9.83203125" customWidth="1"/>
    <col min="5" max="5" width="12.33203125" bestFit="1" customWidth="1"/>
    <col min="6" max="6" width="9.83203125" customWidth="1"/>
    <col min="7" max="7" width="12.33203125" bestFit="1" customWidth="1"/>
    <col min="8" max="8" width="7.5" customWidth="1"/>
    <col min="9" max="9" width="12.33203125" bestFit="1" customWidth="1"/>
  </cols>
  <sheetData>
    <row r="1" spans="1:9">
      <c r="A1" s="5" t="s">
        <v>20</v>
      </c>
      <c r="B1" s="6" t="s">
        <v>168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102</v>
      </c>
      <c r="F3" s="134">
        <v>0</v>
      </c>
      <c r="G3" s="135">
        <v>0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342731</v>
      </c>
      <c r="D4" s="11">
        <v>4.1764532534261566E-2</v>
      </c>
      <c r="E4" s="10">
        <v>357045</v>
      </c>
      <c r="F4" s="11">
        <v>-3.3547592040219017E-2</v>
      </c>
      <c r="G4" s="10">
        <v>345067</v>
      </c>
      <c r="H4" s="11"/>
      <c r="I4" s="12"/>
    </row>
    <row r="5" spans="1:9">
      <c r="A5" s="13" t="s">
        <v>30</v>
      </c>
      <c r="B5" s="14" t="s">
        <v>31</v>
      </c>
      <c r="C5" s="15">
        <v>274508</v>
      </c>
      <c r="D5" s="16">
        <v>0.13217829717166713</v>
      </c>
      <c r="E5" s="15">
        <v>310792</v>
      </c>
      <c r="F5" s="16">
        <v>-3.5763468815156116E-2</v>
      </c>
      <c r="G5" s="15">
        <v>299677</v>
      </c>
      <c r="H5" s="16"/>
      <c r="I5" s="17"/>
    </row>
    <row r="6" spans="1:9">
      <c r="A6" s="13" t="s">
        <v>32</v>
      </c>
      <c r="B6" s="14" t="s">
        <v>33</v>
      </c>
      <c r="C6" s="15">
        <v>115220</v>
      </c>
      <c r="D6" s="16">
        <v>0.12950008679048777</v>
      </c>
      <c r="E6" s="15">
        <v>130141</v>
      </c>
      <c r="F6" s="16">
        <v>3.676012939811435E-2</v>
      </c>
      <c r="G6" s="15">
        <v>134925</v>
      </c>
      <c r="H6" s="16"/>
      <c r="I6" s="17"/>
    </row>
    <row r="7" spans="1:9">
      <c r="A7" s="13" t="s">
        <v>34</v>
      </c>
      <c r="B7" s="14" t="s">
        <v>35</v>
      </c>
      <c r="C7" s="15">
        <v>8542</v>
      </c>
      <c r="D7" s="16">
        <v>-0.3268555373448841</v>
      </c>
      <c r="E7" s="15">
        <v>5750</v>
      </c>
      <c r="F7" s="16">
        <v>-5.1826086956521737E-2</v>
      </c>
      <c r="G7" s="15">
        <v>5452</v>
      </c>
      <c r="H7" s="16"/>
      <c r="I7" s="17"/>
    </row>
    <row r="8" spans="1:9">
      <c r="A8" s="13" t="s">
        <v>36</v>
      </c>
      <c r="B8" s="14" t="s">
        <v>37</v>
      </c>
      <c r="C8" s="15">
        <v>6793</v>
      </c>
      <c r="D8" s="16">
        <v>0.12586486088620638</v>
      </c>
      <c r="E8" s="15">
        <v>7648</v>
      </c>
      <c r="F8" s="16">
        <v>0.19129184100418409</v>
      </c>
      <c r="G8" s="15">
        <v>9111</v>
      </c>
      <c r="H8" s="16"/>
      <c r="I8" s="17"/>
    </row>
    <row r="9" spans="1:9">
      <c r="A9" s="13" t="s">
        <v>38</v>
      </c>
      <c r="B9" s="14" t="s">
        <v>39</v>
      </c>
      <c r="C9" s="15">
        <v>188650</v>
      </c>
      <c r="D9" s="16">
        <v>-3.1555791147627882E-2</v>
      </c>
      <c r="E9" s="15">
        <v>182697</v>
      </c>
      <c r="F9" s="16">
        <v>-9.7292237967782719E-2</v>
      </c>
      <c r="G9" s="15">
        <v>164922</v>
      </c>
      <c r="H9" s="16"/>
      <c r="I9" s="17"/>
    </row>
    <row r="10" spans="1:9">
      <c r="A10" s="13" t="s">
        <v>40</v>
      </c>
      <c r="B10" s="14" t="s">
        <v>41</v>
      </c>
      <c r="C10" s="15">
        <v>1278725</v>
      </c>
      <c r="D10" s="16">
        <v>0.10282664372715009</v>
      </c>
      <c r="E10" s="15">
        <v>1410212</v>
      </c>
      <c r="F10" s="16">
        <v>2.8747450737903238E-3</v>
      </c>
      <c r="G10" s="15">
        <v>1414266</v>
      </c>
      <c r="H10" s="16"/>
      <c r="I10" s="17"/>
    </row>
    <row r="11" spans="1:9">
      <c r="A11" s="13" t="s">
        <v>42</v>
      </c>
      <c r="B11" s="14" t="s">
        <v>43</v>
      </c>
      <c r="C11" s="15">
        <v>0</v>
      </c>
      <c r="D11" s="43" t="s">
        <v>48</v>
      </c>
      <c r="E11" s="15">
        <v>364</v>
      </c>
      <c r="F11" s="16">
        <v>0</v>
      </c>
      <c r="G11" s="15">
        <v>364</v>
      </c>
      <c r="H11" s="16"/>
      <c r="I11" s="17"/>
    </row>
    <row r="12" spans="1:9">
      <c r="A12" s="13" t="s">
        <v>44</v>
      </c>
      <c r="B12" s="14" t="s">
        <v>45</v>
      </c>
      <c r="C12" s="15">
        <v>198518</v>
      </c>
      <c r="D12" s="43">
        <v>0.29462315759779972</v>
      </c>
      <c r="E12" s="15">
        <v>257006</v>
      </c>
      <c r="F12" s="16">
        <v>7.1465257620444658E-2</v>
      </c>
      <c r="G12" s="15">
        <v>275373</v>
      </c>
      <c r="H12" s="16"/>
      <c r="I12" s="17"/>
    </row>
    <row r="13" spans="1:9">
      <c r="A13" s="13" t="s">
        <v>46</v>
      </c>
      <c r="B13" s="14" t="s">
        <v>47</v>
      </c>
      <c r="C13" s="15">
        <v>214284</v>
      </c>
      <c r="D13" s="43">
        <v>6.9687890836460029E-2</v>
      </c>
      <c r="E13" s="15">
        <v>229217</v>
      </c>
      <c r="F13" s="43">
        <v>-6.1788610792393235E-2</v>
      </c>
      <c r="G13" s="15">
        <v>215054</v>
      </c>
      <c r="H13" s="43"/>
      <c r="I13" s="17"/>
    </row>
    <row r="14" spans="1:9">
      <c r="A14" s="13" t="s">
        <v>49</v>
      </c>
      <c r="B14" s="14" t="s">
        <v>50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/>
      <c r="I14" s="17"/>
    </row>
    <row r="15" spans="1:9">
      <c r="A15" s="13" t="s">
        <v>51</v>
      </c>
      <c r="B15" s="14" t="s">
        <v>52</v>
      </c>
      <c r="C15" s="15">
        <v>157744</v>
      </c>
      <c r="D15" s="43">
        <v>3.3319809311289181E-2</v>
      </c>
      <c r="E15" s="15">
        <v>163000</v>
      </c>
      <c r="F15" s="16">
        <v>3.4521472392638038E-2</v>
      </c>
      <c r="G15" s="15">
        <v>168627</v>
      </c>
      <c r="H15" s="16"/>
      <c r="I15" s="17"/>
    </row>
    <row r="16" spans="1:9">
      <c r="A16" s="13" t="s">
        <v>53</v>
      </c>
      <c r="B16" s="14" t="s">
        <v>54</v>
      </c>
      <c r="C16" s="15">
        <v>211110</v>
      </c>
      <c r="D16" s="43">
        <v>-5.2437118090095207E-3</v>
      </c>
      <c r="E16" s="15">
        <v>210003</v>
      </c>
      <c r="F16" s="43">
        <v>-1.14331700023333E-2</v>
      </c>
      <c r="G16" s="15">
        <v>207602</v>
      </c>
      <c r="H16" s="43"/>
      <c r="I16" s="17"/>
    </row>
    <row r="17" spans="1:9">
      <c r="A17" s="13" t="s">
        <v>55</v>
      </c>
      <c r="B17" s="14" t="s">
        <v>56</v>
      </c>
      <c r="C17" s="15">
        <v>14201</v>
      </c>
      <c r="D17" s="16">
        <v>-0.97979015562284344</v>
      </c>
      <c r="E17" s="15">
        <v>287</v>
      </c>
      <c r="F17" s="16">
        <v>35.498257839721255</v>
      </c>
      <c r="G17" s="15">
        <v>10475</v>
      </c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/>
      <c r="I18" s="17"/>
    </row>
    <row r="19" spans="1:9">
      <c r="A19" s="18" t="s">
        <v>58</v>
      </c>
      <c r="B19" s="19" t="s">
        <v>59</v>
      </c>
      <c r="C19" s="20">
        <v>462998</v>
      </c>
      <c r="D19" s="43">
        <v>-0.44407319254078853</v>
      </c>
      <c r="E19" s="20">
        <v>257393</v>
      </c>
      <c r="F19" s="43">
        <v>-9.9113029491866525E-2</v>
      </c>
      <c r="G19" s="20">
        <v>231882</v>
      </c>
      <c r="H19" s="43"/>
      <c r="I19" s="21"/>
    </row>
    <row r="20" spans="1:9">
      <c r="A20" s="22" t="s">
        <v>60</v>
      </c>
      <c r="B20" s="23" t="s">
        <v>61</v>
      </c>
      <c r="C20" s="24">
        <v>2577148</v>
      </c>
      <c r="D20" s="25">
        <v>-1.7586882864313574E-2</v>
      </c>
      <c r="E20" s="24">
        <v>2531824</v>
      </c>
      <c r="F20" s="25">
        <v>-2.0132521059915698E-2</v>
      </c>
      <c r="G20" s="24">
        <v>2480852</v>
      </c>
      <c r="H20" s="25"/>
      <c r="I20" s="26"/>
    </row>
    <row r="21" spans="1:9">
      <c r="A21" s="27" t="s">
        <v>62</v>
      </c>
      <c r="B21" s="28" t="s">
        <v>63</v>
      </c>
      <c r="C21" s="10">
        <v>587093</v>
      </c>
      <c r="D21" s="16">
        <v>1.1287819817303221E-2</v>
      </c>
      <c r="E21" s="10">
        <v>593720</v>
      </c>
      <c r="F21" s="16">
        <v>1.452704978777875E-2</v>
      </c>
      <c r="G21" s="10">
        <v>602345</v>
      </c>
      <c r="H21" s="16"/>
      <c r="I21" s="12"/>
    </row>
    <row r="22" spans="1:9">
      <c r="A22" s="8" t="s">
        <v>64</v>
      </c>
      <c r="B22" s="29" t="s">
        <v>65</v>
      </c>
      <c r="C22" s="15">
        <v>87341</v>
      </c>
      <c r="D22" s="16">
        <v>-4.9278116806539887E-2</v>
      </c>
      <c r="E22" s="15">
        <v>83037</v>
      </c>
      <c r="F22" s="16">
        <v>3.5008490191119623E-2</v>
      </c>
      <c r="G22" s="15">
        <v>85944</v>
      </c>
      <c r="H22" s="16"/>
      <c r="I22" s="17"/>
    </row>
    <row r="23" spans="1:9">
      <c r="A23" s="8" t="s">
        <v>66</v>
      </c>
      <c r="B23" s="29" t="s">
        <v>67</v>
      </c>
      <c r="C23" s="15">
        <v>134219</v>
      </c>
      <c r="D23" s="16">
        <v>-5.6050186635275182E-2</v>
      </c>
      <c r="E23" s="15">
        <v>126696</v>
      </c>
      <c r="F23" s="16">
        <v>-4.1721917029740478E-2</v>
      </c>
      <c r="G23" s="15">
        <v>121410</v>
      </c>
      <c r="H23" s="16"/>
      <c r="I23" s="17"/>
    </row>
    <row r="24" spans="1:9">
      <c r="A24" s="8" t="s">
        <v>68</v>
      </c>
      <c r="B24" s="29" t="s">
        <v>69</v>
      </c>
      <c r="C24" s="15">
        <v>225182</v>
      </c>
      <c r="D24" s="16">
        <v>6.6555053245818938E-2</v>
      </c>
      <c r="E24" s="15">
        <v>240169</v>
      </c>
      <c r="F24" s="16">
        <v>8.7467574915996646E-2</v>
      </c>
      <c r="G24" s="15">
        <v>261176</v>
      </c>
      <c r="H24" s="16"/>
      <c r="I24" s="17"/>
    </row>
    <row r="25" spans="1:9">
      <c r="A25" s="8" t="s">
        <v>70</v>
      </c>
      <c r="B25" s="29" t="s">
        <v>71</v>
      </c>
      <c r="C25" s="15">
        <v>1172376</v>
      </c>
      <c r="D25" s="16">
        <v>-1.8923109992016213E-2</v>
      </c>
      <c r="E25" s="15">
        <v>1150191</v>
      </c>
      <c r="F25" s="16">
        <v>3.6218332433482783E-2</v>
      </c>
      <c r="G25" s="15">
        <v>1191849</v>
      </c>
      <c r="H25" s="16"/>
      <c r="I25" s="17"/>
    </row>
    <row r="26" spans="1:9">
      <c r="A26" s="59" t="s">
        <v>72</v>
      </c>
      <c r="B26" s="29" t="s">
        <v>73</v>
      </c>
      <c r="C26" s="15">
        <v>10827</v>
      </c>
      <c r="D26" s="16">
        <v>4.0631753948462181</v>
      </c>
      <c r="E26" s="15">
        <v>54819</v>
      </c>
      <c r="F26" s="16">
        <v>-0.45285393750342035</v>
      </c>
      <c r="G26" s="15">
        <v>29994</v>
      </c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/>
      <c r="I27" s="17"/>
    </row>
    <row r="28" spans="1:9">
      <c r="A28" s="30" t="s">
        <v>75</v>
      </c>
      <c r="B28" s="31" t="s">
        <v>76</v>
      </c>
      <c r="C28" s="20">
        <v>462998</v>
      </c>
      <c r="D28" s="16">
        <v>-0.44407319254078853</v>
      </c>
      <c r="E28" s="20">
        <v>257393</v>
      </c>
      <c r="F28" s="16">
        <v>-9.9113029491866525E-2</v>
      </c>
      <c r="G28" s="20">
        <v>231882</v>
      </c>
      <c r="H28" s="16"/>
      <c r="I28" s="21"/>
    </row>
    <row r="29" spans="1:9">
      <c r="A29" s="51" t="s">
        <v>77</v>
      </c>
      <c r="B29" s="52" t="s">
        <v>78</v>
      </c>
      <c r="C29" s="24">
        <v>2680036</v>
      </c>
      <c r="D29" s="53">
        <v>-6.4928605436643388E-2</v>
      </c>
      <c r="E29" s="24">
        <v>2506025</v>
      </c>
      <c r="F29" s="53">
        <v>7.4121367504314598E-3</v>
      </c>
      <c r="G29" s="24">
        <v>2524600</v>
      </c>
      <c r="H29" s="54"/>
      <c r="I29" s="26"/>
    </row>
    <row r="30" spans="1:9">
      <c r="A30" s="50" t="s">
        <v>79</v>
      </c>
      <c r="B30" s="32" t="s">
        <v>80</v>
      </c>
      <c r="C30" s="33">
        <v>102888</v>
      </c>
      <c r="D30" s="136">
        <v>0</v>
      </c>
      <c r="E30" s="33">
        <v>-25799</v>
      </c>
      <c r="F30" s="136">
        <v>0</v>
      </c>
      <c r="G30" s="34">
        <v>43748</v>
      </c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/>
      <c r="I31" s="139"/>
    </row>
    <row r="32" spans="1:9">
      <c r="A32" s="59" t="s">
        <v>82</v>
      </c>
      <c r="B32" s="29" t="s">
        <v>83</v>
      </c>
      <c r="C32" s="15">
        <v>178596</v>
      </c>
      <c r="D32" s="16">
        <v>7.5427221214360907E-2</v>
      </c>
      <c r="E32" s="15">
        <v>192067</v>
      </c>
      <c r="F32" s="16">
        <v>-0.16426038830199879</v>
      </c>
      <c r="G32" s="15">
        <v>160518</v>
      </c>
      <c r="H32" s="16"/>
      <c r="I32" s="17"/>
    </row>
    <row r="33" spans="1:9">
      <c r="A33" s="59" t="s">
        <v>84</v>
      </c>
      <c r="B33" s="29" t="s">
        <v>85</v>
      </c>
      <c r="C33" s="15">
        <v>1561</v>
      </c>
      <c r="D33" s="16">
        <v>1.4778987828315182</v>
      </c>
      <c r="E33" s="15">
        <v>3868</v>
      </c>
      <c r="F33" s="16">
        <v>-5.0155118924508788E-2</v>
      </c>
      <c r="G33" s="15">
        <v>3674</v>
      </c>
      <c r="H33" s="16"/>
      <c r="I33" s="17"/>
    </row>
    <row r="34" spans="1:9">
      <c r="A34" s="8" t="s">
        <v>86</v>
      </c>
      <c r="B34" s="29" t="s">
        <v>87</v>
      </c>
      <c r="C34" s="15">
        <v>227634</v>
      </c>
      <c r="D34" s="16">
        <v>-0.12010068794644034</v>
      </c>
      <c r="E34" s="15">
        <v>200295</v>
      </c>
      <c r="F34" s="16">
        <v>1.6026361117351905E-3</v>
      </c>
      <c r="G34" s="15">
        <v>200616</v>
      </c>
      <c r="H34" s="16"/>
      <c r="I34" s="17"/>
    </row>
    <row r="35" spans="1:9">
      <c r="A35" s="51" t="s">
        <v>88</v>
      </c>
      <c r="B35" s="52" t="s">
        <v>89</v>
      </c>
      <c r="C35" s="24">
        <v>407791</v>
      </c>
      <c r="D35" s="54">
        <v>-2.835030689740578E-2</v>
      </c>
      <c r="E35" s="24">
        <v>396230</v>
      </c>
      <c r="F35" s="54">
        <v>-7.9302425359008652E-2</v>
      </c>
      <c r="G35" s="24">
        <v>364808</v>
      </c>
      <c r="H35" s="54"/>
      <c r="I35" s="26"/>
    </row>
    <row r="36" spans="1:9">
      <c r="A36" s="8" t="s">
        <v>90</v>
      </c>
      <c r="B36" s="29" t="s">
        <v>91</v>
      </c>
      <c r="C36" s="15">
        <v>52</v>
      </c>
      <c r="D36" s="16">
        <v>-1</v>
      </c>
      <c r="E36" s="15">
        <v>0</v>
      </c>
      <c r="F36" s="16" t="s">
        <v>48</v>
      </c>
      <c r="G36" s="15">
        <v>0</v>
      </c>
      <c r="H36" s="16"/>
      <c r="I36" s="17"/>
    </row>
    <row r="37" spans="1:9">
      <c r="A37" s="8" t="s">
        <v>92</v>
      </c>
      <c r="B37" s="29" t="s">
        <v>93</v>
      </c>
      <c r="C37" s="15">
        <v>211830</v>
      </c>
      <c r="D37" s="16">
        <v>-6.8772128593683618E-2</v>
      </c>
      <c r="E37" s="15">
        <v>197262</v>
      </c>
      <c r="F37" s="16">
        <v>-3.557198041183806E-2</v>
      </c>
      <c r="G37" s="15">
        <v>190245</v>
      </c>
      <c r="H37" s="16"/>
      <c r="I37" s="17"/>
    </row>
    <row r="38" spans="1:9">
      <c r="A38" s="51" t="s">
        <v>94</v>
      </c>
      <c r="B38" s="52" t="s">
        <v>95</v>
      </c>
      <c r="C38" s="24">
        <v>211882</v>
      </c>
      <c r="D38" s="54">
        <v>-5.468609886635014E-2</v>
      </c>
      <c r="E38" s="24">
        <v>200295</v>
      </c>
      <c r="F38" s="54">
        <v>1.6026361117351905E-3</v>
      </c>
      <c r="G38" s="24">
        <v>200616</v>
      </c>
      <c r="H38" s="54"/>
      <c r="I38" s="26"/>
    </row>
    <row r="39" spans="1:9">
      <c r="A39" s="36" t="s">
        <v>96</v>
      </c>
      <c r="B39" s="37" t="s">
        <v>3</v>
      </c>
      <c r="C39" s="38">
        <v>195909</v>
      </c>
      <c r="D39" s="39">
        <v>1.3271467875391126E-4</v>
      </c>
      <c r="E39" s="38">
        <v>195935</v>
      </c>
      <c r="F39" s="39">
        <v>-0.16200780871207288</v>
      </c>
      <c r="G39" s="38">
        <v>164192</v>
      </c>
      <c r="H39" s="39"/>
      <c r="I39" s="40"/>
    </row>
    <row r="40" spans="1:9">
      <c r="A40" s="131" t="s">
        <v>0</v>
      </c>
      <c r="B40" s="29" t="s">
        <v>97</v>
      </c>
      <c r="C40" s="15">
        <v>291538</v>
      </c>
      <c r="D40" s="16">
        <v>-0.46182658864367593</v>
      </c>
      <c r="E40" s="15">
        <v>156898</v>
      </c>
      <c r="F40" s="16">
        <v>0.32997233871687337</v>
      </c>
      <c r="G40" s="15">
        <v>208670</v>
      </c>
      <c r="H40" s="16"/>
      <c r="I40" s="17"/>
    </row>
    <row r="41" spans="1:9">
      <c r="A41" s="131" t="s">
        <v>0</v>
      </c>
      <c r="B41" s="29" t="s">
        <v>98</v>
      </c>
      <c r="C41" s="15">
        <v>95629</v>
      </c>
      <c r="D41" s="16">
        <v>-1.4082129897834339</v>
      </c>
      <c r="E41" s="15">
        <v>-39037</v>
      </c>
      <c r="F41" s="16">
        <v>-2.1393805876476164</v>
      </c>
      <c r="G41" s="15">
        <v>44478</v>
      </c>
      <c r="H41" s="16"/>
      <c r="I41" s="17"/>
    </row>
    <row r="42" spans="1:9">
      <c r="A42" s="141" t="s">
        <v>0</v>
      </c>
      <c r="B42" s="31" t="s">
        <v>99</v>
      </c>
      <c r="C42" s="20">
        <v>2312297</v>
      </c>
      <c r="D42" s="129">
        <v>7.2539124515579104E-2</v>
      </c>
      <c r="E42" s="20">
        <v>2480029</v>
      </c>
      <c r="F42" s="129">
        <v>-2.0467099376660514E-2</v>
      </c>
      <c r="G42" s="20">
        <v>2429270</v>
      </c>
      <c r="H42" s="129"/>
      <c r="I42" s="21"/>
    </row>
    <row r="43" spans="1:9">
      <c r="A43" s="141">
        <v>0</v>
      </c>
      <c r="B43" s="31" t="s">
        <v>5</v>
      </c>
      <c r="C43" s="66">
        <v>1.4881296928676069</v>
      </c>
      <c r="D43" s="142">
        <v>0</v>
      </c>
      <c r="E43" s="41">
        <v>0.80076556000714527</v>
      </c>
      <c r="F43" s="142">
        <v>0</v>
      </c>
      <c r="G43" s="41">
        <v>1.2708901773533425</v>
      </c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237" t="s">
        <v>220</v>
      </c>
      <c r="B1" s="532" t="s">
        <v>665</v>
      </c>
      <c r="C1" s="532" t="s">
        <v>168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/>
      <c r="F4" s="257"/>
      <c r="G4" s="259">
        <v>358527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/>
      <c r="F5" s="275"/>
      <c r="G5" s="267">
        <v>316093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/>
      <c r="F6" s="271"/>
      <c r="G6" s="273">
        <v>126406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/>
      <c r="F7" s="271"/>
      <c r="G7" s="273">
        <v>8229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/>
      <c r="F8" s="275"/>
      <c r="G8" s="276">
        <v>81952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/>
      <c r="F9" s="275"/>
      <c r="G9" s="276">
        <v>3286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75">
        <v>0</v>
      </c>
      <c r="G10" s="276"/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/>
      <c r="F11" s="275"/>
      <c r="G11" s="277">
        <v>591</v>
      </c>
    </row>
    <row r="12" spans="1:55" s="285" customFormat="1" ht="14">
      <c r="A12" s="278">
        <v>351</v>
      </c>
      <c r="B12" s="279"/>
      <c r="C12" s="280" t="s">
        <v>232</v>
      </c>
      <c r="D12" s="282"/>
      <c r="E12" s="282"/>
      <c r="F12" s="282"/>
      <c r="G12" s="482">
        <v>484</v>
      </c>
    </row>
    <row r="13" spans="1:55" s="260" customFormat="1" ht="12.75" customHeight="1">
      <c r="A13" s="261">
        <v>36</v>
      </c>
      <c r="B13" s="262"/>
      <c r="C13" s="263" t="s">
        <v>233</v>
      </c>
      <c r="D13" s="271"/>
      <c r="E13" s="323"/>
      <c r="F13" s="271"/>
      <c r="G13" s="276">
        <v>1130122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1"/>
      <c r="E14" s="323"/>
      <c r="F14" s="271"/>
      <c r="G14" s="276">
        <v>253275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1"/>
      <c r="E15" s="323"/>
      <c r="F15" s="271"/>
      <c r="G15" s="276">
        <v>19909</v>
      </c>
    </row>
    <row r="16" spans="1:55" s="297" customFormat="1" ht="26.25" customHeight="1">
      <c r="A16" s="287" t="s">
        <v>238</v>
      </c>
      <c r="B16" s="483"/>
      <c r="C16" s="288" t="s">
        <v>239</v>
      </c>
      <c r="D16" s="293"/>
      <c r="E16" s="294"/>
      <c r="F16" s="293"/>
      <c r="G16" s="296">
        <v>80275</v>
      </c>
    </row>
    <row r="17" spans="1:7" s="299" customFormat="1">
      <c r="A17" s="261">
        <v>37</v>
      </c>
      <c r="B17" s="262"/>
      <c r="C17" s="263" t="s">
        <v>240</v>
      </c>
      <c r="D17" s="316"/>
      <c r="E17" s="264"/>
      <c r="F17" s="316"/>
      <c r="G17" s="298">
        <v>388137</v>
      </c>
    </row>
    <row r="18" spans="1:7" s="299" customFormat="1">
      <c r="A18" s="322" t="s">
        <v>241</v>
      </c>
      <c r="B18" s="269"/>
      <c r="C18" s="270" t="s">
        <v>242</v>
      </c>
      <c r="D18" s="485"/>
      <c r="E18" s="323"/>
      <c r="F18" s="485"/>
      <c r="G18" s="298">
        <v>163000</v>
      </c>
    </row>
    <row r="19" spans="1:7" s="299" customFormat="1">
      <c r="A19" s="322" t="s">
        <v>243</v>
      </c>
      <c r="B19" s="269"/>
      <c r="C19" s="270" t="s">
        <v>244</v>
      </c>
      <c r="D19" s="485"/>
      <c r="E19" s="323"/>
      <c r="F19" s="485"/>
      <c r="G19" s="298">
        <v>200396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/>
      <c r="F20" s="306">
        <v>0</v>
      </c>
      <c r="G20" s="308">
        <v>154324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0</v>
      </c>
      <c r="F21" s="311">
        <f>F4+F5+SUM(F8:F13)+F17</f>
        <v>0</v>
      </c>
      <c r="G21" s="311">
        <f>G4+G5+SUM(G8:G13)+G17</f>
        <v>2279192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/>
      <c r="F22" s="275"/>
      <c r="G22" s="276">
        <v>555150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/>
      <c r="F23" s="275"/>
      <c r="G23" s="276">
        <v>124375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/>
      <c r="F24" s="275"/>
      <c r="G24" s="276">
        <v>67960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/>
      <c r="F25" s="275"/>
      <c r="G25" s="276">
        <v>153350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/>
      <c r="F26" s="316"/>
      <c r="G26" s="298">
        <v>1952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/>
      <c r="F27" s="316"/>
      <c r="G27" s="298">
        <v>1696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/>
      <c r="F28" s="316"/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/>
      <c r="F29" s="316"/>
      <c r="G29" s="298">
        <v>854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0</v>
      </c>
      <c r="F30" s="264">
        <v>0</v>
      </c>
      <c r="G30" s="319">
        <v>2209</v>
      </c>
    </row>
    <row r="31" spans="1:7" s="285" customFormat="1" ht="28">
      <c r="A31" s="278">
        <v>451</v>
      </c>
      <c r="B31" s="279"/>
      <c r="C31" s="280" t="s">
        <v>258</v>
      </c>
      <c r="D31" s="281"/>
      <c r="E31" s="281"/>
      <c r="F31" s="281"/>
      <c r="G31" s="276">
        <v>53958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/>
      <c r="F32" s="275"/>
      <c r="G32" s="276">
        <v>780426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5"/>
      <c r="F33" s="271"/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/>
      <c r="F34" s="275"/>
      <c r="G34" s="276">
        <v>388137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/>
      <c r="F35" s="306"/>
      <c r="G35" s="308">
        <v>154324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0</v>
      </c>
      <c r="F36" s="311">
        <f>F22+F23+F24+F25+F26+F27+F28+F29+F30+F31+F32+F34</f>
        <v>0</v>
      </c>
      <c r="G36" s="311">
        <f>G22+G23+G24+G25+G26+G27+G28+G29+G30+G31+G32+G34</f>
        <v>2130067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0</v>
      </c>
      <c r="F37" s="311">
        <f>F36-F21</f>
        <v>0</v>
      </c>
      <c r="G37" s="311">
        <f>G36-G21</f>
        <v>-149125</v>
      </c>
    </row>
    <row r="38" spans="1:7" s="285" customFormat="1" ht="15" customHeight="1">
      <c r="A38" s="274">
        <v>340</v>
      </c>
      <c r="B38" s="262"/>
      <c r="C38" s="263" t="s">
        <v>265</v>
      </c>
      <c r="D38" s="275"/>
      <c r="E38" s="264"/>
      <c r="F38" s="275"/>
      <c r="G38" s="276">
        <v>2482</v>
      </c>
    </row>
    <row r="39" spans="1:7" s="285" customFormat="1" ht="15" customHeight="1">
      <c r="A39" s="274">
        <v>341</v>
      </c>
      <c r="B39" s="262"/>
      <c r="C39" s="263" t="s">
        <v>266</v>
      </c>
      <c r="D39" s="275"/>
      <c r="E39" s="275"/>
      <c r="F39" s="275"/>
      <c r="G39" s="276">
        <v>5</v>
      </c>
    </row>
    <row r="40" spans="1:7" s="285" customFormat="1" ht="15" customHeight="1">
      <c r="A40" s="274">
        <v>342</v>
      </c>
      <c r="B40" s="262"/>
      <c r="C40" s="263" t="s">
        <v>267</v>
      </c>
      <c r="D40" s="275"/>
      <c r="E40" s="275"/>
      <c r="F40" s="275"/>
      <c r="G40" s="276">
        <v>1007</v>
      </c>
    </row>
    <row r="41" spans="1:7" s="285" customFormat="1" ht="15" customHeight="1">
      <c r="A41" s="274">
        <v>343</v>
      </c>
      <c r="B41" s="262"/>
      <c r="C41" s="263" t="s">
        <v>268</v>
      </c>
      <c r="D41" s="275"/>
      <c r="E41" s="275"/>
      <c r="F41" s="275"/>
      <c r="G41" s="276">
        <v>568</v>
      </c>
    </row>
    <row r="42" spans="1:7" s="285" customFormat="1" ht="15" customHeight="1">
      <c r="A42" s="274">
        <v>344</v>
      </c>
      <c r="B42" s="262"/>
      <c r="C42" s="263" t="s">
        <v>269</v>
      </c>
      <c r="D42" s="275"/>
      <c r="E42" s="275"/>
      <c r="F42" s="275"/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275"/>
      <c r="E43" s="275"/>
      <c r="F43" s="275"/>
      <c r="G43" s="276">
        <v>0</v>
      </c>
    </row>
    <row r="44" spans="1:7" s="260" customFormat="1" ht="15" customHeight="1">
      <c r="A44" s="261">
        <v>440</v>
      </c>
      <c r="B44" s="262"/>
      <c r="C44" s="263" t="s">
        <v>271</v>
      </c>
      <c r="D44" s="275"/>
      <c r="E44" s="264"/>
      <c r="F44" s="275"/>
      <c r="G44" s="276">
        <v>8574</v>
      </c>
    </row>
    <row r="45" spans="1:7" s="260" customFormat="1" ht="15" customHeight="1">
      <c r="A45" s="261">
        <v>441</v>
      </c>
      <c r="B45" s="262"/>
      <c r="C45" s="263" t="s">
        <v>272</v>
      </c>
      <c r="D45" s="275"/>
      <c r="E45" s="264"/>
      <c r="F45" s="275"/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275"/>
      <c r="E46" s="264"/>
      <c r="F46" s="275"/>
      <c r="G46" s="276">
        <v>16795</v>
      </c>
    </row>
    <row r="47" spans="1:7" s="260" customFormat="1" ht="15" customHeight="1">
      <c r="A47" s="261">
        <v>443</v>
      </c>
      <c r="B47" s="262"/>
      <c r="C47" s="263" t="s">
        <v>274</v>
      </c>
      <c r="D47" s="275"/>
      <c r="E47" s="264"/>
      <c r="F47" s="275"/>
      <c r="G47" s="276">
        <v>1892</v>
      </c>
    </row>
    <row r="48" spans="1:7" s="260" customFormat="1" ht="15" customHeight="1">
      <c r="A48" s="261">
        <v>444</v>
      </c>
      <c r="B48" s="262"/>
      <c r="C48" s="263" t="s">
        <v>269</v>
      </c>
      <c r="D48" s="275"/>
      <c r="E48" s="264"/>
      <c r="F48" s="275"/>
      <c r="G48" s="276">
        <v>0</v>
      </c>
    </row>
    <row r="49" spans="1:7" s="260" customFormat="1" ht="15" customHeight="1">
      <c r="A49" s="261">
        <v>445</v>
      </c>
      <c r="B49" s="262"/>
      <c r="C49" s="263" t="s">
        <v>275</v>
      </c>
      <c r="D49" s="275"/>
      <c r="E49" s="264"/>
      <c r="F49" s="275"/>
      <c r="G49" s="276">
        <v>308</v>
      </c>
    </row>
    <row r="50" spans="1:7" s="260" customFormat="1" ht="15" customHeight="1">
      <c r="A50" s="261">
        <v>446</v>
      </c>
      <c r="B50" s="262"/>
      <c r="C50" s="263" t="s">
        <v>276</v>
      </c>
      <c r="D50" s="275"/>
      <c r="E50" s="264"/>
      <c r="F50" s="275"/>
      <c r="G50" s="276">
        <v>69000</v>
      </c>
    </row>
    <row r="51" spans="1:7" s="260" customFormat="1" ht="15" customHeight="1">
      <c r="A51" s="261">
        <v>447</v>
      </c>
      <c r="B51" s="262"/>
      <c r="C51" s="263" t="s">
        <v>277</v>
      </c>
      <c r="D51" s="275"/>
      <c r="E51" s="264"/>
      <c r="F51" s="275"/>
      <c r="G51" s="276">
        <v>4104</v>
      </c>
    </row>
    <row r="52" spans="1:7" s="260" customFormat="1" ht="15" customHeight="1">
      <c r="A52" s="261">
        <v>448</v>
      </c>
      <c r="B52" s="262"/>
      <c r="C52" s="263" t="s">
        <v>278</v>
      </c>
      <c r="D52" s="275"/>
      <c r="E52" s="264"/>
      <c r="F52" s="275"/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275"/>
      <c r="E53" s="264"/>
      <c r="F53" s="275"/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332"/>
      <c r="E54" s="331"/>
      <c r="F54" s="332"/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0</v>
      </c>
      <c r="F55" s="311">
        <f>SUM(F44:F53)-SUM(F38:F43)</f>
        <v>0</v>
      </c>
      <c r="G55" s="311">
        <f>SUM(G44:G53)-SUM(G38:G43)</f>
        <v>96611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0</v>
      </c>
      <c r="F56" s="311">
        <f>F55+F37</f>
        <v>0</v>
      </c>
      <c r="G56" s="311">
        <f>G55+G37</f>
        <v>-52514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/>
      <c r="F57" s="340"/>
      <c r="G57" s="499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/>
      <c r="F58" s="340"/>
      <c r="G58" s="499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343"/>
      <c r="F59" s="344"/>
      <c r="G59" s="500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346"/>
      <c r="F60" s="346"/>
      <c r="G60" s="501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346"/>
      <c r="F61" s="346"/>
      <c r="G61" s="501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346"/>
      <c r="F62" s="346"/>
      <c r="G62" s="501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346"/>
      <c r="F63" s="346"/>
      <c r="G63" s="501">
        <v>0</v>
      </c>
    </row>
    <row r="64" spans="1:7" s="285" customFormat="1">
      <c r="A64" s="322">
        <v>389</v>
      </c>
      <c r="B64" s="533"/>
      <c r="C64" s="270" t="s">
        <v>57</v>
      </c>
      <c r="D64" s="271"/>
      <c r="E64" s="271"/>
      <c r="F64" s="271"/>
      <c r="G64" s="401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/>
      <c r="F65" s="275"/>
      <c r="G65" s="277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/>
      <c r="F66" s="344"/>
      <c r="G66" s="495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/>
      <c r="F67" s="275"/>
      <c r="G67" s="277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/>
      <c r="F68" s="275"/>
      <c r="G68" s="277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/>
      <c r="F69" s="275"/>
      <c r="G69" s="277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/>
      <c r="F70" s="275"/>
      <c r="G70" s="277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/>
      <c r="F71" s="275"/>
      <c r="G71" s="277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/>
      <c r="F72" s="275"/>
      <c r="G72" s="277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/>
      <c r="F73" s="275"/>
      <c r="G73" s="319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/>
      <c r="F74" s="275"/>
      <c r="G74" s="319">
        <v>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/>
      <c r="F75" s="275"/>
      <c r="G75" s="277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0</v>
      </c>
      <c r="F76" s="311">
        <f>SUM(F65:F74)-SUM(F57:F64)</f>
        <v>0</v>
      </c>
      <c r="G76" s="311">
        <f>SUM(G65:G74)-SUM(G57:G64)</f>
        <v>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0</v>
      </c>
      <c r="F77" s="311">
        <f>F56+F76</f>
        <v>0</v>
      </c>
      <c r="G77" s="311">
        <f>G56+G76</f>
        <v>-52514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0</v>
      </c>
      <c r="F78" s="361">
        <f>F20+F21+SUM(F38:F43)+SUM(F57:F64)</f>
        <v>0</v>
      </c>
      <c r="G78" s="361">
        <f>G20+G21+SUM(G38:G43)+SUM(G57:G64)</f>
        <v>2437578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0</v>
      </c>
      <c r="F79" s="361">
        <f>F35+F36+SUM(F44:F53)+SUM(F65:F74)</f>
        <v>0</v>
      </c>
      <c r="G79" s="361">
        <f>G35+G36+SUM(G44:G53)+SUM(G65:G74)</f>
        <v>2385064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275"/>
      <c r="E82" s="275"/>
      <c r="F82" s="275"/>
      <c r="G82" s="276">
        <v>180339</v>
      </c>
    </row>
    <row r="83" spans="1:7" s="260" customFormat="1">
      <c r="A83" s="367">
        <v>51</v>
      </c>
      <c r="B83" s="368"/>
      <c r="C83" s="368" t="s">
        <v>310</v>
      </c>
      <c r="D83" s="275"/>
      <c r="E83" s="275"/>
      <c r="F83" s="275"/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275"/>
      <c r="E84" s="275"/>
      <c r="F84" s="275"/>
      <c r="G84" s="276">
        <v>9366</v>
      </c>
    </row>
    <row r="85" spans="1:7" s="260" customFormat="1">
      <c r="A85" s="369">
        <v>54</v>
      </c>
      <c r="B85" s="370"/>
      <c r="C85" s="370" t="s">
        <v>312</v>
      </c>
      <c r="D85" s="271"/>
      <c r="E85" s="271"/>
      <c r="F85" s="271"/>
      <c r="G85" s="276">
        <v>17350</v>
      </c>
    </row>
    <row r="86" spans="1:7" s="260" customFormat="1">
      <c r="A86" s="369">
        <v>55</v>
      </c>
      <c r="B86" s="370"/>
      <c r="C86" s="370" t="s">
        <v>313</v>
      </c>
      <c r="D86" s="271"/>
      <c r="E86" s="271"/>
      <c r="F86" s="271"/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271"/>
      <c r="E87" s="271"/>
      <c r="F87" s="271"/>
      <c r="G87" s="276">
        <v>118057</v>
      </c>
    </row>
    <row r="88" spans="1:7" s="260" customFormat="1">
      <c r="A88" s="367">
        <v>57</v>
      </c>
      <c r="B88" s="368"/>
      <c r="C88" s="368" t="s">
        <v>315</v>
      </c>
      <c r="D88" s="275"/>
      <c r="E88" s="275"/>
      <c r="F88" s="275"/>
      <c r="G88" s="276">
        <v>71486</v>
      </c>
    </row>
    <row r="89" spans="1:7" s="260" customFormat="1">
      <c r="A89" s="367">
        <v>580</v>
      </c>
      <c r="B89" s="368"/>
      <c r="C89" s="368" t="s">
        <v>316</v>
      </c>
      <c r="D89" s="275"/>
      <c r="E89" s="275"/>
      <c r="F89" s="275"/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/>
      <c r="F90" s="275"/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/>
      <c r="F91" s="275"/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/>
      <c r="F92" s="275"/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/>
      <c r="F93" s="275"/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/>
      <c r="F94" s="306"/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0</v>
      </c>
      <c r="F95" s="376">
        <f>SUM(F82:F94)</f>
        <v>0</v>
      </c>
      <c r="G95" s="376">
        <f>SUM(G82:G94)</f>
        <v>396598</v>
      </c>
    </row>
    <row r="96" spans="1:7" s="260" customFormat="1">
      <c r="A96" s="367">
        <v>60</v>
      </c>
      <c r="B96" s="368"/>
      <c r="C96" s="368" t="s">
        <v>323</v>
      </c>
      <c r="D96" s="275"/>
      <c r="E96" s="275"/>
      <c r="F96" s="275"/>
      <c r="G96" s="276">
        <v>0</v>
      </c>
    </row>
    <row r="97" spans="1:7" s="260" customFormat="1">
      <c r="A97" s="367">
        <v>61</v>
      </c>
      <c r="B97" s="368"/>
      <c r="C97" s="368" t="s">
        <v>324</v>
      </c>
      <c r="D97" s="275"/>
      <c r="E97" s="275"/>
      <c r="F97" s="275"/>
      <c r="G97" s="276">
        <v>3815</v>
      </c>
    </row>
    <row r="98" spans="1:7" s="260" customFormat="1">
      <c r="A98" s="367">
        <v>62</v>
      </c>
      <c r="B98" s="368"/>
      <c r="C98" s="368" t="s">
        <v>325</v>
      </c>
      <c r="D98" s="275"/>
      <c r="E98" s="275"/>
      <c r="F98" s="275"/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275"/>
      <c r="E99" s="275"/>
      <c r="F99" s="275"/>
      <c r="G99" s="276">
        <v>107508</v>
      </c>
    </row>
    <row r="100" spans="1:7" s="260" customFormat="1">
      <c r="A100" s="369">
        <v>64</v>
      </c>
      <c r="B100" s="370"/>
      <c r="C100" s="370" t="s">
        <v>327</v>
      </c>
      <c r="D100" s="271"/>
      <c r="E100" s="271"/>
      <c r="F100" s="271"/>
      <c r="G100" s="276">
        <v>5815</v>
      </c>
    </row>
    <row r="101" spans="1:7" s="260" customFormat="1">
      <c r="A101" s="369">
        <v>65</v>
      </c>
      <c r="B101" s="370"/>
      <c r="C101" s="370" t="s">
        <v>328</v>
      </c>
      <c r="D101" s="271"/>
      <c r="E101" s="271"/>
      <c r="F101" s="271"/>
      <c r="G101" s="276">
        <v>0</v>
      </c>
    </row>
    <row r="102" spans="1:7" s="260" customFormat="1">
      <c r="A102" s="369">
        <v>66</v>
      </c>
      <c r="B102" s="370"/>
      <c r="C102" s="370" t="s">
        <v>329</v>
      </c>
      <c r="D102" s="271"/>
      <c r="E102" s="271"/>
      <c r="F102" s="271"/>
      <c r="G102" s="276">
        <v>250</v>
      </c>
    </row>
    <row r="103" spans="1:7" s="260" customFormat="1">
      <c r="A103" s="367">
        <v>67</v>
      </c>
      <c r="B103" s="368"/>
      <c r="C103" s="368" t="s">
        <v>315</v>
      </c>
      <c r="D103" s="275"/>
      <c r="E103" s="275"/>
      <c r="F103" s="275"/>
      <c r="G103" s="267">
        <v>71486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/>
      <c r="F104" s="264"/>
      <c r="G104" s="267">
        <v>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/>
      <c r="F105" s="304"/>
      <c r="G105" s="486">
        <v>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0</v>
      </c>
      <c r="F106" s="376">
        <f>SUM(F96:F105)</f>
        <v>0</v>
      </c>
      <c r="G106" s="376">
        <f>SUM(G96:G105)</f>
        <v>188874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0</v>
      </c>
      <c r="F107" s="376">
        <f>(F95-F88)-(F106-F103)</f>
        <v>0</v>
      </c>
      <c r="G107" s="376">
        <f>(G95-G88)-(G106-G103)</f>
        <v>207724</v>
      </c>
    </row>
    <row r="108" spans="1:7">
      <c r="A108" s="387" t="s">
        <v>336</v>
      </c>
      <c r="B108" s="387"/>
      <c r="C108" s="388" t="s">
        <v>337</v>
      </c>
      <c r="D108" s="376">
        <f>D107-D85-D86+D100+D101</f>
        <v>0</v>
      </c>
      <c r="E108" s="376">
        <f>E107-E85-E86+E100+E101</f>
        <v>0</v>
      </c>
      <c r="F108" s="376">
        <f>F107-F85-F86+F100+F101</f>
        <v>0</v>
      </c>
      <c r="G108" s="376">
        <f>G107-G85-G86+G100+G101</f>
        <v>196189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394">
        <f>E112+E117</f>
        <v>0</v>
      </c>
      <c r="F111" s="394">
        <f>F112+F117</f>
        <v>0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394">
        <f>E113+E114+E115+E116</f>
        <v>0</v>
      </c>
      <c r="F112" s="394">
        <f>F113+F114+F115+F116</f>
        <v>0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275"/>
      <c r="F113" s="275"/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/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275"/>
      <c r="F115" s="275"/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275"/>
      <c r="F116" s="275"/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394">
        <f>E118+E119+E120</f>
        <v>0</v>
      </c>
      <c r="F117" s="394">
        <f>F118+F119+F120</f>
        <v>0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275"/>
      <c r="F118" s="275"/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275"/>
      <c r="F119" s="275"/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/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0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275"/>
      <c r="F122" s="275"/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275"/>
      <c r="F123" s="275"/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412"/>
      <c r="F124" s="275"/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412"/>
      <c r="F125" s="275"/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416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412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412"/>
      <c r="F128" s="275"/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412"/>
      <c r="F129" s="275"/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20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0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0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0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/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/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431"/>
      <c r="F137" s="271"/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412"/>
      <c r="F138" s="275"/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412"/>
      <c r="F139" s="275"/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0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412"/>
      <c r="F141" s="275"/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431"/>
      <c r="F142" s="271"/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412"/>
      <c r="F143" s="275"/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416"/>
      <c r="F144" s="281"/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/>
      <c r="G145" s="413"/>
    </row>
    <row r="146" spans="1:7" s="396" customFormat="1">
      <c r="A146" s="434" t="s">
        <v>381</v>
      </c>
      <c r="B146" s="435"/>
      <c r="C146" s="435" t="s">
        <v>382</v>
      </c>
      <c r="D146" s="332"/>
      <c r="E146" s="332"/>
      <c r="F146" s="332"/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0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509"/>
      <c r="C150" s="509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0</v>
      </c>
      <c r="F150" s="442">
        <f>F77+SUM(F8:F12)-F30-F31+F16-F33+F59+F63-F73+F64-F74-F54+F20-F35</f>
        <v>0</v>
      </c>
      <c r="G150" s="442">
        <f>G77+SUM(G8:G12)-G30-G31+G16-G33+G59+G63-G73+G64-G74-G54+G20-G35</f>
        <v>57907</v>
      </c>
    </row>
    <row r="151" spans="1:7">
      <c r="A151" s="510" t="s">
        <v>387</v>
      </c>
      <c r="B151" s="510"/>
      <c r="C151" s="510" t="s">
        <v>388</v>
      </c>
      <c r="D151" s="445">
        <f>IF(D177=0,0,D150/D177)</f>
        <v>0</v>
      </c>
      <c r="E151" s="445">
        <f>IF(E177=0,0,E150/E177)</f>
        <v>0</v>
      </c>
      <c r="F151" s="445">
        <f>IF(F177=0,0,F150/F177)</f>
        <v>0</v>
      </c>
      <c r="G151" s="445">
        <f>IF(G177=0,0,G150/G177)</f>
        <v>3.1426737067073052E-2</v>
      </c>
    </row>
    <row r="152" spans="1:7" s="328" customFormat="1" ht="28">
      <c r="A152" s="511" t="s">
        <v>389</v>
      </c>
      <c r="B152" s="511"/>
      <c r="C152" s="511" t="s">
        <v>390</v>
      </c>
      <c r="D152" s="504">
        <f t="shared" ref="D152:G153" si="0">IF(IF(D107=0,0,D$150/D107)&lt;0,"negativ",(IF(D107=0,0,D$150/D107)))</f>
        <v>0</v>
      </c>
      <c r="E152" s="504">
        <f t="shared" si="0"/>
        <v>0</v>
      </c>
      <c r="F152" s="504">
        <f t="shared" si="0"/>
        <v>0</v>
      </c>
      <c r="G152" s="504">
        <f t="shared" si="0"/>
        <v>0.27876894340567293</v>
      </c>
    </row>
    <row r="153" spans="1:7" s="449" customFormat="1" ht="28">
      <c r="A153" s="512" t="s">
        <v>389</v>
      </c>
      <c r="B153" s="512"/>
      <c r="C153" s="512" t="s">
        <v>391</v>
      </c>
      <c r="D153" s="452">
        <f t="shared" si="0"/>
        <v>0</v>
      </c>
      <c r="E153" s="452">
        <f t="shared" si="0"/>
        <v>0</v>
      </c>
      <c r="F153" s="452">
        <f t="shared" si="0"/>
        <v>0</v>
      </c>
      <c r="G153" s="452">
        <f t="shared" si="0"/>
        <v>0.29515925969345885</v>
      </c>
    </row>
    <row r="154" spans="1:7" s="449" customFormat="1" ht="28">
      <c r="A154" s="513" t="s">
        <v>392</v>
      </c>
      <c r="B154" s="513"/>
      <c r="C154" s="513" t="s">
        <v>393</v>
      </c>
      <c r="D154" s="455">
        <f>D150-D107</f>
        <v>0</v>
      </c>
      <c r="E154" s="455">
        <f>E150-E107</f>
        <v>0</v>
      </c>
      <c r="F154" s="455">
        <f>F150-F107</f>
        <v>0</v>
      </c>
      <c r="G154" s="455">
        <f>G150-G107</f>
        <v>-149817</v>
      </c>
    </row>
    <row r="155" spans="1:7" ht="28">
      <c r="A155" s="512" t="s">
        <v>394</v>
      </c>
      <c r="B155" s="512"/>
      <c r="C155" s="512" t="s">
        <v>395</v>
      </c>
      <c r="D155" s="456">
        <f>D150-D108</f>
        <v>0</v>
      </c>
      <c r="E155" s="456">
        <f>E150-E108</f>
        <v>0</v>
      </c>
      <c r="F155" s="456">
        <f>F150-F108</f>
        <v>0</v>
      </c>
      <c r="G155" s="456">
        <f>G150-G108</f>
        <v>-138282</v>
      </c>
    </row>
    <row r="156" spans="1:7">
      <c r="A156" s="509" t="s">
        <v>396</v>
      </c>
      <c r="B156" s="509"/>
      <c r="C156" s="509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0</v>
      </c>
      <c r="G156" s="457">
        <f>G135+G136-G137+G141-G142</f>
        <v>0</v>
      </c>
    </row>
    <row r="157" spans="1:7">
      <c r="A157" s="514" t="s">
        <v>398</v>
      </c>
      <c r="B157" s="514"/>
      <c r="C157" s="514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</v>
      </c>
      <c r="G157" s="460">
        <f>IF(G177=0,0,G156/G177)</f>
        <v>0</v>
      </c>
    </row>
    <row r="158" spans="1:7">
      <c r="A158" s="509" t="s">
        <v>400</v>
      </c>
      <c r="B158" s="509"/>
      <c r="C158" s="509" t="s">
        <v>401</v>
      </c>
      <c r="D158" s="457">
        <f>D133-D142-D111</f>
        <v>0</v>
      </c>
      <c r="E158" s="457">
        <f>E133-E142-E111</f>
        <v>0</v>
      </c>
      <c r="F158" s="457">
        <f>F133-F142-F111</f>
        <v>0</v>
      </c>
      <c r="G158" s="457">
        <f>G133-G142-G111</f>
        <v>0</v>
      </c>
    </row>
    <row r="159" spans="1:7">
      <c r="A159" s="510" t="s">
        <v>402</v>
      </c>
      <c r="B159" s="510"/>
      <c r="C159" s="510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0</v>
      </c>
      <c r="G159" s="461">
        <f>G121-G123-G124-G142-G145</f>
        <v>0</v>
      </c>
    </row>
    <row r="160" spans="1:7">
      <c r="A160" s="510" t="s">
        <v>404</v>
      </c>
      <c r="B160" s="510"/>
      <c r="C160" s="510" t="s">
        <v>405</v>
      </c>
      <c r="D160" s="462" t="str">
        <f>IF(D175=0,"-",1000*D158/D175)</f>
        <v>-</v>
      </c>
      <c r="E160" s="462" t="str">
        <f>IF(E175=0,"-",1000*E158/E175)</f>
        <v>-</v>
      </c>
      <c r="F160" s="462" t="str">
        <f>IF(F175=0,"-",1000*F158/F175)</f>
        <v>-</v>
      </c>
      <c r="G160" s="462">
        <f>IF(G175=0,"-",1000*G158/G175)</f>
        <v>0</v>
      </c>
    </row>
    <row r="161" spans="1:7">
      <c r="A161" s="510" t="s">
        <v>404</v>
      </c>
      <c r="B161" s="510"/>
      <c r="C161" s="510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0</v>
      </c>
      <c r="G161" s="461">
        <f>IF(G175=0,0,1000*(G159/G175))</f>
        <v>0</v>
      </c>
    </row>
    <row r="162" spans="1:7">
      <c r="A162" s="514" t="s">
        <v>407</v>
      </c>
      <c r="B162" s="514"/>
      <c r="C162" s="514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</v>
      </c>
      <c r="G162" s="460">
        <f>IF((G22+G23+G65+G66)=0,0,G158/(G22+G23+G65+G66))</f>
        <v>0</v>
      </c>
    </row>
    <row r="163" spans="1:7">
      <c r="A163" s="510" t="s">
        <v>409</v>
      </c>
      <c r="B163" s="510"/>
      <c r="C163" s="510" t="s">
        <v>380</v>
      </c>
      <c r="D163" s="442">
        <f>D145</f>
        <v>0</v>
      </c>
      <c r="E163" s="442">
        <f>E145</f>
        <v>0</v>
      </c>
      <c r="F163" s="442">
        <f>F145</f>
        <v>0</v>
      </c>
      <c r="G163" s="442">
        <f>G145</f>
        <v>0</v>
      </c>
    </row>
    <row r="164" spans="1:7" ht="28">
      <c r="A164" s="512" t="s">
        <v>411</v>
      </c>
      <c r="B164" s="514"/>
      <c r="C164" s="514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</v>
      </c>
      <c r="G164" s="452">
        <f>IF(G178=0,0,G146/G178)</f>
        <v>0</v>
      </c>
    </row>
    <row r="165" spans="1:7">
      <c r="A165" s="515" t="s">
        <v>681</v>
      </c>
      <c r="B165" s="515"/>
      <c r="C165" s="515" t="s">
        <v>414</v>
      </c>
      <c r="D165" s="465">
        <f>IF(D177=0,0,D180/D177)</f>
        <v>0</v>
      </c>
      <c r="E165" s="465">
        <f>IF(E177=0,0,E180/E177)</f>
        <v>0</v>
      </c>
      <c r="F165" s="465">
        <f>IF(F177=0,0,F180/F177)</f>
        <v>0</v>
      </c>
      <c r="G165" s="465">
        <f>IF(G177=0,0,G180/G177)</f>
        <v>8.6519451015764109E-2</v>
      </c>
    </row>
    <row r="166" spans="1:7">
      <c r="A166" s="510" t="s">
        <v>415</v>
      </c>
      <c r="B166" s="510"/>
      <c r="C166" s="510" t="s">
        <v>282</v>
      </c>
      <c r="D166" s="442">
        <f>D55</f>
        <v>0</v>
      </c>
      <c r="E166" s="442">
        <f>E55</f>
        <v>0</v>
      </c>
      <c r="F166" s="442">
        <f>F55</f>
        <v>0</v>
      </c>
      <c r="G166" s="442">
        <f>G55</f>
        <v>96611</v>
      </c>
    </row>
    <row r="167" spans="1:7">
      <c r="A167" s="514" t="s">
        <v>416</v>
      </c>
      <c r="B167" s="514"/>
      <c r="C167" s="514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0</v>
      </c>
      <c r="G167" s="460">
        <f>IF(0=G111,0,(G44+G45+G46+G47+G48)/G111)</f>
        <v>0</v>
      </c>
    </row>
    <row r="168" spans="1:7">
      <c r="A168" s="510" t="s">
        <v>418</v>
      </c>
      <c r="B168" s="509"/>
      <c r="C168" s="509" t="s">
        <v>419</v>
      </c>
      <c r="D168" s="442">
        <f>D38-D44</f>
        <v>0</v>
      </c>
      <c r="E168" s="442">
        <f>E38-E44</f>
        <v>0</v>
      </c>
      <c r="F168" s="442">
        <f>F38-F44</f>
        <v>0</v>
      </c>
      <c r="G168" s="442">
        <f>G38-G44</f>
        <v>-6092</v>
      </c>
    </row>
    <row r="169" spans="1:7">
      <c r="A169" s="514" t="s">
        <v>420</v>
      </c>
      <c r="B169" s="514"/>
      <c r="C169" s="514" t="s">
        <v>421</v>
      </c>
      <c r="D169" s="445">
        <f>IF(D177=0,0,D168/D177)</f>
        <v>0</v>
      </c>
      <c r="E169" s="445">
        <f>IF(E177=0,0,E168/E177)</f>
        <v>0</v>
      </c>
      <c r="F169" s="445">
        <f>IF(F177=0,0,F168/F177)</f>
        <v>0</v>
      </c>
      <c r="G169" s="445">
        <f>IF(G177=0,0,G168/G177)</f>
        <v>-3.3061923811043398E-3</v>
      </c>
    </row>
    <row r="170" spans="1:7">
      <c r="A170" s="510" t="s">
        <v>422</v>
      </c>
      <c r="B170" s="510"/>
      <c r="C170" s="510" t="s">
        <v>423</v>
      </c>
      <c r="D170" s="442">
        <f>SUM(D82:D87)+SUM(D89:D94)</f>
        <v>0</v>
      </c>
      <c r="E170" s="442">
        <f>SUM(E82:E87)+SUM(E89:E94)</f>
        <v>0</v>
      </c>
      <c r="F170" s="442">
        <f>SUM(F82:F87)+SUM(F89:F94)</f>
        <v>0</v>
      </c>
      <c r="G170" s="442">
        <f>SUM(G82:G87)+SUM(G89:G94)</f>
        <v>325112</v>
      </c>
    </row>
    <row r="171" spans="1:7">
      <c r="A171" s="510" t="s">
        <v>424</v>
      </c>
      <c r="B171" s="510"/>
      <c r="C171" s="510" t="s">
        <v>425</v>
      </c>
      <c r="D171" s="461">
        <f>SUM(D96:D102)+SUM(D104:D105)</f>
        <v>0</v>
      </c>
      <c r="E171" s="461">
        <f>SUM(E96:E102)+SUM(E104:E105)</f>
        <v>0</v>
      </c>
      <c r="F171" s="461">
        <f>SUM(F96:F102)+SUM(F104:F105)</f>
        <v>0</v>
      </c>
      <c r="G171" s="461">
        <f>SUM(G96:G102)+SUM(G104:G105)</f>
        <v>117388</v>
      </c>
    </row>
    <row r="172" spans="1:7">
      <c r="A172" s="515" t="s">
        <v>413</v>
      </c>
      <c r="B172" s="515"/>
      <c r="C172" s="515" t="s">
        <v>426</v>
      </c>
      <c r="D172" s="465">
        <f>IF(D184=0,0,D170/D184)</f>
        <v>0</v>
      </c>
      <c r="E172" s="465">
        <f>IF(E184=0,0,E170/E184)</f>
        <v>0</v>
      </c>
      <c r="F172" s="465">
        <f>IF(F184=0,0,F170/F184)</f>
        <v>0</v>
      </c>
      <c r="G172" s="465">
        <f>IF(G184=0,0,G170/G184)</f>
        <v>0.15894695054101571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455</v>
      </c>
      <c r="D175" s="470"/>
      <c r="E175" s="470"/>
      <c r="F175" s="470"/>
      <c r="G175" s="472">
        <v>193389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7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0</v>
      </c>
      <c r="F177" s="472">
        <f>SUM(F22:F32)+SUM(F44:F53)+SUM(F65:F72)+F75</f>
        <v>0</v>
      </c>
      <c r="G177" s="472">
        <f>SUM(G22:G32)+SUM(G44:G53)+SUM(G65:G72)+G75</f>
        <v>1842603</v>
      </c>
    </row>
    <row r="178" spans="1:7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0</v>
      </c>
      <c r="F178" s="472">
        <f>F78-F17-F20-F59-F63-F64</f>
        <v>0</v>
      </c>
      <c r="G178" s="472">
        <f>G78-G17-G20-G59-G63-G64</f>
        <v>1895117</v>
      </c>
    </row>
    <row r="179" spans="1:7">
      <c r="A179" s="468"/>
      <c r="B179" s="468"/>
      <c r="C179" s="468" t="s">
        <v>435</v>
      </c>
      <c r="D179" s="472">
        <f>D178+D170</f>
        <v>0</v>
      </c>
      <c r="E179" s="472">
        <f>E178+E170</f>
        <v>0</v>
      </c>
      <c r="F179" s="472">
        <f>F178+F170</f>
        <v>0</v>
      </c>
      <c r="G179" s="472">
        <f>G178+G170</f>
        <v>2220229</v>
      </c>
    </row>
    <row r="180" spans="1:7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0</v>
      </c>
      <c r="F180" s="472">
        <f>F38-F44+F8+F9+F10+F16-F33</f>
        <v>0</v>
      </c>
      <c r="G180" s="472">
        <f>G38-G44+G8+G9+G10+G16-G33</f>
        <v>159421</v>
      </c>
    </row>
    <row r="181" spans="1:7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0</v>
      </c>
      <c r="F181" s="475">
        <f>F22+F23+F24+F25+F26+F29+SUM(F44:F47)+SUM(F49:F53)-F54+F32-F33+SUM(F65:F70)+F72</f>
        <v>0</v>
      </c>
      <c r="G181" s="475">
        <f>G22+G23+G24+G25+G26+G29+SUM(G44:G47)+SUM(G49:G53)-G54+G32-G33+SUM(G65:G70)+G72</f>
        <v>1784740</v>
      </c>
    </row>
    <row r="182" spans="1:7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0</v>
      </c>
      <c r="F182" s="475">
        <f>F181+F171</f>
        <v>0</v>
      </c>
      <c r="G182" s="475">
        <f>G181+G171</f>
        <v>1902128</v>
      </c>
    </row>
    <row r="183" spans="1:7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0</v>
      </c>
      <c r="F183" s="475">
        <f>F4+F5-F7+F38+F39+F40+F41+F43+F13-F16+F57+F58+F60+F61+F62</f>
        <v>0</v>
      </c>
      <c r="G183" s="475">
        <f>G4+G5-G7+G38+G39+G40+G41+G43+G13-G16+G57+G58+G60+G61+G62</f>
        <v>1720300</v>
      </c>
    </row>
    <row r="184" spans="1:7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0</v>
      </c>
      <c r="F184" s="475">
        <f>F183+F170</f>
        <v>0</v>
      </c>
      <c r="G184" s="475">
        <f>G183+G170</f>
        <v>2045412</v>
      </c>
    </row>
    <row r="185" spans="1:7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0</v>
      </c>
      <c r="F185" s="475">
        <f t="shared" si="1"/>
        <v>0</v>
      </c>
      <c r="G185" s="475">
        <f t="shared" si="1"/>
        <v>64440</v>
      </c>
    </row>
    <row r="186" spans="1:7">
      <c r="A186" s="474"/>
      <c r="B186" s="474"/>
      <c r="C186" s="474" t="s">
        <v>447</v>
      </c>
      <c r="D186" s="475">
        <f t="shared" si="1"/>
        <v>0</v>
      </c>
      <c r="E186" s="475">
        <f t="shared" si="1"/>
        <v>0</v>
      </c>
      <c r="F186" s="475">
        <f t="shared" si="1"/>
        <v>0</v>
      </c>
      <c r="G186" s="475">
        <f t="shared" si="1"/>
        <v>-143284</v>
      </c>
    </row>
  </sheetData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8" max="6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2.83203125" customWidth="1"/>
    <col min="3" max="3" width="12.33203125" bestFit="1" customWidth="1"/>
    <col min="4" max="4" width="9.33203125" customWidth="1"/>
    <col min="5" max="5" width="12.33203125" bestFit="1" customWidth="1"/>
    <col min="6" max="6" width="8.1640625" customWidth="1"/>
    <col min="7" max="7" width="12.33203125" bestFit="1" customWidth="1"/>
    <col min="8" max="8" width="9.33203125" customWidth="1"/>
    <col min="9" max="9" width="11.5" customWidth="1"/>
  </cols>
  <sheetData>
    <row r="1" spans="1:9">
      <c r="A1" s="5" t="s">
        <v>2</v>
      </c>
      <c r="B1" s="6" t="s">
        <v>169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102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1502908.7609999999</v>
      </c>
      <c r="D4" s="11">
        <v>4.9043069621177146E-2</v>
      </c>
      <c r="E4" s="10">
        <v>1576616.02</v>
      </c>
      <c r="F4" s="11">
        <v>-9.5821631953225943E-3</v>
      </c>
      <c r="G4" s="10">
        <v>1561508.628</v>
      </c>
      <c r="H4" s="11">
        <v>2.0325870399225152E-2</v>
      </c>
      <c r="I4" s="12">
        <v>1593247.65</v>
      </c>
    </row>
    <row r="5" spans="1:9">
      <c r="A5" s="13" t="s">
        <v>30</v>
      </c>
      <c r="B5" s="14" t="s">
        <v>31</v>
      </c>
      <c r="C5" s="15">
        <v>298376.28100000002</v>
      </c>
      <c r="D5" s="16">
        <v>0.23843579912439486</v>
      </c>
      <c r="E5" s="15">
        <v>369519.86800000002</v>
      </c>
      <c r="F5" s="16">
        <v>-0.11231206382656531</v>
      </c>
      <c r="G5" s="15">
        <v>328018.32900000003</v>
      </c>
      <c r="H5" s="16">
        <v>2.9391287460646728E-2</v>
      </c>
      <c r="I5" s="17">
        <v>337659.21</v>
      </c>
    </row>
    <row r="6" spans="1:9">
      <c r="A6" s="13" t="s">
        <v>32</v>
      </c>
      <c r="B6" s="14" t="s">
        <v>33</v>
      </c>
      <c r="C6" s="15">
        <v>26922.316999999999</v>
      </c>
      <c r="D6" s="16">
        <v>0.60851683010789903</v>
      </c>
      <c r="E6" s="15">
        <v>43305</v>
      </c>
      <c r="F6" s="16">
        <v>-0.40409677866297194</v>
      </c>
      <c r="G6" s="15">
        <v>25805.589</v>
      </c>
      <c r="H6" s="16">
        <v>0.26063001313397649</v>
      </c>
      <c r="I6" s="17">
        <v>32531.3</v>
      </c>
    </row>
    <row r="7" spans="1:9">
      <c r="A7" s="13" t="s">
        <v>34</v>
      </c>
      <c r="B7" s="14" t="s">
        <v>35</v>
      </c>
      <c r="C7" s="15">
        <v>62520.713000000003</v>
      </c>
      <c r="D7" s="16">
        <v>-6.8434760173000639E-2</v>
      </c>
      <c r="E7" s="15">
        <v>58242.123</v>
      </c>
      <c r="F7" s="16">
        <v>1.5830260857764362E-2</v>
      </c>
      <c r="G7" s="15">
        <v>59164.110999999997</v>
      </c>
      <c r="H7" s="16">
        <v>-0.16121447341615591</v>
      </c>
      <c r="I7" s="17">
        <v>49626</v>
      </c>
    </row>
    <row r="8" spans="1:9">
      <c r="A8" s="13" t="s">
        <v>36</v>
      </c>
      <c r="B8" s="14" t="s">
        <v>37</v>
      </c>
      <c r="C8" s="15">
        <v>26591.434000000001</v>
      </c>
      <c r="D8" s="16">
        <v>0.18014696010752929</v>
      </c>
      <c r="E8" s="15">
        <v>31381.8</v>
      </c>
      <c r="F8" s="16">
        <v>-0.22447890178383648</v>
      </c>
      <c r="G8" s="15">
        <v>24337.248</v>
      </c>
      <c r="H8" s="16">
        <v>0.23609292225645229</v>
      </c>
      <c r="I8" s="17">
        <v>30083.1</v>
      </c>
    </row>
    <row r="9" spans="1:9">
      <c r="A9" s="13" t="s">
        <v>38</v>
      </c>
      <c r="B9" s="14" t="s">
        <v>39</v>
      </c>
      <c r="C9" s="15">
        <v>229665.89582999999</v>
      </c>
      <c r="D9" s="16">
        <v>0.17848820793289655</v>
      </c>
      <c r="E9" s="15">
        <v>270658.55</v>
      </c>
      <c r="F9" s="16">
        <v>-7.266507560910232E-2</v>
      </c>
      <c r="G9" s="15">
        <v>250991.12599999999</v>
      </c>
      <c r="H9" s="16">
        <v>-1.0253816702667003E-2</v>
      </c>
      <c r="I9" s="17">
        <v>248417.50899999999</v>
      </c>
    </row>
    <row r="10" spans="1:9">
      <c r="A10" s="13" t="s">
        <v>40</v>
      </c>
      <c r="B10" s="14" t="s">
        <v>41</v>
      </c>
      <c r="C10" s="15">
        <v>2100928.7697399999</v>
      </c>
      <c r="D10" s="16">
        <v>7.2676633524751164E-2</v>
      </c>
      <c r="E10" s="15">
        <v>2253617.2000000002</v>
      </c>
      <c r="F10" s="16">
        <v>-1.8909409282110564E-3</v>
      </c>
      <c r="G10" s="15">
        <v>2249355.7429999998</v>
      </c>
      <c r="H10" s="16">
        <v>4.0741317724059173E-2</v>
      </c>
      <c r="I10" s="17">
        <v>2340997.46</v>
      </c>
    </row>
    <row r="11" spans="1:9">
      <c r="A11" s="13" t="s">
        <v>42</v>
      </c>
      <c r="B11" s="14" t="s">
        <v>43</v>
      </c>
      <c r="C11" s="15">
        <v>289490.06</v>
      </c>
      <c r="D11" s="43">
        <v>-0.13170232166175241</v>
      </c>
      <c r="E11" s="15">
        <v>251363.54699999999</v>
      </c>
      <c r="F11" s="16">
        <v>4.1170369067079623E-3</v>
      </c>
      <c r="G11" s="15">
        <v>252398.42</v>
      </c>
      <c r="H11" s="16">
        <v>0.12187716547512445</v>
      </c>
      <c r="I11" s="17">
        <v>283160.02399999998</v>
      </c>
    </row>
    <row r="12" spans="1:9">
      <c r="A12" s="13" t="s">
        <v>44</v>
      </c>
      <c r="B12" s="14" t="s">
        <v>45</v>
      </c>
      <c r="C12" s="15">
        <v>361828.19900000002</v>
      </c>
      <c r="D12" s="43">
        <v>-3.9813497233807379E-2</v>
      </c>
      <c r="E12" s="15">
        <v>347422.55300000001</v>
      </c>
      <c r="F12" s="16">
        <v>-7.6762650466160154E-2</v>
      </c>
      <c r="G12" s="15">
        <v>320753.47700000001</v>
      </c>
      <c r="H12" s="16">
        <v>0.24194289560265611</v>
      </c>
      <c r="I12" s="17">
        <v>398357.50199999998</v>
      </c>
    </row>
    <row r="13" spans="1:9">
      <c r="A13" s="13" t="s">
        <v>46</v>
      </c>
      <c r="B13" s="14" t="s">
        <v>47</v>
      </c>
      <c r="C13" s="15">
        <v>386616</v>
      </c>
      <c r="D13" s="43">
        <v>0.34540629461791539</v>
      </c>
      <c r="E13" s="15">
        <v>520155.6</v>
      </c>
      <c r="F13" s="43">
        <v>3.8399038672274177E-2</v>
      </c>
      <c r="G13" s="15">
        <v>540129.07499999995</v>
      </c>
      <c r="H13" s="43">
        <v>-6.0275112944067968E-2</v>
      </c>
      <c r="I13" s="17">
        <v>507572.734</v>
      </c>
    </row>
    <row r="14" spans="1:9">
      <c r="A14" s="13" t="s">
        <v>49</v>
      </c>
      <c r="B14" s="14" t="s">
        <v>50</v>
      </c>
      <c r="C14" s="15">
        <v>44375.6</v>
      </c>
      <c r="D14" s="43">
        <v>0.12674532851386802</v>
      </c>
      <c r="E14" s="15">
        <v>50000</v>
      </c>
      <c r="F14" s="16">
        <v>2.3751799999999637E-3</v>
      </c>
      <c r="G14" s="15">
        <v>50118.758999999998</v>
      </c>
      <c r="H14" s="16">
        <v>9.7393492923478056E-2</v>
      </c>
      <c r="I14" s="17">
        <v>55000</v>
      </c>
    </row>
    <row r="15" spans="1:9">
      <c r="A15" s="13" t="s">
        <v>51</v>
      </c>
      <c r="B15" s="14" t="s">
        <v>52</v>
      </c>
      <c r="C15" s="15">
        <v>4.8869999999999996</v>
      </c>
      <c r="D15" s="43">
        <v>-1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0</v>
      </c>
      <c r="D16" s="43" t="s">
        <v>48</v>
      </c>
      <c r="E16" s="15">
        <v>0</v>
      </c>
      <c r="F16" s="43" t="s">
        <v>48</v>
      </c>
      <c r="G16" s="15">
        <v>0</v>
      </c>
      <c r="H16" s="43" t="s">
        <v>48</v>
      </c>
      <c r="I16" s="17">
        <v>0</v>
      </c>
    </row>
    <row r="17" spans="1:9">
      <c r="A17" s="13" t="s">
        <v>55</v>
      </c>
      <c r="B17" s="14" t="s">
        <v>56</v>
      </c>
      <c r="C17" s="15">
        <v>282095.29200000002</v>
      </c>
      <c r="D17" s="16">
        <v>-0.92987203061864632</v>
      </c>
      <c r="E17" s="15">
        <v>19782.77</v>
      </c>
      <c r="F17" s="16">
        <v>1.6653658714123454</v>
      </c>
      <c r="G17" s="15">
        <v>52728.32</v>
      </c>
      <c r="H17" s="16">
        <v>-0.648392552616886</v>
      </c>
      <c r="I17" s="17">
        <v>18539.669999999998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321373.37199999997</v>
      </c>
      <c r="D19" s="43">
        <v>-0.35012599612639961</v>
      </c>
      <c r="E19" s="20">
        <v>208852.2</v>
      </c>
      <c r="F19" s="43">
        <v>8.8445326407861583E-2</v>
      </c>
      <c r="G19" s="20">
        <v>227324.201</v>
      </c>
      <c r="H19" s="43">
        <v>-2.3675882182029512E-2</v>
      </c>
      <c r="I19" s="21">
        <v>221942.1</v>
      </c>
    </row>
    <row r="20" spans="1:9">
      <c r="A20" s="22" t="s">
        <v>60</v>
      </c>
      <c r="B20" s="23" t="s">
        <v>61</v>
      </c>
      <c r="C20" s="24">
        <v>4824460.5185699994</v>
      </c>
      <c r="D20" s="25">
        <v>-7.4184434575097864E-3</v>
      </c>
      <c r="E20" s="24">
        <v>4788670.5309999995</v>
      </c>
      <c r="F20" s="25">
        <v>-7.3596261784666219E-3</v>
      </c>
      <c r="G20" s="24">
        <v>4753427.7060000002</v>
      </c>
      <c r="H20" s="25">
        <v>1.8320462282423483E-2</v>
      </c>
      <c r="I20" s="26">
        <v>4840512.699</v>
      </c>
    </row>
    <row r="21" spans="1:9">
      <c r="A21" s="27" t="s">
        <v>62</v>
      </c>
      <c r="B21" s="28" t="s">
        <v>63</v>
      </c>
      <c r="C21" s="10">
        <v>2040076.01046</v>
      </c>
      <c r="D21" s="16">
        <v>5.3301884264342157E-3</v>
      </c>
      <c r="E21" s="10">
        <v>2050950</v>
      </c>
      <c r="F21" s="16">
        <v>6.4842248714010566E-3</v>
      </c>
      <c r="G21" s="10">
        <v>2064248.821</v>
      </c>
      <c r="H21" s="16">
        <v>1.6157053675265248E-2</v>
      </c>
      <c r="I21" s="12">
        <v>2097601</v>
      </c>
    </row>
    <row r="22" spans="1:9">
      <c r="A22" s="8" t="s">
        <v>64</v>
      </c>
      <c r="B22" s="29" t="s">
        <v>65</v>
      </c>
      <c r="C22" s="15">
        <v>150041.54209999999</v>
      </c>
      <c r="D22" s="16">
        <v>8.0341609605464638E-3</v>
      </c>
      <c r="E22" s="15">
        <v>151247</v>
      </c>
      <c r="F22" s="16">
        <v>1.5767334228116842E-2</v>
      </c>
      <c r="G22" s="15">
        <v>153631.76199999999</v>
      </c>
      <c r="H22" s="16">
        <v>1.1620240351080608E-2</v>
      </c>
      <c r="I22" s="17">
        <v>155417</v>
      </c>
    </row>
    <row r="23" spans="1:9">
      <c r="A23" s="8" t="s">
        <v>66</v>
      </c>
      <c r="B23" s="29" t="s">
        <v>67</v>
      </c>
      <c r="C23" s="15">
        <v>340539.50799999997</v>
      </c>
      <c r="D23" s="16">
        <v>-0.37105535490466496</v>
      </c>
      <c r="E23" s="15">
        <v>214180.5</v>
      </c>
      <c r="F23" s="16">
        <v>7.4894763995788566E-2</v>
      </c>
      <c r="G23" s="15">
        <v>230221.49799999999</v>
      </c>
      <c r="H23" s="16">
        <v>1.9973382329394784E-2</v>
      </c>
      <c r="I23" s="17">
        <v>234819.8</v>
      </c>
    </row>
    <row r="24" spans="1:9">
      <c r="A24" s="8" t="s">
        <v>68</v>
      </c>
      <c r="B24" s="29" t="s">
        <v>69</v>
      </c>
      <c r="C24" s="15">
        <v>356616.93341</v>
      </c>
      <c r="D24" s="16">
        <v>-9.6117655104705185E-2</v>
      </c>
      <c r="E24" s="15">
        <v>322339.75</v>
      </c>
      <c r="F24" s="16">
        <v>0.10401589006630428</v>
      </c>
      <c r="G24" s="15">
        <v>355868.20600000001</v>
      </c>
      <c r="H24" s="16">
        <v>-3.1503730344485954E-2</v>
      </c>
      <c r="I24" s="17">
        <v>344657.03</v>
      </c>
    </row>
    <row r="25" spans="1:9">
      <c r="A25" s="8" t="s">
        <v>70</v>
      </c>
      <c r="B25" s="29" t="s">
        <v>71</v>
      </c>
      <c r="C25" s="15">
        <v>1603088.34231</v>
      </c>
      <c r="D25" s="16">
        <v>3.6614799160363136E-2</v>
      </c>
      <c r="E25" s="15">
        <v>1661785.1</v>
      </c>
      <c r="F25" s="16">
        <v>-6.0236525168026007E-3</v>
      </c>
      <c r="G25" s="15">
        <v>1651775.084</v>
      </c>
      <c r="H25" s="16">
        <v>3.3895919330866997E-2</v>
      </c>
      <c r="I25" s="17">
        <v>1707763.5190000001</v>
      </c>
    </row>
    <row r="26" spans="1:9">
      <c r="A26" s="59" t="s">
        <v>72</v>
      </c>
      <c r="B26" s="29" t="s">
        <v>73</v>
      </c>
      <c r="C26" s="15">
        <v>27273.883999999998</v>
      </c>
      <c r="D26" s="16">
        <v>3.3704409683637286</v>
      </c>
      <c r="E26" s="15">
        <v>119198.9</v>
      </c>
      <c r="F26" s="16">
        <v>-0.40219386252725481</v>
      </c>
      <c r="G26" s="15">
        <v>71257.834000000003</v>
      </c>
      <c r="H26" s="16">
        <v>0.12802220454806404</v>
      </c>
      <c r="I26" s="17">
        <v>80380.418999999994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321373.37199999997</v>
      </c>
      <c r="D28" s="16">
        <v>-0.35012599612639961</v>
      </c>
      <c r="E28" s="20">
        <v>208852.2</v>
      </c>
      <c r="F28" s="16">
        <v>8.8445326407861583E-2</v>
      </c>
      <c r="G28" s="20">
        <v>227324.201</v>
      </c>
      <c r="H28" s="16">
        <v>-2.3675882182029512E-2</v>
      </c>
      <c r="I28" s="21">
        <v>221942.1</v>
      </c>
    </row>
    <row r="29" spans="1:9">
      <c r="A29" s="51" t="s">
        <v>77</v>
      </c>
      <c r="B29" s="52" t="s">
        <v>78</v>
      </c>
      <c r="C29" s="24">
        <v>4839009.5922800004</v>
      </c>
      <c r="D29" s="53">
        <v>-2.2826187915853363E-2</v>
      </c>
      <c r="E29" s="24">
        <v>4728553.45</v>
      </c>
      <c r="F29" s="53">
        <v>5.4507062831234861E-3</v>
      </c>
      <c r="G29" s="24">
        <v>4754327.4060000004</v>
      </c>
      <c r="H29" s="54">
        <v>1.8562764922041921E-2</v>
      </c>
      <c r="I29" s="26">
        <v>4842580.8679999998</v>
      </c>
    </row>
    <row r="30" spans="1:9">
      <c r="A30" s="50" t="s">
        <v>79</v>
      </c>
      <c r="B30" s="32" t="s">
        <v>80</v>
      </c>
      <c r="C30" s="33">
        <v>14549.073710001074</v>
      </c>
      <c r="D30" s="136">
        <v>0</v>
      </c>
      <c r="E30" s="33">
        <v>-60117.080999999307</v>
      </c>
      <c r="F30" s="136">
        <v>0</v>
      </c>
      <c r="G30" s="34">
        <v>899.70000000018626</v>
      </c>
      <c r="H30" s="137">
        <v>0</v>
      </c>
      <c r="I30" s="35">
        <v>2068.1689999997616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256157.64600000001</v>
      </c>
      <c r="D32" s="16">
        <v>6.3388519739910359E-2</v>
      </c>
      <c r="E32" s="15">
        <v>272395.09999999998</v>
      </c>
      <c r="F32" s="16">
        <v>-8.6634689831057876E-2</v>
      </c>
      <c r="G32" s="15">
        <v>248796.23499999999</v>
      </c>
      <c r="H32" s="16">
        <v>5.9674130518896411E-2</v>
      </c>
      <c r="I32" s="17">
        <v>263642.93400000001</v>
      </c>
    </row>
    <row r="33" spans="1:9">
      <c r="A33" s="59" t="s">
        <v>84</v>
      </c>
      <c r="B33" s="29" t="s">
        <v>85</v>
      </c>
      <c r="C33" s="15">
        <v>0</v>
      </c>
      <c r="D33" s="16" t="s">
        <v>48</v>
      </c>
      <c r="E33" s="15">
        <v>10</v>
      </c>
      <c r="F33" s="16">
        <v>-1</v>
      </c>
      <c r="G33" s="15">
        <v>0</v>
      </c>
      <c r="H33" s="16" t="s">
        <v>48</v>
      </c>
      <c r="I33" s="17">
        <v>0</v>
      </c>
    </row>
    <row r="34" spans="1:9">
      <c r="A34" s="8" t="s">
        <v>86</v>
      </c>
      <c r="B34" s="29" t="s">
        <v>87</v>
      </c>
      <c r="C34" s="15">
        <v>58569.888800000001</v>
      </c>
      <c r="D34" s="16">
        <v>0.27533108787462818</v>
      </c>
      <c r="E34" s="15">
        <v>74696</v>
      </c>
      <c r="F34" s="16">
        <v>9.5635977830138164E-2</v>
      </c>
      <c r="G34" s="15">
        <v>81839.625</v>
      </c>
      <c r="H34" s="16">
        <v>-0.14155887200118525</v>
      </c>
      <c r="I34" s="17">
        <v>70254.5</v>
      </c>
    </row>
    <row r="35" spans="1:9">
      <c r="A35" s="51" t="s">
        <v>88</v>
      </c>
      <c r="B35" s="52" t="s">
        <v>89</v>
      </c>
      <c r="C35" s="24">
        <v>314727.53480000002</v>
      </c>
      <c r="D35" s="54">
        <v>0.102862195456055</v>
      </c>
      <c r="E35" s="24">
        <v>347101.1</v>
      </c>
      <c r="F35" s="54">
        <v>-4.7436438547731462E-2</v>
      </c>
      <c r="G35" s="24">
        <v>330635.86</v>
      </c>
      <c r="H35" s="54">
        <v>9.8645500823777016E-3</v>
      </c>
      <c r="I35" s="26">
        <v>333897.43400000001</v>
      </c>
    </row>
    <row r="36" spans="1:9">
      <c r="A36" s="8" t="s">
        <v>90</v>
      </c>
      <c r="B36" s="29" t="s">
        <v>91</v>
      </c>
      <c r="C36" s="15">
        <v>8674.42</v>
      </c>
      <c r="D36" s="16">
        <v>-0.39223602269661834</v>
      </c>
      <c r="E36" s="15">
        <v>5272</v>
      </c>
      <c r="F36" s="16">
        <v>-0.20357188922610012</v>
      </c>
      <c r="G36" s="15">
        <v>4198.7690000000002</v>
      </c>
      <c r="H36" s="16">
        <v>1.2297011338323207</v>
      </c>
      <c r="I36" s="17">
        <v>9362</v>
      </c>
    </row>
    <row r="37" spans="1:9">
      <c r="A37" s="8" t="s">
        <v>92</v>
      </c>
      <c r="B37" s="29" t="s">
        <v>93</v>
      </c>
      <c r="C37" s="15">
        <v>91622.03155</v>
      </c>
      <c r="D37" s="16">
        <v>-9.6346712691943101E-2</v>
      </c>
      <c r="E37" s="15">
        <v>82794.55</v>
      </c>
      <c r="F37" s="16">
        <v>6.0050438102507979E-2</v>
      </c>
      <c r="G37" s="15">
        <v>87766.399000000005</v>
      </c>
      <c r="H37" s="16">
        <v>5.4180871656816865E-3</v>
      </c>
      <c r="I37" s="17">
        <v>88241.925000000003</v>
      </c>
    </row>
    <row r="38" spans="1:9">
      <c r="A38" s="51" t="s">
        <v>94</v>
      </c>
      <c r="B38" s="52" t="s">
        <v>95</v>
      </c>
      <c r="C38" s="24">
        <v>100296.45155</v>
      </c>
      <c r="D38" s="54">
        <v>-0.12193752980286764</v>
      </c>
      <c r="E38" s="24">
        <v>88066.55</v>
      </c>
      <c r="F38" s="54">
        <v>4.4268998842352768E-2</v>
      </c>
      <c r="G38" s="24">
        <v>91965.168000000005</v>
      </c>
      <c r="H38" s="54">
        <v>6.1314050989391959E-2</v>
      </c>
      <c r="I38" s="26">
        <v>97603.925000000003</v>
      </c>
    </row>
    <row r="39" spans="1:9">
      <c r="A39" s="36" t="s">
        <v>96</v>
      </c>
      <c r="B39" s="37" t="s">
        <v>3</v>
      </c>
      <c r="C39" s="38">
        <v>214431.08325000003</v>
      </c>
      <c r="D39" s="39">
        <v>0.20800840099286286</v>
      </c>
      <c r="E39" s="38">
        <v>259034.55</v>
      </c>
      <c r="F39" s="39">
        <v>-7.8614447377772609E-2</v>
      </c>
      <c r="G39" s="38">
        <v>238670.69199999998</v>
      </c>
      <c r="H39" s="39">
        <v>-9.9600959802804822E-3</v>
      </c>
      <c r="I39" s="40">
        <v>236293.50900000002</v>
      </c>
    </row>
    <row r="40" spans="1:9">
      <c r="A40" s="131" t="s">
        <v>0</v>
      </c>
      <c r="B40" s="29" t="s">
        <v>97</v>
      </c>
      <c r="C40" s="15">
        <v>244214.96954000107</v>
      </c>
      <c r="D40" s="16">
        <v>-0.1378846702289675</v>
      </c>
      <c r="E40" s="15">
        <v>210541.46900000068</v>
      </c>
      <c r="F40" s="16">
        <v>0.19639530965749727</v>
      </c>
      <c r="G40" s="15">
        <v>251890.82600000018</v>
      </c>
      <c r="H40" s="16">
        <v>-5.5784008584751797E-3</v>
      </c>
      <c r="I40" s="17">
        <v>250485.67799999975</v>
      </c>
    </row>
    <row r="41" spans="1:9">
      <c r="A41" s="131" t="s">
        <v>0</v>
      </c>
      <c r="B41" s="29" t="s">
        <v>98</v>
      </c>
      <c r="C41" s="15">
        <v>29783.886290001043</v>
      </c>
      <c r="D41" s="16">
        <v>-2.6281649925677852</v>
      </c>
      <c r="E41" s="15">
        <v>-48493.080999999307</v>
      </c>
      <c r="F41" s="16">
        <v>-1.2726189742408898</v>
      </c>
      <c r="G41" s="15">
        <v>13220.134000000195</v>
      </c>
      <c r="H41" s="16">
        <v>7.3526864402397404E-2</v>
      </c>
      <c r="I41" s="17">
        <v>14192.168999999732</v>
      </c>
    </row>
    <row r="42" spans="1:9">
      <c r="A42" s="141" t="s">
        <v>0</v>
      </c>
      <c r="B42" s="31" t="s">
        <v>99</v>
      </c>
      <c r="C42" s="20">
        <v>4279462.059539998</v>
      </c>
      <c r="D42" s="129">
        <v>7.6092332851527708E-2</v>
      </c>
      <c r="E42" s="20">
        <v>4605096.3109999998</v>
      </c>
      <c r="F42" s="129">
        <v>-1.6593277282273906E-2</v>
      </c>
      <c r="G42" s="20">
        <v>4528682.6710000001</v>
      </c>
      <c r="H42" s="129">
        <v>2.798718572436746E-2</v>
      </c>
      <c r="I42" s="21">
        <v>4655427.7540000016</v>
      </c>
    </row>
    <row r="43" spans="1:9">
      <c r="A43" s="141">
        <v>0</v>
      </c>
      <c r="B43" s="31" t="s">
        <v>5</v>
      </c>
      <c r="C43" s="66">
        <v>1.1388972430609638</v>
      </c>
      <c r="D43" s="142">
        <v>0</v>
      </c>
      <c r="E43" s="41">
        <v>0.81279300000714461</v>
      </c>
      <c r="F43" s="142">
        <v>0</v>
      </c>
      <c r="G43" s="41">
        <v>1.0553906886900055</v>
      </c>
      <c r="H43" s="142">
        <v>0</v>
      </c>
      <c r="I43" s="42">
        <v>1.0600616117643744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38.33203125" customWidth="1"/>
    <col min="3" max="3" width="12.33203125" bestFit="1" customWidth="1"/>
    <col min="4" max="4" width="10.83203125" customWidth="1"/>
    <col min="5" max="5" width="12.33203125" bestFit="1" customWidth="1"/>
    <col min="6" max="6" width="11.1640625" customWidth="1"/>
    <col min="7" max="7" width="12.33203125" bestFit="1" customWidth="1"/>
    <col min="8" max="8" width="7.5" customWidth="1"/>
    <col min="9" max="9" width="12.33203125" bestFit="1" customWidth="1"/>
  </cols>
  <sheetData>
    <row r="1" spans="1:9">
      <c r="A1" s="5" t="s">
        <v>20</v>
      </c>
      <c r="B1" s="6" t="s">
        <v>170</v>
      </c>
      <c r="C1" s="57" t="s">
        <v>22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 t="s">
        <v>27</v>
      </c>
      <c r="F3" s="134">
        <v>0</v>
      </c>
      <c r="G3" s="135" t="s">
        <v>27</v>
      </c>
      <c r="H3" s="134">
        <v>0</v>
      </c>
      <c r="I3" s="115" t="s">
        <v>27</v>
      </c>
    </row>
    <row r="4" spans="1:9">
      <c r="A4" s="5" t="s">
        <v>28</v>
      </c>
      <c r="B4" s="9" t="s">
        <v>29</v>
      </c>
      <c r="C4" s="10">
        <v>356597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31</v>
      </c>
      <c r="C5" s="15">
        <v>136705</v>
      </c>
      <c r="D5" s="16"/>
      <c r="E5" s="15"/>
      <c r="F5" s="16"/>
      <c r="G5" s="15"/>
      <c r="H5" s="16"/>
      <c r="I5" s="17"/>
    </row>
    <row r="6" spans="1:9">
      <c r="A6" s="13" t="s">
        <v>32</v>
      </c>
      <c r="B6" s="14" t="s">
        <v>33</v>
      </c>
      <c r="C6" s="15">
        <v>17537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35</v>
      </c>
      <c r="C7" s="15">
        <v>11170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37</v>
      </c>
      <c r="C8" s="15">
        <v>306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39</v>
      </c>
      <c r="C9" s="15">
        <v>76585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41</v>
      </c>
      <c r="C10" s="15">
        <v>1055617</v>
      </c>
      <c r="D10" s="16"/>
      <c r="E10" s="15"/>
      <c r="F10" s="16"/>
      <c r="G10" s="15"/>
      <c r="H10" s="16"/>
      <c r="I10" s="17"/>
    </row>
    <row r="11" spans="1:9">
      <c r="A11" s="13" t="s">
        <v>42</v>
      </c>
      <c r="B11" s="14" t="s">
        <v>43</v>
      </c>
      <c r="C11" s="15">
        <v>18587</v>
      </c>
      <c r="D11" s="43"/>
      <c r="E11" s="15"/>
      <c r="F11" s="16"/>
      <c r="G11" s="15"/>
      <c r="H11" s="16"/>
      <c r="I11" s="17"/>
    </row>
    <row r="12" spans="1:9">
      <c r="A12" s="13" t="s">
        <v>44</v>
      </c>
      <c r="B12" s="14" t="s">
        <v>45</v>
      </c>
      <c r="C12" s="15">
        <v>333656</v>
      </c>
      <c r="D12" s="43"/>
      <c r="E12" s="15"/>
      <c r="F12" s="16"/>
      <c r="G12" s="15"/>
      <c r="H12" s="16"/>
      <c r="I12" s="17"/>
    </row>
    <row r="13" spans="1:9">
      <c r="A13" s="13" t="s">
        <v>46</v>
      </c>
      <c r="B13" s="14" t="s">
        <v>47</v>
      </c>
      <c r="C13" s="15">
        <v>284145</v>
      </c>
      <c r="D13" s="43"/>
      <c r="E13" s="15"/>
      <c r="F13" s="43"/>
      <c r="G13" s="15"/>
      <c r="H13" s="43"/>
      <c r="I13" s="17"/>
    </row>
    <row r="14" spans="1:9">
      <c r="A14" s="13" t="s">
        <v>49</v>
      </c>
      <c r="B14" s="14" t="s">
        <v>50</v>
      </c>
      <c r="C14" s="15">
        <v>12959</v>
      </c>
      <c r="D14" s="43"/>
      <c r="E14" s="15"/>
      <c r="F14" s="16"/>
      <c r="G14" s="15"/>
      <c r="H14" s="16"/>
      <c r="I14" s="17"/>
    </row>
    <row r="15" spans="1:9">
      <c r="A15" s="13" t="s">
        <v>51</v>
      </c>
      <c r="B15" s="14" t="s">
        <v>52</v>
      </c>
      <c r="C15" s="15">
        <v>17462</v>
      </c>
      <c r="D15" s="43"/>
      <c r="E15" s="15"/>
      <c r="F15" s="16"/>
      <c r="G15" s="15"/>
      <c r="H15" s="16"/>
      <c r="I15" s="17"/>
    </row>
    <row r="16" spans="1:9">
      <c r="A16" s="13" t="s">
        <v>53</v>
      </c>
      <c r="B16" s="14" t="s">
        <v>54</v>
      </c>
      <c r="C16" s="15">
        <v>92359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56</v>
      </c>
      <c r="C17" s="15">
        <v>3911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57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59</v>
      </c>
      <c r="C19" s="20">
        <v>128188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61</v>
      </c>
      <c r="C20" s="24">
        <v>1769079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63</v>
      </c>
      <c r="C21" s="10">
        <v>628576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65</v>
      </c>
      <c r="C22" s="15">
        <v>65968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67</v>
      </c>
      <c r="C23" s="15">
        <v>62308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69</v>
      </c>
      <c r="C24" s="15">
        <v>150856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71</v>
      </c>
      <c r="C25" s="15">
        <v>750837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73</v>
      </c>
      <c r="C26" s="15">
        <v>10482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74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76</v>
      </c>
      <c r="C28" s="20">
        <v>128188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78</v>
      </c>
      <c r="C29" s="24">
        <v>1797215</v>
      </c>
      <c r="D29" s="53"/>
      <c r="E29" s="24"/>
      <c r="F29" s="53"/>
      <c r="G29" s="24"/>
      <c r="H29" s="54"/>
      <c r="I29" s="26"/>
    </row>
    <row r="30" spans="1:9">
      <c r="A30" s="50">
        <v>0</v>
      </c>
      <c r="B30" s="32" t="s">
        <v>80</v>
      </c>
      <c r="C30" s="33">
        <v>28136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81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83</v>
      </c>
      <c r="C32" s="15">
        <v>100202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85</v>
      </c>
      <c r="C33" s="15">
        <v>176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87</v>
      </c>
      <c r="C34" s="15">
        <v>19303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89</v>
      </c>
      <c r="C35" s="24">
        <v>119681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91</v>
      </c>
      <c r="C36" s="15">
        <v>140</v>
      </c>
      <c r="D36" s="16"/>
      <c r="E36" s="15"/>
      <c r="F36" s="16"/>
      <c r="G36" s="15"/>
      <c r="H36" s="16"/>
      <c r="I36" s="17"/>
    </row>
    <row r="37" spans="1:9">
      <c r="A37" s="8" t="s">
        <v>171</v>
      </c>
      <c r="B37" s="29" t="s">
        <v>93</v>
      </c>
      <c r="C37" s="15">
        <v>37115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95</v>
      </c>
      <c r="C38" s="24">
        <v>37255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3</v>
      </c>
      <c r="C39" s="38">
        <v>82426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97</v>
      </c>
      <c r="C40" s="15">
        <v>104721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98</v>
      </c>
      <c r="C41" s="15">
        <v>22295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99</v>
      </c>
      <c r="C42" s="20">
        <v>1679770</v>
      </c>
      <c r="D42" s="129"/>
      <c r="E42" s="20"/>
      <c r="F42" s="129"/>
      <c r="G42" s="20"/>
      <c r="H42" s="129"/>
      <c r="I42" s="21"/>
    </row>
    <row r="43" spans="1:9">
      <c r="A43" s="141">
        <v>0</v>
      </c>
      <c r="B43" s="31" t="s">
        <v>5</v>
      </c>
      <c r="C43" s="66">
        <v>1.2704850411277995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>
      <selection sqref="A1:G186"/>
    </sheetView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7" t="s">
        <v>451</v>
      </c>
      <c r="C1" s="477" t="s">
        <v>170</v>
      </c>
      <c r="D1" s="241" t="s">
        <v>22</v>
      </c>
      <c r="E1" s="240" t="s">
        <v>105</v>
      </c>
      <c r="F1" s="241" t="s">
        <v>22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222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223</v>
      </c>
      <c r="B3" s="610"/>
      <c r="C3" s="610"/>
      <c r="D3" s="250"/>
      <c r="F3" s="250"/>
      <c r="G3" s="253" t="s">
        <v>103</v>
      </c>
    </row>
    <row r="4" spans="1:55" s="260" customFormat="1" ht="12.75" customHeight="1">
      <c r="A4" s="479">
        <v>30</v>
      </c>
      <c r="B4" s="480"/>
      <c r="C4" s="256" t="s">
        <v>29</v>
      </c>
      <c r="D4" s="257"/>
      <c r="E4" s="257">
        <v>363937</v>
      </c>
      <c r="F4" s="258">
        <v>362410</v>
      </c>
      <c r="G4" s="259">
        <v>371282</v>
      </c>
    </row>
    <row r="5" spans="1:55" s="260" customFormat="1" ht="12.75" customHeight="1">
      <c r="A5" s="261">
        <v>31</v>
      </c>
      <c r="B5" s="262"/>
      <c r="C5" s="263" t="s">
        <v>224</v>
      </c>
      <c r="D5" s="264"/>
      <c r="E5" s="264">
        <v>139547</v>
      </c>
      <c r="F5" s="266">
        <v>140502</v>
      </c>
      <c r="G5" s="267">
        <v>143526</v>
      </c>
    </row>
    <row r="6" spans="1:55" s="260" customFormat="1" ht="12.75" customHeight="1">
      <c r="A6" s="268" t="s">
        <v>32</v>
      </c>
      <c r="B6" s="269"/>
      <c r="C6" s="270" t="s">
        <v>225</v>
      </c>
      <c r="D6" s="271"/>
      <c r="E6" s="271">
        <v>12613</v>
      </c>
      <c r="F6" s="272">
        <v>11342</v>
      </c>
      <c r="G6" s="273">
        <v>11742</v>
      </c>
    </row>
    <row r="7" spans="1:55" s="260" customFormat="1" ht="12.75" customHeight="1">
      <c r="A7" s="268" t="s">
        <v>226</v>
      </c>
      <c r="B7" s="269"/>
      <c r="C7" s="270" t="s">
        <v>227</v>
      </c>
      <c r="D7" s="271"/>
      <c r="E7" s="271">
        <v>0</v>
      </c>
      <c r="F7" s="272">
        <v>3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228</v>
      </c>
      <c r="D8" s="275"/>
      <c r="E8" s="275">
        <v>74018</v>
      </c>
      <c r="F8" s="266">
        <v>65916</v>
      </c>
      <c r="G8" s="276">
        <v>49801</v>
      </c>
    </row>
    <row r="9" spans="1:55" s="260" customFormat="1" ht="12.75" customHeight="1">
      <c r="A9" s="274">
        <v>332</v>
      </c>
      <c r="B9" s="262"/>
      <c r="C9" s="263" t="s">
        <v>229</v>
      </c>
      <c r="D9" s="275"/>
      <c r="E9" s="275">
        <v>0</v>
      </c>
      <c r="F9" s="266">
        <v>0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230</v>
      </c>
      <c r="D10" s="275">
        <v>0</v>
      </c>
      <c r="E10" s="275">
        <v>0</v>
      </c>
      <c r="F10" s="266">
        <v>0</v>
      </c>
      <c r="G10" s="276">
        <v>0</v>
      </c>
    </row>
    <row r="11" spans="1:55" s="260" customFormat="1" ht="12.75" customHeight="1">
      <c r="A11" s="261">
        <v>350</v>
      </c>
      <c r="B11" s="262"/>
      <c r="C11" s="263" t="s">
        <v>231</v>
      </c>
      <c r="D11" s="275">
        <v>0</v>
      </c>
      <c r="E11" s="275">
        <v>3194.5</v>
      </c>
      <c r="F11" s="275">
        <v>12070</v>
      </c>
      <c r="G11" s="277">
        <v>23747</v>
      </c>
    </row>
    <row r="12" spans="1:55" s="285" customFormat="1" ht="14">
      <c r="A12" s="278">
        <v>351</v>
      </c>
      <c r="B12" s="279"/>
      <c r="C12" s="280" t="s">
        <v>232</v>
      </c>
      <c r="D12" s="346"/>
      <c r="E12" s="282">
        <v>164</v>
      </c>
      <c r="F12" s="283">
        <v>218</v>
      </c>
      <c r="G12" s="482">
        <v>0</v>
      </c>
    </row>
    <row r="13" spans="1:55" s="260" customFormat="1" ht="12.75" customHeight="1">
      <c r="A13" s="261">
        <v>36</v>
      </c>
      <c r="B13" s="262"/>
      <c r="C13" s="263" t="s">
        <v>233</v>
      </c>
      <c r="D13" s="275"/>
      <c r="E13" s="264">
        <v>879475</v>
      </c>
      <c r="F13" s="286">
        <v>928719</v>
      </c>
      <c r="G13" s="276">
        <v>904183</v>
      </c>
    </row>
    <row r="14" spans="1:55" s="260" customFormat="1" ht="12.75" customHeight="1">
      <c r="A14" s="287" t="s">
        <v>234</v>
      </c>
      <c r="B14" s="262"/>
      <c r="C14" s="288" t="s">
        <v>235</v>
      </c>
      <c r="D14" s="275"/>
      <c r="E14" s="323">
        <v>348545</v>
      </c>
      <c r="F14" s="286">
        <v>367253</v>
      </c>
      <c r="G14" s="276">
        <v>368429</v>
      </c>
    </row>
    <row r="15" spans="1:55" s="260" customFormat="1" ht="12.75" customHeight="1">
      <c r="A15" s="287" t="s">
        <v>236</v>
      </c>
      <c r="B15" s="262"/>
      <c r="C15" s="288" t="s">
        <v>237</v>
      </c>
      <c r="D15" s="275"/>
      <c r="E15" s="323">
        <v>145711</v>
      </c>
      <c r="F15" s="286">
        <v>145053</v>
      </c>
      <c r="G15" s="276">
        <v>149093</v>
      </c>
    </row>
    <row r="16" spans="1:55" s="297" customFormat="1" ht="39.5" customHeight="1">
      <c r="A16" s="287" t="s">
        <v>238</v>
      </c>
      <c r="B16" s="483"/>
      <c r="C16" s="288" t="s">
        <v>239</v>
      </c>
      <c r="D16" s="293"/>
      <c r="E16" s="294">
        <v>0</v>
      </c>
      <c r="F16" s="295">
        <v>0</v>
      </c>
      <c r="G16" s="296">
        <v>0</v>
      </c>
    </row>
    <row r="17" spans="1:7" s="299" customFormat="1">
      <c r="A17" s="261">
        <v>37</v>
      </c>
      <c r="B17" s="262"/>
      <c r="C17" s="263" t="s">
        <v>240</v>
      </c>
      <c r="D17" s="316"/>
      <c r="E17" s="264">
        <v>276686</v>
      </c>
      <c r="F17" s="286">
        <v>263703</v>
      </c>
      <c r="G17" s="298">
        <v>274296</v>
      </c>
    </row>
    <row r="18" spans="1:7" s="299" customFormat="1">
      <c r="A18" s="322" t="s">
        <v>241</v>
      </c>
      <c r="B18" s="269"/>
      <c r="C18" s="270" t="s">
        <v>242</v>
      </c>
      <c r="D18" s="316"/>
      <c r="E18" s="323">
        <v>0</v>
      </c>
      <c r="F18" s="286">
        <v>0</v>
      </c>
      <c r="G18" s="298">
        <v>0</v>
      </c>
    </row>
    <row r="19" spans="1:7" s="299" customFormat="1">
      <c r="A19" s="322" t="s">
        <v>243</v>
      </c>
      <c r="B19" s="269"/>
      <c r="C19" s="270" t="s">
        <v>244</v>
      </c>
      <c r="D19" s="316"/>
      <c r="E19" s="323">
        <v>69850</v>
      </c>
      <c r="F19" s="286">
        <v>67533</v>
      </c>
      <c r="G19" s="298">
        <v>69224</v>
      </c>
    </row>
    <row r="20" spans="1:7" s="260" customFormat="1" ht="12.75" customHeight="1">
      <c r="A20" s="301">
        <v>39</v>
      </c>
      <c r="B20" s="302"/>
      <c r="C20" s="303" t="s">
        <v>245</v>
      </c>
      <c r="D20" s="306"/>
      <c r="E20" s="304">
        <v>144400</v>
      </c>
      <c r="F20" s="307">
        <v>139142</v>
      </c>
      <c r="G20" s="308">
        <v>143659</v>
      </c>
    </row>
    <row r="21" spans="1:7" ht="12.75" customHeight="1">
      <c r="A21" s="309"/>
      <c r="B21" s="309"/>
      <c r="C21" s="310" t="s">
        <v>246</v>
      </c>
      <c r="D21" s="311">
        <f>D4+D5+SUM(D8:D13)+D17</f>
        <v>0</v>
      </c>
      <c r="E21" s="311">
        <f>E4+E5+SUM(E8:E13)+E17</f>
        <v>1737021.5</v>
      </c>
      <c r="F21" s="311">
        <f>F4+F5+SUM(F8:F13)+F17</f>
        <v>1773538</v>
      </c>
      <c r="G21" s="311">
        <f>G4+G5+SUM(G8:G13)+G17</f>
        <v>1766835</v>
      </c>
    </row>
    <row r="22" spans="1:7" s="260" customFormat="1" ht="12.75" customHeight="1">
      <c r="A22" s="274" t="s">
        <v>247</v>
      </c>
      <c r="B22" s="262"/>
      <c r="C22" s="263" t="s">
        <v>248</v>
      </c>
      <c r="D22" s="275"/>
      <c r="E22" s="275">
        <v>578120</v>
      </c>
      <c r="F22" s="266">
        <v>555361</v>
      </c>
      <c r="G22" s="276">
        <v>579670</v>
      </c>
    </row>
    <row r="23" spans="1:7" s="260" customFormat="1" ht="12.75" customHeight="1">
      <c r="A23" s="274" t="s">
        <v>249</v>
      </c>
      <c r="B23" s="262"/>
      <c r="C23" s="263" t="s">
        <v>250</v>
      </c>
      <c r="D23" s="275"/>
      <c r="E23" s="275">
        <v>159129</v>
      </c>
      <c r="F23" s="266">
        <v>187324</v>
      </c>
      <c r="G23" s="276">
        <v>163862</v>
      </c>
    </row>
    <row r="24" spans="1:7" s="313" customFormat="1" ht="12.75" customHeight="1">
      <c r="A24" s="261">
        <v>41</v>
      </c>
      <c r="B24" s="262"/>
      <c r="C24" s="263" t="s">
        <v>251</v>
      </c>
      <c r="D24" s="275"/>
      <c r="E24" s="275">
        <v>13016</v>
      </c>
      <c r="F24" s="266">
        <v>38393</v>
      </c>
      <c r="G24" s="276">
        <v>34188</v>
      </c>
    </row>
    <row r="25" spans="1:7" s="260" customFormat="1" ht="12.75" customHeight="1">
      <c r="A25" s="314">
        <v>42</v>
      </c>
      <c r="B25" s="315"/>
      <c r="C25" s="263" t="s">
        <v>252</v>
      </c>
      <c r="D25" s="275"/>
      <c r="E25" s="275">
        <v>134436</v>
      </c>
      <c r="F25" s="266">
        <v>140277</v>
      </c>
      <c r="G25" s="276">
        <v>140204</v>
      </c>
    </row>
    <row r="26" spans="1:7" s="318" customFormat="1" ht="12.75" customHeight="1">
      <c r="A26" s="278">
        <v>430</v>
      </c>
      <c r="B26" s="262"/>
      <c r="C26" s="263" t="s">
        <v>253</v>
      </c>
      <c r="D26" s="316"/>
      <c r="E26" s="316">
        <v>3945</v>
      </c>
      <c r="F26" s="317">
        <v>4635</v>
      </c>
      <c r="G26" s="298">
        <v>4537</v>
      </c>
    </row>
    <row r="27" spans="1:7" s="318" customFormat="1" ht="12.75" customHeight="1">
      <c r="A27" s="278">
        <v>431</v>
      </c>
      <c r="B27" s="262"/>
      <c r="C27" s="263" t="s">
        <v>254</v>
      </c>
      <c r="D27" s="316"/>
      <c r="E27" s="316">
        <v>0</v>
      </c>
      <c r="F27" s="317">
        <v>0</v>
      </c>
      <c r="G27" s="298">
        <v>0</v>
      </c>
    </row>
    <row r="28" spans="1:7" s="318" customFormat="1" ht="12.75" customHeight="1">
      <c r="A28" s="278">
        <v>432</v>
      </c>
      <c r="B28" s="262"/>
      <c r="C28" s="263" t="s">
        <v>255</v>
      </c>
      <c r="D28" s="316"/>
      <c r="E28" s="316">
        <v>0</v>
      </c>
      <c r="F28" s="317">
        <v>0</v>
      </c>
      <c r="G28" s="298">
        <v>0</v>
      </c>
    </row>
    <row r="29" spans="1:7" s="318" customFormat="1" ht="12.75" customHeight="1">
      <c r="A29" s="278">
        <v>439</v>
      </c>
      <c r="B29" s="262"/>
      <c r="C29" s="263" t="s">
        <v>256</v>
      </c>
      <c r="D29" s="316"/>
      <c r="E29" s="316">
        <v>0</v>
      </c>
      <c r="F29" s="317">
        <v>0</v>
      </c>
      <c r="G29" s="298">
        <v>0</v>
      </c>
    </row>
    <row r="30" spans="1:7" s="260" customFormat="1" ht="28">
      <c r="A30" s="278">
        <v>450</v>
      </c>
      <c r="B30" s="279"/>
      <c r="C30" s="280" t="s">
        <v>257</v>
      </c>
      <c r="D30" s="264">
        <v>0</v>
      </c>
      <c r="E30" s="264">
        <v>26495</v>
      </c>
      <c r="F30" s="264">
        <v>31382</v>
      </c>
      <c r="G30" s="319">
        <v>19464</v>
      </c>
    </row>
    <row r="31" spans="1:7" s="490" customFormat="1" ht="30.5" customHeight="1">
      <c r="A31" s="278">
        <v>451</v>
      </c>
      <c r="B31" s="279"/>
      <c r="C31" s="280" t="s">
        <v>258</v>
      </c>
      <c r="D31" s="344"/>
      <c r="E31" s="281">
        <v>0</v>
      </c>
      <c r="F31" s="320">
        <v>0</v>
      </c>
      <c r="G31" s="321">
        <v>0</v>
      </c>
    </row>
    <row r="32" spans="1:7" s="260" customFormat="1" ht="12.75" customHeight="1">
      <c r="A32" s="261">
        <v>46</v>
      </c>
      <c r="B32" s="262"/>
      <c r="C32" s="263" t="s">
        <v>259</v>
      </c>
      <c r="D32" s="275"/>
      <c r="E32" s="275">
        <v>432993</v>
      </c>
      <c r="F32" s="266">
        <v>445951</v>
      </c>
      <c r="G32" s="276">
        <v>451098</v>
      </c>
    </row>
    <row r="33" spans="1:7" s="285" customFormat="1" ht="12.75" customHeight="1">
      <c r="A33" s="322" t="s">
        <v>260</v>
      </c>
      <c r="B33" s="269"/>
      <c r="C33" s="270" t="s">
        <v>261</v>
      </c>
      <c r="D33" s="271"/>
      <c r="E33" s="271">
        <v>0</v>
      </c>
      <c r="F33" s="266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240</v>
      </c>
      <c r="D34" s="275"/>
      <c r="E34" s="275">
        <v>276686</v>
      </c>
      <c r="F34" s="266">
        <v>263702</v>
      </c>
      <c r="G34" s="276">
        <v>274296</v>
      </c>
    </row>
    <row r="35" spans="1:7" s="260" customFormat="1" ht="15" customHeight="1">
      <c r="A35" s="301">
        <v>49</v>
      </c>
      <c r="B35" s="302"/>
      <c r="C35" s="303" t="s">
        <v>262</v>
      </c>
      <c r="D35" s="306"/>
      <c r="E35" s="304">
        <v>144400</v>
      </c>
      <c r="F35" s="307">
        <v>139141</v>
      </c>
      <c r="G35" s="308">
        <v>143659</v>
      </c>
    </row>
    <row r="36" spans="1:7" ht="13.5" customHeight="1">
      <c r="A36" s="309"/>
      <c r="B36" s="335"/>
      <c r="C36" s="310" t="s">
        <v>263</v>
      </c>
      <c r="D36" s="311">
        <f>D22+D23+D24+D25+D26+D27+D28+D29+D30+D31+D32+D34</f>
        <v>0</v>
      </c>
      <c r="E36" s="311">
        <f>E22+E23+E24+E25+E26+E27+E28+E29+E30+E31+E32+E34</f>
        <v>1624820</v>
      </c>
      <c r="F36" s="311">
        <f>F22+F23+F24+F25+F26+F27+F28+F29+F30+F31+F32+F34</f>
        <v>1667025</v>
      </c>
      <c r="G36" s="311">
        <f>G22+G23+G24+G25+G26+G27+G28+G29+G30+G31+G32+G34</f>
        <v>1667319</v>
      </c>
    </row>
    <row r="37" spans="1:7" s="487" customFormat="1" ht="15" customHeight="1">
      <c r="A37" s="309"/>
      <c r="B37" s="335"/>
      <c r="C37" s="310" t="s">
        <v>264</v>
      </c>
      <c r="D37" s="311">
        <f>D36-D21</f>
        <v>0</v>
      </c>
      <c r="E37" s="311">
        <f>E36-E21</f>
        <v>-112201.5</v>
      </c>
      <c r="F37" s="311">
        <f>F36-F21</f>
        <v>-106513</v>
      </c>
      <c r="G37" s="311">
        <f>G36-G21</f>
        <v>-99516</v>
      </c>
    </row>
    <row r="38" spans="1:7" s="285" customFormat="1" ht="15" customHeight="1">
      <c r="A38" s="274">
        <v>340</v>
      </c>
      <c r="B38" s="262"/>
      <c r="C38" s="263" t="s">
        <v>265</v>
      </c>
      <c r="D38" s="316"/>
      <c r="E38" s="264">
        <v>10700</v>
      </c>
      <c r="F38" s="286">
        <v>10152</v>
      </c>
      <c r="G38" s="276">
        <v>9872</v>
      </c>
    </row>
    <row r="39" spans="1:7" s="285" customFormat="1" ht="15" customHeight="1">
      <c r="A39" s="274">
        <v>341</v>
      </c>
      <c r="B39" s="262"/>
      <c r="C39" s="263" t="s">
        <v>266</v>
      </c>
      <c r="D39" s="316"/>
      <c r="E39" s="275">
        <v>0</v>
      </c>
      <c r="F39" s="266">
        <v>0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267</v>
      </c>
      <c r="D40" s="316"/>
      <c r="E40" s="275">
        <v>1539</v>
      </c>
      <c r="F40" s="266">
        <v>1663</v>
      </c>
      <c r="G40" s="276">
        <v>1323</v>
      </c>
    </row>
    <row r="41" spans="1:7" s="285" customFormat="1" ht="15" customHeight="1">
      <c r="A41" s="274">
        <v>343</v>
      </c>
      <c r="B41" s="262"/>
      <c r="C41" s="263" t="s">
        <v>268</v>
      </c>
      <c r="D41" s="316"/>
      <c r="E41" s="275">
        <v>2052</v>
      </c>
      <c r="F41" s="266">
        <v>2101</v>
      </c>
      <c r="G41" s="276">
        <v>2501</v>
      </c>
    </row>
    <row r="42" spans="1:7" s="285" customFormat="1" ht="15" customHeight="1">
      <c r="A42" s="274">
        <v>344</v>
      </c>
      <c r="B42" s="262"/>
      <c r="C42" s="263" t="s">
        <v>269</v>
      </c>
      <c r="D42" s="316"/>
      <c r="E42" s="275">
        <v>0</v>
      </c>
      <c r="F42" s="266">
        <v>0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270</v>
      </c>
      <c r="D43" s="316"/>
      <c r="E43" s="275">
        <v>259</v>
      </c>
      <c r="F43" s="266">
        <v>306</v>
      </c>
      <c r="G43" s="276">
        <v>241</v>
      </c>
    </row>
    <row r="44" spans="1:7" s="260" customFormat="1" ht="15" customHeight="1">
      <c r="A44" s="261">
        <v>440</v>
      </c>
      <c r="B44" s="262"/>
      <c r="C44" s="263" t="s">
        <v>271</v>
      </c>
      <c r="D44" s="316"/>
      <c r="E44" s="264">
        <v>12588.9</v>
      </c>
      <c r="F44" s="286">
        <v>12437</v>
      </c>
      <c r="G44" s="276">
        <v>12012</v>
      </c>
    </row>
    <row r="45" spans="1:7" s="260" customFormat="1" ht="15" customHeight="1">
      <c r="A45" s="261">
        <v>441</v>
      </c>
      <c r="B45" s="262"/>
      <c r="C45" s="263" t="s">
        <v>272</v>
      </c>
      <c r="D45" s="316"/>
      <c r="E45" s="264">
        <v>0</v>
      </c>
      <c r="F45" s="286">
        <v>0</v>
      </c>
      <c r="G45" s="276">
        <v>0</v>
      </c>
    </row>
    <row r="46" spans="1:7" s="260" customFormat="1" ht="15" customHeight="1">
      <c r="A46" s="261">
        <v>442</v>
      </c>
      <c r="B46" s="262"/>
      <c r="C46" s="263" t="s">
        <v>273</v>
      </c>
      <c r="D46" s="316"/>
      <c r="E46" s="264">
        <v>36756.6</v>
      </c>
      <c r="F46" s="286">
        <v>36392</v>
      </c>
      <c r="G46" s="276">
        <v>43754</v>
      </c>
    </row>
    <row r="47" spans="1:7" s="260" customFormat="1" ht="15" customHeight="1">
      <c r="A47" s="261">
        <v>443</v>
      </c>
      <c r="B47" s="262"/>
      <c r="C47" s="263" t="s">
        <v>274</v>
      </c>
      <c r="D47" s="316"/>
      <c r="E47" s="264">
        <v>18895</v>
      </c>
      <c r="F47" s="286">
        <v>17023</v>
      </c>
      <c r="G47" s="276">
        <v>18003</v>
      </c>
    </row>
    <row r="48" spans="1:7" s="260" customFormat="1" ht="15" customHeight="1">
      <c r="A48" s="261">
        <v>444</v>
      </c>
      <c r="B48" s="262"/>
      <c r="C48" s="263" t="s">
        <v>269</v>
      </c>
      <c r="D48" s="316"/>
      <c r="E48" s="264">
        <v>1200</v>
      </c>
      <c r="F48" s="286">
        <v>1054</v>
      </c>
      <c r="G48" s="276">
        <v>1000</v>
      </c>
    </row>
    <row r="49" spans="1:7" s="260" customFormat="1" ht="15" customHeight="1">
      <c r="A49" s="261">
        <v>445</v>
      </c>
      <c r="B49" s="262"/>
      <c r="C49" s="263" t="s">
        <v>275</v>
      </c>
      <c r="D49" s="316"/>
      <c r="E49" s="264">
        <v>0</v>
      </c>
      <c r="F49" s="286">
        <v>75</v>
      </c>
      <c r="G49" s="276">
        <v>0</v>
      </c>
    </row>
    <row r="50" spans="1:7" s="260" customFormat="1" ht="15" customHeight="1">
      <c r="A50" s="261">
        <v>446</v>
      </c>
      <c r="B50" s="262"/>
      <c r="C50" s="263" t="s">
        <v>276</v>
      </c>
      <c r="D50" s="316"/>
      <c r="E50" s="264">
        <v>0</v>
      </c>
      <c r="F50" s="286">
        <v>0</v>
      </c>
      <c r="G50" s="276">
        <v>0</v>
      </c>
    </row>
    <row r="51" spans="1:7" s="260" customFormat="1" ht="15" customHeight="1">
      <c r="A51" s="261">
        <v>447</v>
      </c>
      <c r="B51" s="262"/>
      <c r="C51" s="263" t="s">
        <v>277</v>
      </c>
      <c r="D51" s="316"/>
      <c r="E51" s="264">
        <v>771</v>
      </c>
      <c r="F51" s="286">
        <v>724</v>
      </c>
      <c r="G51" s="276">
        <v>672</v>
      </c>
    </row>
    <row r="52" spans="1:7" s="260" customFormat="1" ht="15" customHeight="1">
      <c r="A52" s="261">
        <v>448</v>
      </c>
      <c r="B52" s="262"/>
      <c r="C52" s="263" t="s">
        <v>278</v>
      </c>
      <c r="D52" s="316"/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279</v>
      </c>
      <c r="D53" s="316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280</v>
      </c>
      <c r="B54" s="330"/>
      <c r="C54" s="330" t="s">
        <v>281</v>
      </c>
      <c r="D54" s="497"/>
      <c r="E54" s="332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282</v>
      </c>
      <c r="D55" s="311">
        <f>SUM(D44:D53)-SUM(D38:D43)</f>
        <v>0</v>
      </c>
      <c r="E55" s="311">
        <f>SUM(E44:E53)-SUM(E38:E43)</f>
        <v>55661.5</v>
      </c>
      <c r="F55" s="311">
        <f>SUM(F44:F53)-SUM(F38:F43)</f>
        <v>53483</v>
      </c>
      <c r="G55" s="311">
        <f>SUM(G44:G53)-SUM(G38:G43)</f>
        <v>61504</v>
      </c>
    </row>
    <row r="56" spans="1:7" ht="14.25" customHeight="1">
      <c r="A56" s="335"/>
      <c r="B56" s="335"/>
      <c r="C56" s="310" t="s">
        <v>283</v>
      </c>
      <c r="D56" s="311">
        <f>D55+D37</f>
        <v>0</v>
      </c>
      <c r="E56" s="311">
        <f>E55+E37</f>
        <v>-56540</v>
      </c>
      <c r="F56" s="311">
        <f>F55+F37</f>
        <v>-53030</v>
      </c>
      <c r="G56" s="311">
        <f>G55+G37</f>
        <v>-38012</v>
      </c>
    </row>
    <row r="57" spans="1:7" s="260" customFormat="1" ht="15.75" customHeight="1">
      <c r="A57" s="336">
        <v>380</v>
      </c>
      <c r="B57" s="337"/>
      <c r="C57" s="338" t="s">
        <v>284</v>
      </c>
      <c r="D57" s="340"/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285</v>
      </c>
      <c r="D58" s="340"/>
      <c r="E58" s="339">
        <v>0</v>
      </c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286</v>
      </c>
      <c r="D59" s="344"/>
      <c r="E59" s="264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287</v>
      </c>
      <c r="D60" s="346"/>
      <c r="E60" s="491">
        <v>0</v>
      </c>
      <c r="F60" s="508">
        <v>0</v>
      </c>
      <c r="G60" s="482">
        <v>0</v>
      </c>
    </row>
    <row r="61" spans="1:7" s="285" customFormat="1" ht="14">
      <c r="A61" s="278">
        <v>3841</v>
      </c>
      <c r="B61" s="279"/>
      <c r="C61" s="280" t="s">
        <v>288</v>
      </c>
      <c r="D61" s="346"/>
      <c r="E61" s="491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289</v>
      </c>
      <c r="D62" s="346"/>
      <c r="E62" s="491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290</v>
      </c>
      <c r="D63" s="346"/>
      <c r="E63" s="491">
        <v>0</v>
      </c>
      <c r="F63" s="508">
        <v>0</v>
      </c>
      <c r="G63" s="482">
        <v>0</v>
      </c>
    </row>
    <row r="64" spans="1:7" s="285" customFormat="1">
      <c r="A64" s="274">
        <v>389</v>
      </c>
      <c r="B64" s="352"/>
      <c r="C64" s="263" t="s">
        <v>57</v>
      </c>
      <c r="D64" s="275"/>
      <c r="E64" s="275">
        <v>0</v>
      </c>
      <c r="F64" s="266">
        <v>1682</v>
      </c>
      <c r="G64" s="276">
        <v>0</v>
      </c>
    </row>
    <row r="65" spans="1:7" s="260" customFormat="1">
      <c r="A65" s="274" t="s">
        <v>291</v>
      </c>
      <c r="B65" s="262"/>
      <c r="C65" s="263" t="s">
        <v>292</v>
      </c>
      <c r="D65" s="275"/>
      <c r="E65" s="275">
        <v>0</v>
      </c>
      <c r="F65" s="266">
        <v>0</v>
      </c>
      <c r="G65" s="276">
        <v>0</v>
      </c>
    </row>
    <row r="66" spans="1:7" s="355" customFormat="1" ht="14">
      <c r="A66" s="492" t="s">
        <v>293</v>
      </c>
      <c r="B66" s="354"/>
      <c r="C66" s="280" t="s">
        <v>294</v>
      </c>
      <c r="D66" s="344"/>
      <c r="E66" s="344">
        <v>0</v>
      </c>
      <c r="F66" s="312">
        <v>0</v>
      </c>
      <c r="G66" s="321">
        <v>0</v>
      </c>
    </row>
    <row r="67" spans="1:7" s="260" customFormat="1">
      <c r="A67" s="353">
        <v>481</v>
      </c>
      <c r="B67" s="262"/>
      <c r="C67" s="263" t="s">
        <v>295</v>
      </c>
      <c r="D67" s="275"/>
      <c r="E67" s="275">
        <v>0</v>
      </c>
      <c r="F67" s="266">
        <v>0</v>
      </c>
      <c r="G67" s="276">
        <v>0</v>
      </c>
    </row>
    <row r="68" spans="1:7" s="260" customFormat="1">
      <c r="A68" s="353">
        <v>482</v>
      </c>
      <c r="B68" s="262"/>
      <c r="C68" s="263" t="s">
        <v>296</v>
      </c>
      <c r="D68" s="275"/>
      <c r="E68" s="275">
        <v>0</v>
      </c>
      <c r="F68" s="266">
        <v>0</v>
      </c>
      <c r="G68" s="276">
        <v>0</v>
      </c>
    </row>
    <row r="69" spans="1:7" s="260" customFormat="1">
      <c r="A69" s="353">
        <v>483</v>
      </c>
      <c r="B69" s="262"/>
      <c r="C69" s="263" t="s">
        <v>297</v>
      </c>
      <c r="D69" s="275"/>
      <c r="E69" s="275">
        <v>0</v>
      </c>
      <c r="F69" s="266">
        <v>0</v>
      </c>
      <c r="G69" s="276">
        <v>0</v>
      </c>
    </row>
    <row r="70" spans="1:7" s="260" customFormat="1">
      <c r="A70" s="353">
        <v>484</v>
      </c>
      <c r="B70" s="262"/>
      <c r="C70" s="263" t="s">
        <v>298</v>
      </c>
      <c r="D70" s="275"/>
      <c r="E70" s="275">
        <v>0</v>
      </c>
      <c r="F70" s="266">
        <v>0</v>
      </c>
      <c r="G70" s="276">
        <v>0</v>
      </c>
    </row>
    <row r="71" spans="1:7" s="260" customFormat="1">
      <c r="A71" s="353">
        <v>485</v>
      </c>
      <c r="B71" s="262"/>
      <c r="C71" s="263" t="s">
        <v>299</v>
      </c>
      <c r="D71" s="275"/>
      <c r="E71" s="275">
        <v>0</v>
      </c>
      <c r="F71" s="266">
        <v>0</v>
      </c>
      <c r="G71" s="276">
        <v>0</v>
      </c>
    </row>
    <row r="72" spans="1:7" s="260" customFormat="1">
      <c r="A72" s="353">
        <v>486</v>
      </c>
      <c r="B72" s="262"/>
      <c r="C72" s="263" t="s">
        <v>300</v>
      </c>
      <c r="D72" s="275"/>
      <c r="E72" s="275">
        <v>0</v>
      </c>
      <c r="F72" s="266">
        <v>0</v>
      </c>
      <c r="G72" s="276">
        <v>0</v>
      </c>
    </row>
    <row r="73" spans="1:7" s="285" customFormat="1">
      <c r="A73" s="353">
        <v>487</v>
      </c>
      <c r="B73" s="269"/>
      <c r="C73" s="263" t="s">
        <v>301</v>
      </c>
      <c r="D73" s="275"/>
      <c r="E73" s="264">
        <v>0</v>
      </c>
      <c r="F73" s="286">
        <v>0</v>
      </c>
      <c r="G73" s="276">
        <v>0</v>
      </c>
    </row>
    <row r="74" spans="1:7" s="285" customFormat="1">
      <c r="A74" s="353">
        <v>489</v>
      </c>
      <c r="B74" s="356"/>
      <c r="C74" s="303" t="s">
        <v>74</v>
      </c>
      <c r="D74" s="275"/>
      <c r="E74" s="264">
        <v>43000</v>
      </c>
      <c r="F74" s="286">
        <v>18129</v>
      </c>
      <c r="G74" s="276">
        <v>22000</v>
      </c>
    </row>
    <row r="75" spans="1:7" s="285" customFormat="1">
      <c r="A75" s="357" t="s">
        <v>302</v>
      </c>
      <c r="B75" s="356"/>
      <c r="C75" s="330" t="s">
        <v>303</v>
      </c>
      <c r="D75" s="275"/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304</v>
      </c>
      <c r="D76" s="311">
        <f>SUM(D65:D74)-SUM(D57:D64)</f>
        <v>0</v>
      </c>
      <c r="E76" s="311">
        <f>SUM(E65:E74)-SUM(E57:E64)</f>
        <v>43000</v>
      </c>
      <c r="F76" s="311">
        <f>SUM(F65:F74)-SUM(F57:F64)</f>
        <v>16447</v>
      </c>
      <c r="G76" s="311">
        <f>SUM(G65:G74)-SUM(G57:G64)</f>
        <v>22000</v>
      </c>
    </row>
    <row r="77" spans="1:7">
      <c r="A77" s="358"/>
      <c r="B77" s="358"/>
      <c r="C77" s="310" t="s">
        <v>305</v>
      </c>
      <c r="D77" s="311">
        <f>D56+D76</f>
        <v>0</v>
      </c>
      <c r="E77" s="311">
        <f>E56+E76</f>
        <v>-13540</v>
      </c>
      <c r="F77" s="311">
        <f>F56+F76</f>
        <v>-36583</v>
      </c>
      <c r="G77" s="311">
        <f>G56+G76</f>
        <v>-16012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1895971.5</v>
      </c>
      <c r="F78" s="361">
        <f>F20+F21+SUM(F38:F43)+SUM(F57:F64)</f>
        <v>1928584</v>
      </c>
      <c r="G78" s="361">
        <f>G20+G21+SUM(G38:G43)+SUM(G57:G64)</f>
        <v>1924431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1882431.5</v>
      </c>
      <c r="F79" s="361">
        <f>F35+F36+SUM(F44:F53)+SUM(F65:F74)</f>
        <v>1892000</v>
      </c>
      <c r="G79" s="361">
        <f>G35+G36+SUM(G44:G53)+SUM(G65:G74)</f>
        <v>1908419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308</v>
      </c>
      <c r="B81" s="612"/>
      <c r="C81" s="612"/>
      <c r="D81" s="366"/>
      <c r="E81" s="366"/>
      <c r="F81" s="366"/>
      <c r="G81" s="365"/>
    </row>
    <row r="82" spans="1:7" s="260" customFormat="1">
      <c r="A82" s="367">
        <v>50</v>
      </c>
      <c r="B82" s="368"/>
      <c r="C82" s="368" t="s">
        <v>309</v>
      </c>
      <c r="D82" s="316"/>
      <c r="E82" s="275">
        <v>130150</v>
      </c>
      <c r="F82" s="266">
        <v>128288</v>
      </c>
      <c r="G82" s="276">
        <v>123794</v>
      </c>
    </row>
    <row r="83" spans="1:7" s="260" customFormat="1">
      <c r="A83" s="367">
        <v>51</v>
      </c>
      <c r="B83" s="368"/>
      <c r="C83" s="368" t="s">
        <v>310</v>
      </c>
      <c r="D83" s="316"/>
      <c r="E83" s="275">
        <v>0</v>
      </c>
      <c r="F83" s="266">
        <v>0</v>
      </c>
      <c r="G83" s="276">
        <v>0</v>
      </c>
    </row>
    <row r="84" spans="1:7" s="260" customFormat="1">
      <c r="A84" s="367">
        <v>52</v>
      </c>
      <c r="B84" s="368"/>
      <c r="C84" s="368" t="s">
        <v>311</v>
      </c>
      <c r="D84" s="316"/>
      <c r="E84" s="275">
        <v>0</v>
      </c>
      <c r="F84" s="266">
        <v>0</v>
      </c>
      <c r="G84" s="276">
        <v>0</v>
      </c>
    </row>
    <row r="85" spans="1:7" s="260" customFormat="1">
      <c r="A85" s="369">
        <v>54</v>
      </c>
      <c r="B85" s="370"/>
      <c r="C85" s="370" t="s">
        <v>312</v>
      </c>
      <c r="D85" s="316"/>
      <c r="E85" s="271">
        <v>900</v>
      </c>
      <c r="F85" s="266">
        <v>343</v>
      </c>
      <c r="G85" s="276">
        <v>900</v>
      </c>
    </row>
    <row r="86" spans="1:7" s="260" customFormat="1">
      <c r="A86" s="369">
        <v>55</v>
      </c>
      <c r="B86" s="370"/>
      <c r="C86" s="370" t="s">
        <v>313</v>
      </c>
      <c r="D86" s="316"/>
      <c r="E86" s="271">
        <v>0</v>
      </c>
      <c r="F86" s="266">
        <v>0</v>
      </c>
      <c r="G86" s="276">
        <v>0</v>
      </c>
    </row>
    <row r="87" spans="1:7" s="260" customFormat="1">
      <c r="A87" s="369">
        <v>56</v>
      </c>
      <c r="B87" s="370"/>
      <c r="C87" s="370" t="s">
        <v>314</v>
      </c>
      <c r="D87" s="316"/>
      <c r="E87" s="271">
        <v>32395</v>
      </c>
      <c r="F87" s="266">
        <v>26145</v>
      </c>
      <c r="G87" s="276">
        <v>21494</v>
      </c>
    </row>
    <row r="88" spans="1:7" s="260" customFormat="1">
      <c r="A88" s="367">
        <v>57</v>
      </c>
      <c r="B88" s="368"/>
      <c r="C88" s="368" t="s">
        <v>315</v>
      </c>
      <c r="D88" s="316"/>
      <c r="E88" s="275">
        <v>3220</v>
      </c>
      <c r="F88" s="266">
        <v>967</v>
      </c>
      <c r="G88" s="276">
        <v>4990</v>
      </c>
    </row>
    <row r="89" spans="1:7" s="260" customFormat="1">
      <c r="A89" s="367">
        <v>580</v>
      </c>
      <c r="B89" s="368"/>
      <c r="C89" s="368" t="s">
        <v>316</v>
      </c>
      <c r="D89" s="275"/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317</v>
      </c>
      <c r="D90" s="275"/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318</v>
      </c>
      <c r="D91" s="275"/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319</v>
      </c>
      <c r="D92" s="275"/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320</v>
      </c>
      <c r="D93" s="275"/>
      <c r="E93" s="275">
        <v>0</v>
      </c>
      <c r="F93" s="266">
        <v>0</v>
      </c>
      <c r="G93" s="276">
        <v>0</v>
      </c>
    </row>
    <row r="94" spans="1:7" s="260" customFormat="1">
      <c r="A94" s="371">
        <v>589</v>
      </c>
      <c r="B94" s="372"/>
      <c r="C94" s="372" t="s">
        <v>321</v>
      </c>
      <c r="D94" s="306"/>
      <c r="E94" s="306"/>
      <c r="F94" s="373">
        <v>1647</v>
      </c>
      <c r="G94" s="308">
        <v>0</v>
      </c>
    </row>
    <row r="95" spans="1:7">
      <c r="A95" s="374">
        <v>5</v>
      </c>
      <c r="B95" s="375"/>
      <c r="C95" s="375" t="s">
        <v>322</v>
      </c>
      <c r="D95" s="376">
        <f>SUM(D82:D94)</f>
        <v>0</v>
      </c>
      <c r="E95" s="376">
        <f>SUM(E82:E94)</f>
        <v>166665</v>
      </c>
      <c r="F95" s="376">
        <f>SUM(F82:F94)</f>
        <v>157390</v>
      </c>
      <c r="G95" s="376">
        <f>SUM(G82:G94)</f>
        <v>151178</v>
      </c>
    </row>
    <row r="96" spans="1:7" s="260" customFormat="1">
      <c r="A96" s="367">
        <v>60</v>
      </c>
      <c r="B96" s="368"/>
      <c r="C96" s="368" t="s">
        <v>323</v>
      </c>
      <c r="D96" s="316"/>
      <c r="E96" s="275">
        <v>30</v>
      </c>
      <c r="F96" s="266">
        <v>899</v>
      </c>
      <c r="G96" s="276">
        <v>30</v>
      </c>
    </row>
    <row r="97" spans="1:7" s="260" customFormat="1">
      <c r="A97" s="367">
        <v>61</v>
      </c>
      <c r="B97" s="368"/>
      <c r="C97" s="368" t="s">
        <v>324</v>
      </c>
      <c r="D97" s="316"/>
      <c r="E97" s="275">
        <v>0</v>
      </c>
      <c r="F97" s="266">
        <v>0</v>
      </c>
      <c r="G97" s="276">
        <v>0</v>
      </c>
    </row>
    <row r="98" spans="1:7" s="260" customFormat="1">
      <c r="A98" s="367">
        <v>62</v>
      </c>
      <c r="B98" s="368"/>
      <c r="C98" s="368" t="s">
        <v>325</v>
      </c>
      <c r="D98" s="316"/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326</v>
      </c>
      <c r="D99" s="316"/>
      <c r="E99" s="275">
        <v>43484</v>
      </c>
      <c r="F99" s="266">
        <v>45044</v>
      </c>
      <c r="G99" s="276">
        <v>42823</v>
      </c>
    </row>
    <row r="100" spans="1:7" s="260" customFormat="1">
      <c r="A100" s="367">
        <v>64</v>
      </c>
      <c r="B100" s="368"/>
      <c r="C100" s="368" t="s">
        <v>327</v>
      </c>
      <c r="D100" s="316"/>
      <c r="E100" s="271">
        <v>0</v>
      </c>
      <c r="F100" s="266">
        <v>0</v>
      </c>
      <c r="G100" s="276">
        <v>0</v>
      </c>
    </row>
    <row r="101" spans="1:7" s="260" customFormat="1">
      <c r="A101" s="367">
        <v>65</v>
      </c>
      <c r="B101" s="368"/>
      <c r="C101" s="368" t="s">
        <v>328</v>
      </c>
      <c r="D101" s="316"/>
      <c r="E101" s="271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329</v>
      </c>
      <c r="D102" s="316"/>
      <c r="E102" s="271">
        <v>600</v>
      </c>
      <c r="F102" s="266">
        <v>605</v>
      </c>
      <c r="G102" s="276">
        <v>1000</v>
      </c>
    </row>
    <row r="103" spans="1:7" s="260" customFormat="1">
      <c r="A103" s="367">
        <v>67</v>
      </c>
      <c r="B103" s="368"/>
      <c r="C103" s="368" t="s">
        <v>315</v>
      </c>
      <c r="D103" s="316"/>
      <c r="E103" s="275">
        <v>3220</v>
      </c>
      <c r="F103" s="286">
        <v>967</v>
      </c>
      <c r="G103" s="267">
        <v>4990</v>
      </c>
    </row>
    <row r="104" spans="1:7" s="260" customFormat="1" ht="28">
      <c r="A104" s="377" t="s">
        <v>330</v>
      </c>
      <c r="B104" s="368"/>
      <c r="C104" s="378" t="s">
        <v>331</v>
      </c>
      <c r="D104" s="264"/>
      <c r="E104" s="264">
        <v>18330</v>
      </c>
      <c r="F104" s="286">
        <v>13724</v>
      </c>
      <c r="G104" s="267">
        <v>11220</v>
      </c>
    </row>
    <row r="105" spans="1:7" s="260" customFormat="1" ht="42">
      <c r="A105" s="381" t="s">
        <v>332</v>
      </c>
      <c r="B105" s="372"/>
      <c r="C105" s="382" t="s">
        <v>333</v>
      </c>
      <c r="D105" s="304"/>
      <c r="E105" s="304">
        <v>3800</v>
      </c>
      <c r="F105" s="307">
        <v>8323</v>
      </c>
      <c r="G105" s="486">
        <v>1700</v>
      </c>
    </row>
    <row r="106" spans="1:7">
      <c r="A106" s="374">
        <v>6</v>
      </c>
      <c r="B106" s="375"/>
      <c r="C106" s="375" t="s">
        <v>334</v>
      </c>
      <c r="D106" s="376">
        <f>SUM(D96:D105)</f>
        <v>0</v>
      </c>
      <c r="E106" s="376">
        <f>SUM(E96:E105)</f>
        <v>69464</v>
      </c>
      <c r="F106" s="376">
        <f>SUM(F96:F105)</f>
        <v>69562</v>
      </c>
      <c r="G106" s="376">
        <f>SUM(G96:G105)</f>
        <v>61763</v>
      </c>
    </row>
    <row r="107" spans="1:7">
      <c r="A107" s="386" t="s">
        <v>335</v>
      </c>
      <c r="B107" s="386"/>
      <c r="C107" s="375" t="s">
        <v>3</v>
      </c>
      <c r="D107" s="376">
        <f>(D95-D88)-(D106-D103)</f>
        <v>0</v>
      </c>
      <c r="E107" s="376">
        <f>(E95-E88)-(E106-E103)</f>
        <v>97201</v>
      </c>
      <c r="F107" s="376">
        <f>(F95-F88)-(F106-F103)</f>
        <v>87828</v>
      </c>
      <c r="G107" s="376">
        <f>(G95-G88)-(G106-G103)</f>
        <v>89415</v>
      </c>
    </row>
    <row r="108" spans="1:7">
      <c r="A108" s="387" t="s">
        <v>336</v>
      </c>
      <c r="B108" s="387"/>
      <c r="C108" s="388" t="s">
        <v>337</v>
      </c>
      <c r="D108" s="389">
        <f>D107-D85-D86+D100+D101</f>
        <v>0</v>
      </c>
      <c r="E108" s="389">
        <f>E107-E85-E86+E100+E101</f>
        <v>96301</v>
      </c>
      <c r="F108" s="389">
        <f>F107-F85-F86+F100+F101</f>
        <v>87485</v>
      </c>
      <c r="G108" s="389">
        <f>G107-G85-G86+G100+G101</f>
        <v>88515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339</v>
      </c>
      <c r="D111" s="394">
        <f>D112+D117</f>
        <v>0</v>
      </c>
      <c r="E111" s="493">
        <f>E112+E117</f>
        <v>0</v>
      </c>
      <c r="F111" s="394">
        <f>F112+F117</f>
        <v>543387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341</v>
      </c>
      <c r="D112" s="394">
        <f>D113+D114+D115+D116</f>
        <v>0</v>
      </c>
      <c r="E112" s="493">
        <f>E113+E114+E115+E116</f>
        <v>0</v>
      </c>
      <c r="F112" s="394">
        <f>F113+F114+F115+F116</f>
        <v>459151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343</v>
      </c>
      <c r="D113" s="275"/>
      <c r="E113" s="316"/>
      <c r="F113" s="275">
        <v>416522</v>
      </c>
      <c r="G113" s="277"/>
    </row>
    <row r="114" spans="1:7" s="406" customFormat="1" ht="15" customHeight="1">
      <c r="A114" s="414">
        <v>102</v>
      </c>
      <c r="B114" s="494"/>
      <c r="C114" s="494" t="s">
        <v>344</v>
      </c>
      <c r="D114" s="344"/>
      <c r="E114" s="344"/>
      <c r="F114" s="344">
        <v>0</v>
      </c>
      <c r="G114" s="495"/>
    </row>
    <row r="115" spans="1:7" s="396" customFormat="1">
      <c r="A115" s="410">
        <v>104</v>
      </c>
      <c r="B115" s="411"/>
      <c r="C115" s="411" t="s">
        <v>345</v>
      </c>
      <c r="D115" s="275"/>
      <c r="E115" s="316"/>
      <c r="F115" s="275">
        <v>39687</v>
      </c>
      <c r="G115" s="277"/>
    </row>
    <row r="116" spans="1:7" s="396" customFormat="1">
      <c r="A116" s="410">
        <v>106</v>
      </c>
      <c r="B116" s="411"/>
      <c r="C116" s="411" t="s">
        <v>346</v>
      </c>
      <c r="D116" s="275"/>
      <c r="E116" s="316"/>
      <c r="F116" s="275">
        <v>2942</v>
      </c>
      <c r="G116" s="277"/>
    </row>
    <row r="117" spans="1:7" s="396" customFormat="1">
      <c r="A117" s="397" t="s">
        <v>347</v>
      </c>
      <c r="B117" s="398"/>
      <c r="C117" s="398" t="s">
        <v>348</v>
      </c>
      <c r="D117" s="394">
        <f>D118+D119+D120</f>
        <v>0</v>
      </c>
      <c r="E117" s="493">
        <f>E118+E119+E120</f>
        <v>0</v>
      </c>
      <c r="F117" s="394">
        <f>F118+F119+F120</f>
        <v>84236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349</v>
      </c>
      <c r="D118" s="275"/>
      <c r="E118" s="316"/>
      <c r="F118" s="275">
        <v>36751</v>
      </c>
      <c r="G118" s="277"/>
    </row>
    <row r="119" spans="1:7" s="396" customFormat="1">
      <c r="A119" s="410">
        <v>108</v>
      </c>
      <c r="B119" s="411"/>
      <c r="C119" s="411" t="s">
        <v>350</v>
      </c>
      <c r="D119" s="275"/>
      <c r="E119" s="316"/>
      <c r="F119" s="275">
        <v>47485</v>
      </c>
      <c r="G119" s="277"/>
    </row>
    <row r="120" spans="1:7" s="409" customFormat="1" ht="28">
      <c r="A120" s="414">
        <v>109</v>
      </c>
      <c r="B120" s="415"/>
      <c r="C120" s="415" t="s">
        <v>351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352</v>
      </c>
      <c r="D121" s="394">
        <f>SUM(D122:D130)</f>
        <v>0</v>
      </c>
      <c r="E121" s="394">
        <f>SUM(E122:E130)</f>
        <v>0</v>
      </c>
      <c r="F121" s="394">
        <f>SUM(F122:F130)</f>
        <v>979191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354</v>
      </c>
      <c r="D122" s="275"/>
      <c r="E122" s="316"/>
      <c r="F122" s="275">
        <v>279948</v>
      </c>
      <c r="G122" s="277"/>
    </row>
    <row r="123" spans="1:7" s="396" customFormat="1">
      <c r="A123" s="410">
        <v>144</v>
      </c>
      <c r="B123" s="411"/>
      <c r="C123" s="411" t="s">
        <v>312</v>
      </c>
      <c r="D123" s="275"/>
      <c r="E123" s="316"/>
      <c r="F123" s="275">
        <v>124592</v>
      </c>
      <c r="G123" s="277"/>
    </row>
    <row r="124" spans="1:7" s="396" customFormat="1">
      <c r="A124" s="410">
        <v>145</v>
      </c>
      <c r="B124" s="411"/>
      <c r="C124" s="411" t="s">
        <v>355</v>
      </c>
      <c r="D124" s="275"/>
      <c r="E124" s="316"/>
      <c r="F124" s="275">
        <v>574651</v>
      </c>
      <c r="G124" s="413"/>
    </row>
    <row r="125" spans="1:7" s="396" customFormat="1">
      <c r="A125" s="410">
        <v>146</v>
      </c>
      <c r="B125" s="411"/>
      <c r="C125" s="411" t="s">
        <v>356</v>
      </c>
      <c r="D125" s="275"/>
      <c r="E125" s="316"/>
      <c r="F125" s="275">
        <v>0</v>
      </c>
      <c r="G125" s="413"/>
    </row>
    <row r="126" spans="1:7" s="409" customFormat="1" ht="29.5" customHeight="1">
      <c r="A126" s="414" t="s">
        <v>357</v>
      </c>
      <c r="B126" s="415"/>
      <c r="C126" s="415" t="s">
        <v>358</v>
      </c>
      <c r="D126" s="281"/>
      <c r="E126" s="281"/>
      <c r="F126" s="281"/>
      <c r="G126" s="417"/>
    </row>
    <row r="127" spans="1:7" s="396" customFormat="1">
      <c r="A127" s="410">
        <v>1484</v>
      </c>
      <c r="B127" s="411"/>
      <c r="C127" s="411" t="s">
        <v>359</v>
      </c>
      <c r="D127" s="275"/>
      <c r="E127" s="316"/>
      <c r="F127" s="275"/>
      <c r="G127" s="413"/>
    </row>
    <row r="128" spans="1:7" s="396" customFormat="1">
      <c r="A128" s="410">
        <v>1485</v>
      </c>
      <c r="B128" s="411"/>
      <c r="C128" s="411" t="s">
        <v>360</v>
      </c>
      <c r="D128" s="275"/>
      <c r="E128" s="316"/>
      <c r="F128" s="275"/>
      <c r="G128" s="413"/>
    </row>
    <row r="129" spans="1:7" s="396" customFormat="1">
      <c r="A129" s="410">
        <v>1486</v>
      </c>
      <c r="B129" s="411"/>
      <c r="C129" s="411" t="s">
        <v>361</v>
      </c>
      <c r="D129" s="275"/>
      <c r="E129" s="316"/>
      <c r="F129" s="275"/>
      <c r="G129" s="413"/>
    </row>
    <row r="130" spans="1:7" s="396" customFormat="1">
      <c r="A130" s="418">
        <v>1489</v>
      </c>
      <c r="B130" s="419"/>
      <c r="C130" s="419" t="s">
        <v>362</v>
      </c>
      <c r="D130" s="306"/>
      <c r="E130" s="497"/>
      <c r="F130" s="306"/>
      <c r="G130" s="421"/>
    </row>
    <row r="131" spans="1:7" s="250" customFormat="1">
      <c r="A131" s="422">
        <v>1</v>
      </c>
      <c r="B131" s="423"/>
      <c r="C131" s="422" t="s">
        <v>363</v>
      </c>
      <c r="D131" s="424">
        <f>D111+D121</f>
        <v>0</v>
      </c>
      <c r="E131" s="424">
        <f>E111+E121</f>
        <v>0</v>
      </c>
      <c r="F131" s="424">
        <f>F111+F121</f>
        <v>1522578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364</v>
      </c>
      <c r="D133" s="425">
        <f>D134+D140</f>
        <v>0</v>
      </c>
      <c r="E133" s="425">
        <f>E134+E140</f>
        <v>0</v>
      </c>
      <c r="F133" s="425">
        <f>F134+F140</f>
        <v>1101498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366</v>
      </c>
      <c r="D134" s="394">
        <f>D135+D136+D138+D139</f>
        <v>0</v>
      </c>
      <c r="E134" s="394">
        <f>E135+E136+E138+E139</f>
        <v>0</v>
      </c>
      <c r="F134" s="394">
        <f>F135+F136+F138+F139</f>
        <v>396023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367</v>
      </c>
      <c r="D135" s="275"/>
      <c r="E135" s="275"/>
      <c r="F135" s="275">
        <v>190401</v>
      </c>
      <c r="G135" s="277"/>
    </row>
    <row r="136" spans="1:7" s="429" customFormat="1">
      <c r="A136" s="428">
        <v>201</v>
      </c>
      <c r="B136" s="411"/>
      <c r="C136" s="411" t="s">
        <v>368</v>
      </c>
      <c r="D136" s="275"/>
      <c r="E136" s="275"/>
      <c r="F136" s="275">
        <v>112745</v>
      </c>
      <c r="G136" s="277"/>
    </row>
    <row r="137" spans="1:7" s="429" customFormat="1">
      <c r="A137" s="430" t="s">
        <v>369</v>
      </c>
      <c r="B137" s="400"/>
      <c r="C137" s="400" t="s">
        <v>370</v>
      </c>
      <c r="D137" s="271"/>
      <c r="E137" s="27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371</v>
      </c>
      <c r="D138" s="275"/>
      <c r="E138" s="275"/>
      <c r="F138" s="275">
        <v>73617</v>
      </c>
      <c r="G138" s="413"/>
    </row>
    <row r="139" spans="1:7" s="429" customFormat="1">
      <c r="A139" s="428">
        <v>205</v>
      </c>
      <c r="B139" s="411"/>
      <c r="C139" s="411" t="s">
        <v>372</v>
      </c>
      <c r="D139" s="275"/>
      <c r="E139" s="275"/>
      <c r="F139" s="275">
        <v>19260</v>
      </c>
      <c r="G139" s="413"/>
    </row>
    <row r="140" spans="1:7" s="429" customFormat="1">
      <c r="A140" s="427" t="s">
        <v>373</v>
      </c>
      <c r="B140" s="398"/>
      <c r="C140" s="398" t="s">
        <v>374</v>
      </c>
      <c r="D140" s="394">
        <f>D141+D143+D144</f>
        <v>0</v>
      </c>
      <c r="E140" s="394">
        <f>E141+E143+E144</f>
        <v>0</v>
      </c>
      <c r="F140" s="394">
        <f>F141+F143+F144</f>
        <v>705475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375</v>
      </c>
      <c r="D141" s="275"/>
      <c r="E141" s="275"/>
      <c r="F141" s="275">
        <v>472400</v>
      </c>
      <c r="G141" s="413"/>
    </row>
    <row r="142" spans="1:7" s="429" customFormat="1">
      <c r="A142" s="430" t="s">
        <v>376</v>
      </c>
      <c r="B142" s="400"/>
      <c r="C142" s="400" t="s">
        <v>377</v>
      </c>
      <c r="D142" s="271"/>
      <c r="E142" s="271"/>
      <c r="F142" s="271"/>
      <c r="G142" s="432"/>
    </row>
    <row r="143" spans="1:7" s="429" customFormat="1">
      <c r="A143" s="428">
        <v>208</v>
      </c>
      <c r="B143" s="411"/>
      <c r="C143" s="411" t="s">
        <v>378</v>
      </c>
      <c r="D143" s="275"/>
      <c r="E143" s="275"/>
      <c r="F143" s="275">
        <v>73637</v>
      </c>
      <c r="G143" s="413"/>
    </row>
    <row r="144" spans="1:7" s="433" customFormat="1" ht="28">
      <c r="A144" s="414">
        <v>209</v>
      </c>
      <c r="B144" s="415"/>
      <c r="C144" s="415" t="s">
        <v>379</v>
      </c>
      <c r="D144" s="281"/>
      <c r="E144" s="281"/>
      <c r="F144" s="281">
        <v>159438</v>
      </c>
      <c r="G144" s="417"/>
    </row>
    <row r="145" spans="1:7" s="396" customFormat="1">
      <c r="A145" s="427">
        <v>29</v>
      </c>
      <c r="B145" s="398"/>
      <c r="C145" s="398" t="s">
        <v>380</v>
      </c>
      <c r="D145" s="412"/>
      <c r="E145" s="412"/>
      <c r="F145" s="412">
        <v>421080</v>
      </c>
      <c r="G145" s="413"/>
    </row>
    <row r="146" spans="1:7" s="396" customFormat="1">
      <c r="A146" s="434" t="s">
        <v>381</v>
      </c>
      <c r="B146" s="435"/>
      <c r="C146" s="435" t="s">
        <v>382</v>
      </c>
      <c r="D146" s="306"/>
      <c r="E146" s="306"/>
      <c r="F146" s="332">
        <v>225510</v>
      </c>
      <c r="G146" s="436"/>
    </row>
    <row r="147" spans="1:7" s="250" customFormat="1">
      <c r="A147" s="422">
        <v>2</v>
      </c>
      <c r="B147" s="423"/>
      <c r="C147" s="422" t="s">
        <v>383</v>
      </c>
      <c r="D147" s="424">
        <f>D133+D145</f>
        <v>0</v>
      </c>
      <c r="E147" s="424">
        <f>E133+E145</f>
        <v>0</v>
      </c>
      <c r="F147" s="424">
        <f>F133+F145</f>
        <v>1522578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384</v>
      </c>
      <c r="B149" s="438"/>
      <c r="C149" s="439" t="s">
        <v>385</v>
      </c>
      <c r="D149" s="438"/>
      <c r="E149" s="438"/>
      <c r="F149" s="438"/>
      <c r="G149" s="438"/>
    </row>
    <row r="150" spans="1:7">
      <c r="A150" s="509" t="s">
        <v>386</v>
      </c>
      <c r="B150" s="441"/>
      <c r="C150" s="441" t="s">
        <v>97</v>
      </c>
      <c r="D150" s="442">
        <f>D77+SUM(D8:D12)-D30-D31+D16-D33+D59+D63-D73+D64-D74-D54+D20-D35</f>
        <v>0</v>
      </c>
      <c r="E150" s="442">
        <f>E77+SUM(E8:E12)-E30-E31+E16-E33+E59+E63-E73+E64-E74-E54+E20-E35</f>
        <v>-5658.5</v>
      </c>
      <c r="F150" s="442">
        <f>F77+SUM(F8:F12)-F30-F31+F16-F33+F59+F63-F73+F64-F74-F54+F20-F35</f>
        <v>-6207</v>
      </c>
      <c r="G150" s="442">
        <f>G77+SUM(G8:G12)-G30-G31+G16-G33+G59+G63-G73+G64-G74-G54+G20-G35</f>
        <v>16072</v>
      </c>
    </row>
    <row r="151" spans="1:7">
      <c r="A151" s="510" t="s">
        <v>387</v>
      </c>
      <c r="B151" s="444"/>
      <c r="C151" s="444" t="s">
        <v>388</v>
      </c>
      <c r="D151" s="445">
        <f>IF(D177=0,0,D150/D177)</f>
        <v>0</v>
      </c>
      <c r="E151" s="445">
        <f>IF(E177=0,0,E150/E177)</f>
        <v>-3.9895074930614578E-3</v>
      </c>
      <c r="F151" s="445">
        <f>IF(F177=0,0,F150/F177)</f>
        <v>-4.2194982012578961E-3</v>
      </c>
      <c r="G151" s="445">
        <f>IF(G177=0,0,G150/G177)</f>
        <v>1.0944769500648297E-2</v>
      </c>
    </row>
    <row r="152" spans="1:7" s="449" customFormat="1" ht="28">
      <c r="A152" s="511" t="s">
        <v>389</v>
      </c>
      <c r="B152" s="447"/>
      <c r="C152" s="447" t="s">
        <v>390</v>
      </c>
      <c r="D152" s="591">
        <f t="shared" ref="D152:G153" si="0">IF(IF(D107=0,0,D$150/D107)&lt;0,"negativ",(IF(D107=0,0,D$150/D107)))</f>
        <v>0</v>
      </c>
      <c r="E152" s="591" t="str">
        <f t="shared" si="0"/>
        <v>negativ</v>
      </c>
      <c r="F152" s="591" t="str">
        <f t="shared" si="0"/>
        <v>negativ</v>
      </c>
      <c r="G152" s="591">
        <f t="shared" si="0"/>
        <v>0.17974612760722475</v>
      </c>
    </row>
    <row r="153" spans="1:7" s="449" customFormat="1" ht="28">
      <c r="A153" s="512" t="s">
        <v>389</v>
      </c>
      <c r="B153" s="451"/>
      <c r="C153" s="451" t="s">
        <v>391</v>
      </c>
      <c r="D153" s="592">
        <f t="shared" si="0"/>
        <v>0</v>
      </c>
      <c r="E153" s="592" t="str">
        <f t="shared" si="0"/>
        <v>negativ</v>
      </c>
      <c r="F153" s="592" t="str">
        <f t="shared" si="0"/>
        <v>negativ</v>
      </c>
      <c r="G153" s="592">
        <f t="shared" si="0"/>
        <v>0.18157374456306841</v>
      </c>
    </row>
    <row r="154" spans="1:7" ht="28">
      <c r="A154" s="513" t="s">
        <v>392</v>
      </c>
      <c r="B154" s="454"/>
      <c r="C154" s="454" t="s">
        <v>393</v>
      </c>
      <c r="D154" s="455">
        <f>D150-D107</f>
        <v>0</v>
      </c>
      <c r="E154" s="455">
        <f>E150-E107</f>
        <v>-102859.5</v>
      </c>
      <c r="F154" s="455">
        <f>F150-F107</f>
        <v>-94035</v>
      </c>
      <c r="G154" s="455">
        <f>G150-G107</f>
        <v>-73343</v>
      </c>
    </row>
    <row r="155" spans="1:7" ht="28">
      <c r="A155" s="512" t="s">
        <v>394</v>
      </c>
      <c r="B155" s="451"/>
      <c r="C155" s="451" t="s">
        <v>395</v>
      </c>
      <c r="D155" s="456">
        <f>D150-D108</f>
        <v>0</v>
      </c>
      <c r="E155" s="456">
        <f>E150-E108</f>
        <v>-101959.5</v>
      </c>
      <c r="F155" s="456">
        <f>F150-F108</f>
        <v>-93692</v>
      </c>
      <c r="G155" s="456">
        <f>G150-G108</f>
        <v>-72443</v>
      </c>
    </row>
    <row r="156" spans="1:7">
      <c r="A156" s="509" t="s">
        <v>396</v>
      </c>
      <c r="B156" s="441"/>
      <c r="C156" s="441" t="s">
        <v>397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775546</v>
      </c>
      <c r="G156" s="457">
        <f>G135+G136-G137+G141-G142</f>
        <v>0</v>
      </c>
    </row>
    <row r="157" spans="1:7">
      <c r="A157" s="514" t="s">
        <v>398</v>
      </c>
      <c r="B157" s="459"/>
      <c r="C157" s="459" t="s">
        <v>399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0.52721362203846567</v>
      </c>
      <c r="G157" s="460">
        <f>IF(G177=0,0,G156/G177)</f>
        <v>0</v>
      </c>
    </row>
    <row r="158" spans="1:7">
      <c r="A158" s="509" t="s">
        <v>400</v>
      </c>
      <c r="B158" s="441"/>
      <c r="C158" s="441" t="s">
        <v>401</v>
      </c>
      <c r="D158" s="457">
        <f>D133-D142-D111</f>
        <v>0</v>
      </c>
      <c r="E158" s="457">
        <f>E133-E142-E111</f>
        <v>0</v>
      </c>
      <c r="F158" s="457">
        <f>F133-F142-F111</f>
        <v>558111</v>
      </c>
      <c r="G158" s="457">
        <f>G133-G142-G111</f>
        <v>0</v>
      </c>
    </row>
    <row r="159" spans="1:7">
      <c r="A159" s="510" t="s">
        <v>402</v>
      </c>
      <c r="B159" s="444"/>
      <c r="C159" s="444" t="s">
        <v>403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-141132</v>
      </c>
      <c r="G159" s="461">
        <f>G121-G123-G124-G142-G145</f>
        <v>0</v>
      </c>
    </row>
    <row r="160" spans="1:7">
      <c r="A160" s="510" t="s">
        <v>404</v>
      </c>
      <c r="B160" s="444"/>
      <c r="C160" s="444" t="s">
        <v>405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2200.7531545741326</v>
      </c>
      <c r="G160" s="462">
        <f>IF(G175=0,"-",1000*G158/G175)</f>
        <v>0</v>
      </c>
    </row>
    <row r="161" spans="1:7">
      <c r="A161" s="510" t="s">
        <v>404</v>
      </c>
      <c r="B161" s="444"/>
      <c r="C161" s="444" t="s">
        <v>406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-556.51419558359612</v>
      </c>
      <c r="G161" s="461">
        <f>IF(G175=0,0,1000*(G159/G175))</f>
        <v>0</v>
      </c>
    </row>
    <row r="162" spans="1:7">
      <c r="A162" s="514" t="s">
        <v>407</v>
      </c>
      <c r="B162" s="459"/>
      <c r="C162" s="459" t="s">
        <v>408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0.75147740966897136</v>
      </c>
      <c r="G162" s="460">
        <f>IF((G22+G23+G65+G66)=0,0,G158/(G22+G23+G65+G66))</f>
        <v>0</v>
      </c>
    </row>
    <row r="163" spans="1:7">
      <c r="A163" s="510" t="s">
        <v>409</v>
      </c>
      <c r="B163" s="444"/>
      <c r="C163" s="444" t="s">
        <v>380</v>
      </c>
      <c r="D163" s="442">
        <f>D145</f>
        <v>0</v>
      </c>
      <c r="E163" s="442">
        <f>E145</f>
        <v>0</v>
      </c>
      <c r="F163" s="442">
        <f>F145</f>
        <v>421080</v>
      </c>
      <c r="G163" s="442">
        <f>G145</f>
        <v>0</v>
      </c>
    </row>
    <row r="164" spans="1:7" ht="28">
      <c r="A164" s="512" t="s">
        <v>411</v>
      </c>
      <c r="B164" s="463"/>
      <c r="C164" s="463" t="s">
        <v>412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0.14796690674955071</v>
      </c>
      <c r="G164" s="452">
        <f>IF(G178=0,0,G146/G178)</f>
        <v>0</v>
      </c>
    </row>
    <row r="165" spans="1:7">
      <c r="A165" s="515" t="s">
        <v>681</v>
      </c>
      <c r="B165" s="464"/>
      <c r="C165" s="464" t="s">
        <v>414</v>
      </c>
      <c r="D165" s="465">
        <f>IF(D177=0,0,D180/D177)</f>
        <v>0</v>
      </c>
      <c r="E165" s="465">
        <f>IF(E177=0,0,E180/E177)</f>
        <v>5.0854393375944017E-2</v>
      </c>
      <c r="F165" s="465">
        <f>IF(F177=0,0,F180/F177)</f>
        <v>4.3256144682494148E-2</v>
      </c>
      <c r="G165" s="465">
        <f>IF(G177=0,0,G180/G177)</f>
        <v>3.24563625666002E-2</v>
      </c>
    </row>
    <row r="166" spans="1:7">
      <c r="A166" s="510" t="s">
        <v>415</v>
      </c>
      <c r="B166" s="444"/>
      <c r="C166" s="444" t="s">
        <v>282</v>
      </c>
      <c r="D166" s="442">
        <f>D55</f>
        <v>0</v>
      </c>
      <c r="E166" s="442">
        <f>E55</f>
        <v>55661.5</v>
      </c>
      <c r="F166" s="442">
        <f>F55</f>
        <v>53483</v>
      </c>
      <c r="G166" s="442">
        <f>G55</f>
        <v>61504</v>
      </c>
    </row>
    <row r="167" spans="1:7">
      <c r="A167" s="514" t="s">
        <v>416</v>
      </c>
      <c r="B167" s="459"/>
      <c r="C167" s="459" t="s">
        <v>417</v>
      </c>
      <c r="D167" s="460">
        <f>IF(0=D111,0,(D44+D45+D46+D47+D48)/D111)</f>
        <v>0</v>
      </c>
      <c r="E167" s="460">
        <f>IF(0=E111,0,(E44+E45+E46+E47+E48)/E111)</f>
        <v>0</v>
      </c>
      <c r="F167" s="460">
        <f>IF(0=F111,0,(F44+F45+F46+F47+F48)/F111)</f>
        <v>0.12312771560600456</v>
      </c>
      <c r="G167" s="460">
        <f>IF(0=G111,0,(G44+G45+G46+G47+G48)/G111)</f>
        <v>0</v>
      </c>
    </row>
    <row r="168" spans="1:7">
      <c r="A168" s="510" t="s">
        <v>418</v>
      </c>
      <c r="B168" s="441"/>
      <c r="C168" s="441" t="s">
        <v>419</v>
      </c>
      <c r="D168" s="442">
        <f>D38-D44</f>
        <v>0</v>
      </c>
      <c r="E168" s="442">
        <f>E38-E44</f>
        <v>-1888.8999999999996</v>
      </c>
      <c r="F168" s="442">
        <f>F38-F44</f>
        <v>-2285</v>
      </c>
      <c r="G168" s="442">
        <f>G38-G44</f>
        <v>-2140</v>
      </c>
    </row>
    <row r="169" spans="1:7">
      <c r="A169" s="514" t="s">
        <v>420</v>
      </c>
      <c r="B169" s="459"/>
      <c r="C169" s="459" t="s">
        <v>421</v>
      </c>
      <c r="D169" s="445">
        <f>IF(D177=0,0,D168/D177)</f>
        <v>0</v>
      </c>
      <c r="E169" s="445">
        <f>IF(E177=0,0,E168/E177)</f>
        <v>-1.3317629590251455E-3</v>
      </c>
      <c r="F169" s="445">
        <f>IF(F177=0,0,F168/F177)</f>
        <v>-1.5533354905549045E-3</v>
      </c>
      <c r="G169" s="445">
        <f>IF(G177=0,0,G168/G177)</f>
        <v>-1.4573050479957288E-3</v>
      </c>
    </row>
    <row r="170" spans="1:7">
      <c r="A170" s="510" t="s">
        <v>422</v>
      </c>
      <c r="B170" s="444"/>
      <c r="C170" s="444" t="s">
        <v>423</v>
      </c>
      <c r="D170" s="442">
        <f>SUM(D82:D87)+SUM(D89:D94)</f>
        <v>0</v>
      </c>
      <c r="E170" s="442">
        <f>SUM(E82:E87)+SUM(E89:E94)</f>
        <v>163445</v>
      </c>
      <c r="F170" s="442">
        <f>SUM(F82:F87)+SUM(F89:F94)</f>
        <v>156423</v>
      </c>
      <c r="G170" s="442">
        <f>SUM(G82:G87)+SUM(G89:G94)</f>
        <v>146188</v>
      </c>
    </row>
    <row r="171" spans="1:7">
      <c r="A171" s="510" t="s">
        <v>424</v>
      </c>
      <c r="B171" s="444"/>
      <c r="C171" s="444" t="s">
        <v>425</v>
      </c>
      <c r="D171" s="461">
        <f>SUM(D96:D102)+SUM(D104:D105)</f>
        <v>0</v>
      </c>
      <c r="E171" s="461">
        <f>SUM(E96:E102)+SUM(E104:E105)</f>
        <v>66244</v>
      </c>
      <c r="F171" s="461">
        <f>SUM(F96:F102)+SUM(F104:F105)</f>
        <v>68595</v>
      </c>
      <c r="G171" s="461">
        <f>SUM(G96:G102)+SUM(G104:G105)</f>
        <v>56773</v>
      </c>
    </row>
    <row r="172" spans="1:7">
      <c r="A172" s="515" t="s">
        <v>413</v>
      </c>
      <c r="B172" s="464"/>
      <c r="C172" s="464" t="s">
        <v>426</v>
      </c>
      <c r="D172" s="465">
        <f>IF(D184=0,0,D170/D184)</f>
        <v>0</v>
      </c>
      <c r="E172" s="465">
        <f>IF(E184=0,0,E170/E184)</f>
        <v>0.10470840268194963</v>
      </c>
      <c r="F172" s="465">
        <f>IF(F184=0,0,F170/F184)</f>
        <v>9.7625685510521615E-2</v>
      </c>
      <c r="G172" s="465">
        <f>IF(G184=0,0,G170/G184)</f>
        <v>9.2575846232955658E-2</v>
      </c>
    </row>
    <row r="174" spans="1:7">
      <c r="A174" s="467" t="s">
        <v>427</v>
      </c>
      <c r="B174" s="468"/>
      <c r="C174" s="467"/>
      <c r="D174" s="364"/>
      <c r="E174" s="364"/>
      <c r="F174" s="364"/>
      <c r="G174" s="364"/>
    </row>
    <row r="175" spans="1:7" s="260" customFormat="1">
      <c r="A175" s="468" t="s">
        <v>428</v>
      </c>
      <c r="B175" s="468"/>
      <c r="C175" s="468" t="s">
        <v>429</v>
      </c>
      <c r="D175" s="471"/>
      <c r="E175" s="471">
        <v>251900</v>
      </c>
      <c r="F175" s="471">
        <v>253600</v>
      </c>
      <c r="G175" s="471">
        <v>256400</v>
      </c>
    </row>
    <row r="176" spans="1:7">
      <c r="A176" s="467" t="s">
        <v>430</v>
      </c>
      <c r="B176" s="468"/>
      <c r="C176" s="468"/>
      <c r="D176" s="468"/>
      <c r="E176" s="468"/>
      <c r="F176" s="468"/>
      <c r="G176" s="468"/>
    </row>
    <row r="177" spans="1:8">
      <c r="A177" s="468" t="s">
        <v>431</v>
      </c>
      <c r="B177" s="468"/>
      <c r="C177" s="468" t="s">
        <v>432</v>
      </c>
      <c r="D177" s="472">
        <f>SUM(D22:D32)+SUM(D44:D53)+SUM(D65:D72)+D75</f>
        <v>0</v>
      </c>
      <c r="E177" s="472">
        <f>SUM(E22:E32)+SUM(E44:E53)+SUM(E65:E72)+E75</f>
        <v>1418345.5</v>
      </c>
      <c r="F177" s="472">
        <f>SUM(F22:F32)+SUM(F44:F53)+SUM(F65:F72)+F75</f>
        <v>1471028</v>
      </c>
      <c r="G177" s="472">
        <f>SUM(G22:G32)+SUM(G44:G53)+SUM(G65:G72)+G75</f>
        <v>1468464</v>
      </c>
    </row>
    <row r="178" spans="1:8">
      <c r="A178" s="468" t="s">
        <v>433</v>
      </c>
      <c r="B178" s="468"/>
      <c r="C178" s="468" t="s">
        <v>434</v>
      </c>
      <c r="D178" s="472">
        <f>D78-D17-D20-D59-D63-D64</f>
        <v>0</v>
      </c>
      <c r="E178" s="472">
        <f>E78-E17-E20-E59-E63-E64</f>
        <v>1474885.5</v>
      </c>
      <c r="F178" s="472">
        <f>F78-F17-F20-F59-F63-F64</f>
        <v>1524057</v>
      </c>
      <c r="G178" s="472">
        <f>G78-G17-G20-G59-G63-G64</f>
        <v>1506476</v>
      </c>
      <c r="H178" s="252">
        <f>H78-H17-H20-H59-H63-H64</f>
        <v>0</v>
      </c>
    </row>
    <row r="179" spans="1:8">
      <c r="A179" s="468"/>
      <c r="B179" s="468"/>
      <c r="C179" s="468" t="s">
        <v>435</v>
      </c>
      <c r="D179" s="472">
        <f>D178+D170</f>
        <v>0</v>
      </c>
      <c r="E179" s="472">
        <f>E178+E170</f>
        <v>1638330.5</v>
      </c>
      <c r="F179" s="472">
        <f>F178+F170</f>
        <v>1680480</v>
      </c>
      <c r="G179" s="472">
        <f>G178+G170</f>
        <v>1652664</v>
      </c>
    </row>
    <row r="180" spans="1:8">
      <c r="A180" s="468" t="s">
        <v>436</v>
      </c>
      <c r="B180" s="468"/>
      <c r="C180" s="468" t="s">
        <v>437</v>
      </c>
      <c r="D180" s="472">
        <f>D38-D44+D8+D9+D10+D16-D33</f>
        <v>0</v>
      </c>
      <c r="E180" s="472">
        <f>E38-E44+E8+E9+E10+E16-E33</f>
        <v>72129.100000000006</v>
      </c>
      <c r="F180" s="472">
        <f>F38-F44+F8+F9+F10+F16-F33</f>
        <v>63631</v>
      </c>
      <c r="G180" s="472">
        <f>G38-G44+G8+G9+G10+G16-G33</f>
        <v>47661</v>
      </c>
    </row>
    <row r="181" spans="1:8" ht="27.5" customHeight="1">
      <c r="A181" s="473" t="s">
        <v>438</v>
      </c>
      <c r="B181" s="474"/>
      <c r="C181" s="474" t="s">
        <v>439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1390650.5</v>
      </c>
      <c r="F181" s="475">
        <f>F22+F23+F24+F25+F26+F29+SUM(F44:F47)+SUM(F49:F53)-F54+F32-F33+SUM(F65:F70)+F72</f>
        <v>1438592</v>
      </c>
      <c r="G181" s="475">
        <f>G22+G23+G24+G25+G26+G29+SUM(G44:G47)+SUM(G49:G53)-G54+G32-G33+SUM(G65:G70)+G72</f>
        <v>1448000</v>
      </c>
    </row>
    <row r="182" spans="1:8">
      <c r="A182" s="474" t="s">
        <v>440</v>
      </c>
      <c r="B182" s="474"/>
      <c r="C182" s="474" t="s">
        <v>441</v>
      </c>
      <c r="D182" s="475">
        <f>D181+D171</f>
        <v>0</v>
      </c>
      <c r="E182" s="475">
        <f>E181+E171</f>
        <v>1456894.5</v>
      </c>
      <c r="F182" s="475">
        <f>F181+F171</f>
        <v>1507187</v>
      </c>
      <c r="G182" s="475">
        <f>G181+G171</f>
        <v>1504773</v>
      </c>
    </row>
    <row r="183" spans="1:8">
      <c r="A183" s="474" t="s">
        <v>442</v>
      </c>
      <c r="B183" s="474"/>
      <c r="C183" s="474" t="s">
        <v>443</v>
      </c>
      <c r="D183" s="475">
        <f>D4+D5-D7+D38+D39+D40+D41+D43+D13-D16+D57+D58+D60+D61+D62</f>
        <v>0</v>
      </c>
      <c r="E183" s="475">
        <f>E4+E5-E7+E38+E39+E40+E41+E43+E13-E16+E57+E58+E60+E61+E62</f>
        <v>1397509</v>
      </c>
      <c r="F183" s="475">
        <f>F4+F5-F7+F38+F39+F40+F41+F43+F13-F16+F57+F58+F60+F61+F62</f>
        <v>1445850</v>
      </c>
      <c r="G183" s="475">
        <f>G4+G5-G7+G38+G39+G40+G41+G43+G13-G16+G57+G58+G60+G61+G62</f>
        <v>1432928</v>
      </c>
    </row>
    <row r="184" spans="1:8">
      <c r="A184" s="474" t="s">
        <v>444</v>
      </c>
      <c r="B184" s="474"/>
      <c r="C184" s="474" t="s">
        <v>445</v>
      </c>
      <c r="D184" s="475">
        <f>D183+D170</f>
        <v>0</v>
      </c>
      <c r="E184" s="475">
        <f>E183+E170</f>
        <v>1560954</v>
      </c>
      <c r="F184" s="475">
        <f>F183+F170</f>
        <v>1602273</v>
      </c>
      <c r="G184" s="475">
        <f>G183+G170</f>
        <v>1579116</v>
      </c>
    </row>
    <row r="185" spans="1:8">
      <c r="A185" s="474"/>
      <c r="B185" s="474"/>
      <c r="C185" s="474" t="s">
        <v>446</v>
      </c>
      <c r="D185" s="475">
        <f t="shared" ref="D185:G186" si="1">D181-D183</f>
        <v>0</v>
      </c>
      <c r="E185" s="475">
        <f t="shared" si="1"/>
        <v>-6858.5</v>
      </c>
      <c r="F185" s="475">
        <f t="shared" si="1"/>
        <v>-7258</v>
      </c>
      <c r="G185" s="475">
        <f t="shared" si="1"/>
        <v>15072</v>
      </c>
    </row>
    <row r="186" spans="1:8">
      <c r="A186" s="474"/>
      <c r="B186" s="474"/>
      <c r="C186" s="474" t="s">
        <v>447</v>
      </c>
      <c r="D186" s="475">
        <f t="shared" si="1"/>
        <v>0</v>
      </c>
      <c r="E186" s="475">
        <f t="shared" si="1"/>
        <v>-104059.5</v>
      </c>
      <c r="F186" s="475">
        <f t="shared" si="1"/>
        <v>-95086</v>
      </c>
      <c r="G186" s="475">
        <f t="shared" si="1"/>
        <v>-74343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1.33203125" customWidth="1"/>
    <col min="3" max="3" width="12.33203125" bestFit="1" customWidth="1"/>
    <col min="4" max="4" width="7.83203125" customWidth="1"/>
    <col min="5" max="5" width="12.33203125" bestFit="1" customWidth="1"/>
    <col min="6" max="6" width="8.33203125" customWidth="1"/>
    <col min="7" max="7" width="12.33203125" bestFit="1" customWidth="1"/>
    <col min="8" max="8" width="8.33203125" customWidth="1"/>
    <col min="9" max="9" width="10.83203125" customWidth="1"/>
  </cols>
  <sheetData>
    <row r="1" spans="1:9">
      <c r="A1" s="5" t="s">
        <v>20</v>
      </c>
      <c r="B1" s="6" t="s">
        <v>172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115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26</v>
      </c>
      <c r="C3" s="133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919950.93385000003</v>
      </c>
      <c r="D4" s="11">
        <v>1.1045226192092495E-2</v>
      </c>
      <c r="E4" s="10">
        <v>930112</v>
      </c>
      <c r="F4" s="11">
        <v>1.1053748903356885E-3</v>
      </c>
      <c r="G4" s="10">
        <v>931140.12244999991</v>
      </c>
      <c r="H4" s="11">
        <v>4.8175754076593219E-2</v>
      </c>
      <c r="I4" s="12">
        <v>975998.5</v>
      </c>
    </row>
    <row r="5" spans="1:9">
      <c r="A5" s="13" t="s">
        <v>30</v>
      </c>
      <c r="B5" s="14" t="s">
        <v>31</v>
      </c>
      <c r="C5" s="15">
        <v>264786.53782999999</v>
      </c>
      <c r="D5" s="16">
        <v>5.0370620346881154E-2</v>
      </c>
      <c r="E5" s="15">
        <v>278124</v>
      </c>
      <c r="F5" s="16">
        <v>-5.6879172994779348E-2</v>
      </c>
      <c r="G5" s="15">
        <v>262304.53688999999</v>
      </c>
      <c r="H5" s="16">
        <v>-4.4089854628971544E-3</v>
      </c>
      <c r="I5" s="17">
        <v>261148.04</v>
      </c>
    </row>
    <row r="6" spans="1:9">
      <c r="A6" s="13" t="s">
        <v>32</v>
      </c>
      <c r="B6" s="14" t="s">
        <v>33</v>
      </c>
      <c r="C6" s="15">
        <v>47907.704189999997</v>
      </c>
      <c r="D6" s="16">
        <v>8.3437431986865651E-2</v>
      </c>
      <c r="E6" s="15">
        <v>51905</v>
      </c>
      <c r="F6" s="16">
        <v>-7.8470172045082345E-2</v>
      </c>
      <c r="G6" s="15">
        <v>47832.005720000001</v>
      </c>
      <c r="H6" s="16">
        <v>2.6052488940035523E-3</v>
      </c>
      <c r="I6" s="17">
        <v>47956.62</v>
      </c>
    </row>
    <row r="7" spans="1:9">
      <c r="A7" s="13" t="s">
        <v>34</v>
      </c>
      <c r="B7" s="14" t="s">
        <v>35</v>
      </c>
      <c r="C7" s="15">
        <v>48604.253840000005</v>
      </c>
      <c r="D7" s="16">
        <v>5.2911956399246618E-2</v>
      </c>
      <c r="E7" s="15">
        <v>51176</v>
      </c>
      <c r="F7" s="16">
        <v>-0.13113626778177273</v>
      </c>
      <c r="G7" s="15">
        <v>44464.970359999999</v>
      </c>
      <c r="H7" s="16">
        <v>4.5490407923888199E-2</v>
      </c>
      <c r="I7" s="17">
        <v>46487.7</v>
      </c>
    </row>
    <row r="8" spans="1:9">
      <c r="A8" s="13" t="s">
        <v>36</v>
      </c>
      <c r="B8" s="14" t="s">
        <v>37</v>
      </c>
      <c r="C8" s="15">
        <v>15448.365399999999</v>
      </c>
      <c r="D8" s="16">
        <v>0.14115633230684727</v>
      </c>
      <c r="E8" s="15">
        <v>17629</v>
      </c>
      <c r="F8" s="16">
        <v>-1.2547813829485431E-2</v>
      </c>
      <c r="G8" s="15">
        <v>17407.794590000001</v>
      </c>
      <c r="H8" s="16">
        <v>-2.9285420813320921E-2</v>
      </c>
      <c r="I8" s="17">
        <v>16898</v>
      </c>
    </row>
    <row r="9" spans="1:9">
      <c r="A9" s="13" t="s">
        <v>38</v>
      </c>
      <c r="B9" s="14" t="s">
        <v>39</v>
      </c>
      <c r="C9" s="15">
        <v>188800.42986999999</v>
      </c>
      <c r="D9" s="16">
        <v>3.3895951054806819E-2</v>
      </c>
      <c r="E9" s="15">
        <v>195200</v>
      </c>
      <c r="F9" s="16">
        <v>-4.8707868340163822E-2</v>
      </c>
      <c r="G9" s="15">
        <v>185692.22410000002</v>
      </c>
      <c r="H9" s="16">
        <v>1.2212551769419938E-2</v>
      </c>
      <c r="I9" s="17">
        <v>187960</v>
      </c>
    </row>
    <row r="10" spans="1:9">
      <c r="A10" s="13" t="s">
        <v>40</v>
      </c>
      <c r="B10" s="14" t="s">
        <v>41</v>
      </c>
      <c r="C10" s="15">
        <v>1557898.85476</v>
      </c>
      <c r="D10" s="16">
        <v>8.929600584463554E-2</v>
      </c>
      <c r="E10" s="15">
        <v>1697013</v>
      </c>
      <c r="F10" s="16">
        <v>-1.3563072174462836E-3</v>
      </c>
      <c r="G10" s="15">
        <v>1694711.3290199998</v>
      </c>
      <c r="H10" s="16">
        <v>2.2457022814621801E-2</v>
      </c>
      <c r="I10" s="17">
        <v>1732769.5</v>
      </c>
    </row>
    <row r="11" spans="1:9">
      <c r="A11" s="13" t="s">
        <v>42</v>
      </c>
      <c r="B11" s="14" t="s">
        <v>43</v>
      </c>
      <c r="C11" s="15">
        <v>76473.933599999989</v>
      </c>
      <c r="D11" s="43">
        <v>8.034196896601134E-2</v>
      </c>
      <c r="E11" s="15">
        <v>82618</v>
      </c>
      <c r="F11" s="16">
        <v>9.8733798930016117E-3</v>
      </c>
      <c r="G11" s="15">
        <v>83433.718900000007</v>
      </c>
      <c r="H11" s="16">
        <v>-2.7291350907288993E-2</v>
      </c>
      <c r="I11" s="17">
        <v>81156.7</v>
      </c>
    </row>
    <row r="12" spans="1:9">
      <c r="A12" s="13" t="s">
        <v>44</v>
      </c>
      <c r="B12" s="14" t="s">
        <v>45</v>
      </c>
      <c r="C12" s="15">
        <v>261872.73964999997</v>
      </c>
      <c r="D12" s="43">
        <v>0.42597622226388171</v>
      </c>
      <c r="E12" s="15">
        <v>373424.3</v>
      </c>
      <c r="F12" s="16">
        <v>1.3054636830008147E-2</v>
      </c>
      <c r="G12" s="15">
        <v>378299.21862</v>
      </c>
      <c r="H12" s="16">
        <v>-4.0082520538407777E-3</v>
      </c>
      <c r="I12" s="17">
        <v>376782.9</v>
      </c>
    </row>
    <row r="13" spans="1:9">
      <c r="A13" s="13" t="s">
        <v>46</v>
      </c>
      <c r="B13" s="14" t="s">
        <v>47</v>
      </c>
      <c r="C13" s="15">
        <v>233989.60353000002</v>
      </c>
      <c r="D13" s="43">
        <v>6.9655643772695633E-2</v>
      </c>
      <c r="E13" s="15">
        <v>250288.3</v>
      </c>
      <c r="F13" s="43">
        <v>-1.7024165532308434E-2</v>
      </c>
      <c r="G13" s="15">
        <v>246027.35054999992</v>
      </c>
      <c r="H13" s="43">
        <v>8.8390556787227292E-3</v>
      </c>
      <c r="I13" s="17">
        <v>248202</v>
      </c>
    </row>
    <row r="14" spans="1:9">
      <c r="A14" s="13" t="s">
        <v>49</v>
      </c>
      <c r="B14" s="14" t="s">
        <v>50</v>
      </c>
      <c r="C14" s="15">
        <v>21660.012999999999</v>
      </c>
      <c r="D14" s="43">
        <v>3.8780539974745218E-2</v>
      </c>
      <c r="E14" s="15">
        <v>22500</v>
      </c>
      <c r="F14" s="16">
        <v>8.9218266666666671E-2</v>
      </c>
      <c r="G14" s="15">
        <v>24507.411</v>
      </c>
      <c r="H14" s="16">
        <v>-2.0704390194459955E-2</v>
      </c>
      <c r="I14" s="17">
        <v>24000</v>
      </c>
    </row>
    <row r="15" spans="1:9">
      <c r="A15" s="13" t="s">
        <v>51</v>
      </c>
      <c r="B15" s="14" t="s">
        <v>52</v>
      </c>
      <c r="C15" s="15">
        <v>13835.757</v>
      </c>
      <c r="D15" s="43">
        <v>-1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53</v>
      </c>
      <c r="B16" s="14" t="s">
        <v>54</v>
      </c>
      <c r="C16" s="15">
        <v>44599.140450000006</v>
      </c>
      <c r="D16" s="43">
        <v>4.183622220459169E-2</v>
      </c>
      <c r="E16" s="15">
        <v>46465</v>
      </c>
      <c r="F16" s="43">
        <v>-2.3512382438394586E-2</v>
      </c>
      <c r="G16" s="15">
        <v>45372.497149999996</v>
      </c>
      <c r="H16" s="43">
        <v>-2.9180044810471063E-3</v>
      </c>
      <c r="I16" s="17">
        <v>45240.1</v>
      </c>
    </row>
    <row r="17" spans="1:9">
      <c r="A17" s="13" t="s">
        <v>55</v>
      </c>
      <c r="B17" s="14" t="s">
        <v>56</v>
      </c>
      <c r="C17" s="15">
        <v>16688.334699999999</v>
      </c>
      <c r="D17" s="16">
        <v>-0.24060727281554339</v>
      </c>
      <c r="E17" s="15">
        <v>12673</v>
      </c>
      <c r="F17" s="16">
        <v>3.9661235697940278E-2</v>
      </c>
      <c r="G17" s="15">
        <v>13175.626839999997</v>
      </c>
      <c r="H17" s="16">
        <v>-0.22329539806547816</v>
      </c>
      <c r="I17" s="17">
        <v>10233.57</v>
      </c>
    </row>
    <row r="18" spans="1:9">
      <c r="A18" s="13">
        <v>389</v>
      </c>
      <c r="B18" s="14" t="s">
        <v>57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59</v>
      </c>
      <c r="C19" s="20">
        <v>191879.26281000001</v>
      </c>
      <c r="D19" s="43">
        <v>-3.4618791018483936E-3</v>
      </c>
      <c r="E19" s="20">
        <v>191215</v>
      </c>
      <c r="F19" s="43">
        <v>3.6266767199226037E-2</v>
      </c>
      <c r="G19" s="20">
        <v>198149.74989000001</v>
      </c>
      <c r="H19" s="43">
        <v>-1.4126588055518233E-2</v>
      </c>
      <c r="I19" s="21">
        <v>195350.57</v>
      </c>
    </row>
    <row r="20" spans="1:9">
      <c r="A20" s="22" t="s">
        <v>60</v>
      </c>
      <c r="B20" s="23" t="s">
        <v>61</v>
      </c>
      <c r="C20" s="24">
        <v>3204056.9730599998</v>
      </c>
      <c r="D20" s="25">
        <v>5.277216615112728E-2</v>
      </c>
      <c r="E20" s="24">
        <v>3373142</v>
      </c>
      <c r="F20" s="25">
        <v>-7.7363021954013535E-3</v>
      </c>
      <c r="G20" s="24">
        <v>3347046.3541399995</v>
      </c>
      <c r="H20" s="25">
        <v>2.3841774931290069E-2</v>
      </c>
      <c r="I20" s="26">
        <v>3426845.8800000004</v>
      </c>
    </row>
    <row r="21" spans="1:9">
      <c r="A21" s="27" t="s">
        <v>62</v>
      </c>
      <c r="B21" s="28" t="s">
        <v>63</v>
      </c>
      <c r="C21" s="10">
        <v>1550286.40234</v>
      </c>
      <c r="D21" s="16">
        <v>8.7555419692206555E-3</v>
      </c>
      <c r="E21" s="10">
        <v>1563860</v>
      </c>
      <c r="F21" s="16">
        <v>1.9277817841750644E-2</v>
      </c>
      <c r="G21" s="10">
        <v>1594007.8082100002</v>
      </c>
      <c r="H21" s="16">
        <v>-5.8903778021915324E-3</v>
      </c>
      <c r="I21" s="12">
        <v>1584618.5</v>
      </c>
    </row>
    <row r="22" spans="1:9">
      <c r="A22" s="8" t="s">
        <v>64</v>
      </c>
      <c r="B22" s="29" t="s">
        <v>65</v>
      </c>
      <c r="C22" s="15">
        <v>188224.22073</v>
      </c>
      <c r="D22" s="16">
        <v>-7.5517490123599568E-2</v>
      </c>
      <c r="E22" s="15">
        <v>174010</v>
      </c>
      <c r="F22" s="16">
        <v>0.14499293126831778</v>
      </c>
      <c r="G22" s="15">
        <v>199240.21996999998</v>
      </c>
      <c r="H22" s="16">
        <v>-0.11804955833486565</v>
      </c>
      <c r="I22" s="17">
        <v>175720</v>
      </c>
    </row>
    <row r="23" spans="1:9">
      <c r="A23" s="8" t="s">
        <v>66</v>
      </c>
      <c r="B23" s="29" t="s">
        <v>67</v>
      </c>
      <c r="C23" s="15">
        <v>59943.605230000001</v>
      </c>
      <c r="D23" s="16">
        <v>9.3611232565499108E-2</v>
      </c>
      <c r="E23" s="15">
        <v>65555</v>
      </c>
      <c r="F23" s="16">
        <v>-8.7635033178247335E-2</v>
      </c>
      <c r="G23" s="15">
        <v>59810.085399999996</v>
      </c>
      <c r="H23" s="16">
        <v>4.7544065202087156E-2</v>
      </c>
      <c r="I23" s="17">
        <v>62653.7</v>
      </c>
    </row>
    <row r="24" spans="1:9">
      <c r="A24" s="8" t="s">
        <v>68</v>
      </c>
      <c r="B24" s="29" t="s">
        <v>69</v>
      </c>
      <c r="C24" s="15">
        <v>408918.22275000002</v>
      </c>
      <c r="D24" s="16">
        <v>-0.1597170757291716</v>
      </c>
      <c r="E24" s="15">
        <v>343607</v>
      </c>
      <c r="F24" s="16">
        <v>6.1518190258056431E-2</v>
      </c>
      <c r="G24" s="15">
        <v>364745.0808</v>
      </c>
      <c r="H24" s="16">
        <v>2.2795178434658721E-2</v>
      </c>
      <c r="I24" s="17">
        <v>373059.51</v>
      </c>
    </row>
    <row r="25" spans="1:9">
      <c r="A25" s="8" t="s">
        <v>70</v>
      </c>
      <c r="B25" s="29" t="s">
        <v>71</v>
      </c>
      <c r="C25" s="15">
        <v>818033.02046999999</v>
      </c>
      <c r="D25" s="16">
        <v>-8.6023672564670747E-3</v>
      </c>
      <c r="E25" s="15">
        <v>810996</v>
      </c>
      <c r="F25" s="16">
        <v>2.4970855072034916E-2</v>
      </c>
      <c r="G25" s="15">
        <v>831247.26358000003</v>
      </c>
      <c r="H25" s="16">
        <v>4.1603404829340142E-2</v>
      </c>
      <c r="I25" s="17">
        <v>865829.98</v>
      </c>
    </row>
    <row r="26" spans="1:9">
      <c r="A26" s="59" t="s">
        <v>72</v>
      </c>
      <c r="B26" s="29" t="s">
        <v>73</v>
      </c>
      <c r="C26" s="15">
        <v>3066.9338900000002</v>
      </c>
      <c r="D26" s="16">
        <v>0.13892249565249015</v>
      </c>
      <c r="E26" s="15">
        <v>3493</v>
      </c>
      <c r="F26" s="16">
        <v>-0.35271616661895216</v>
      </c>
      <c r="G26" s="15">
        <v>2260.96243</v>
      </c>
      <c r="H26" s="16">
        <v>0.77638511224620399</v>
      </c>
      <c r="I26" s="17">
        <v>4016.34</v>
      </c>
    </row>
    <row r="27" spans="1:9">
      <c r="A27" s="195">
        <v>489</v>
      </c>
      <c r="B27" s="29" t="s">
        <v>74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76</v>
      </c>
      <c r="C28" s="20">
        <v>191879.26281000001</v>
      </c>
      <c r="D28" s="16">
        <v>-3.4618791018483936E-3</v>
      </c>
      <c r="E28" s="20">
        <v>191215</v>
      </c>
      <c r="F28" s="16">
        <v>3.6266767199226037E-2</v>
      </c>
      <c r="G28" s="20">
        <v>198149.74989000001</v>
      </c>
      <c r="H28" s="16">
        <v>-1.4126588055518233E-2</v>
      </c>
      <c r="I28" s="21">
        <v>195350.57</v>
      </c>
    </row>
    <row r="29" spans="1:9">
      <c r="A29" s="51" t="s">
        <v>77</v>
      </c>
      <c r="B29" s="52" t="s">
        <v>78</v>
      </c>
      <c r="C29" s="24">
        <v>3220351.6682200003</v>
      </c>
      <c r="D29" s="53">
        <v>-2.0996361635676225E-2</v>
      </c>
      <c r="E29" s="24">
        <v>3152736</v>
      </c>
      <c r="F29" s="53">
        <v>3.0679755704251861E-2</v>
      </c>
      <c r="G29" s="24">
        <v>3249461.1702800002</v>
      </c>
      <c r="H29" s="54">
        <v>3.6275028696476871E-3</v>
      </c>
      <c r="I29" s="26">
        <v>3261248.5999999996</v>
      </c>
    </row>
    <row r="30" spans="1:9">
      <c r="A30" s="50" t="s">
        <v>79</v>
      </c>
      <c r="B30" s="32" t="s">
        <v>80</v>
      </c>
      <c r="C30" s="33">
        <v>16294.695160000585</v>
      </c>
      <c r="D30" s="136">
        <v>0</v>
      </c>
      <c r="E30" s="33">
        <v>-220406</v>
      </c>
      <c r="F30" s="136">
        <v>0</v>
      </c>
      <c r="G30" s="34">
        <v>-97585.183859999292</v>
      </c>
      <c r="H30" s="137">
        <v>0</v>
      </c>
      <c r="I30" s="35">
        <v>-165597.28000000073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196953.44792999999</v>
      </c>
      <c r="D32" s="16">
        <v>-1.1314592120225366E-2</v>
      </c>
      <c r="E32" s="15">
        <v>194725</v>
      </c>
      <c r="F32" s="16">
        <v>-9.5694783926049437E-2</v>
      </c>
      <c r="G32" s="15">
        <v>176090.83320000002</v>
      </c>
      <c r="H32" s="16">
        <v>0.1296772034354822</v>
      </c>
      <c r="I32" s="17">
        <v>198925.8</v>
      </c>
    </row>
    <row r="33" spans="1:9">
      <c r="A33" s="59" t="s">
        <v>84</v>
      </c>
      <c r="B33" s="29" t="s">
        <v>85</v>
      </c>
      <c r="C33" s="15">
        <v>23883.275000000001</v>
      </c>
      <c r="D33" s="16">
        <v>-0.42486949549423186</v>
      </c>
      <c r="E33" s="15">
        <v>13736</v>
      </c>
      <c r="F33" s="16">
        <v>-0.55782163657542227</v>
      </c>
      <c r="G33" s="15">
        <v>6073.7619999999997</v>
      </c>
      <c r="H33" s="16">
        <v>0.59884434062447633</v>
      </c>
      <c r="I33" s="17">
        <v>9711</v>
      </c>
    </row>
    <row r="34" spans="1:9">
      <c r="A34" s="8" t="s">
        <v>86</v>
      </c>
      <c r="B34" s="29" t="s">
        <v>87</v>
      </c>
      <c r="C34" s="15">
        <v>137204.08326000001</v>
      </c>
      <c r="D34" s="16">
        <v>3.4101876772380725E-2</v>
      </c>
      <c r="E34" s="15">
        <v>141883</v>
      </c>
      <c r="F34" s="16">
        <v>-0.31805165488465842</v>
      </c>
      <c r="G34" s="15">
        <v>96756.87705000001</v>
      </c>
      <c r="H34" s="16">
        <v>0.44408546720452463</v>
      </c>
      <c r="I34" s="17">
        <v>139725.20000000001</v>
      </c>
    </row>
    <row r="35" spans="1:9">
      <c r="A35" s="51" t="s">
        <v>88</v>
      </c>
      <c r="B35" s="52" t="s">
        <v>89</v>
      </c>
      <c r="C35" s="24">
        <v>358040.80619000003</v>
      </c>
      <c r="D35" s="54">
        <v>-2.1497008321212416E-2</v>
      </c>
      <c r="E35" s="24">
        <v>350344</v>
      </c>
      <c r="F35" s="54">
        <v>-0.20386399581554132</v>
      </c>
      <c r="G35" s="24">
        <v>278921.47224999999</v>
      </c>
      <c r="H35" s="54">
        <v>0.24896085335359122</v>
      </c>
      <c r="I35" s="26">
        <v>348362</v>
      </c>
    </row>
    <row r="36" spans="1:9">
      <c r="A36" s="8" t="s">
        <v>90</v>
      </c>
      <c r="B36" s="29" t="s">
        <v>91</v>
      </c>
      <c r="C36" s="15">
        <v>2882.3760000000002</v>
      </c>
      <c r="D36" s="16">
        <v>-0.65306399997779607</v>
      </c>
      <c r="E36" s="15">
        <v>1000</v>
      </c>
      <c r="F36" s="16">
        <v>-0.93478700000000003</v>
      </c>
      <c r="G36" s="15">
        <v>65.212999999999994</v>
      </c>
      <c r="H36" s="16">
        <v>14.334365847300386</v>
      </c>
      <c r="I36" s="17">
        <v>1000</v>
      </c>
    </row>
    <row r="37" spans="1:9">
      <c r="A37" s="8" t="s">
        <v>92</v>
      </c>
      <c r="B37" s="29" t="s">
        <v>93</v>
      </c>
      <c r="C37" s="15">
        <v>111995.77028000001</v>
      </c>
      <c r="D37" s="16">
        <v>6.6504562639988191E-2</v>
      </c>
      <c r="E37" s="15">
        <v>119444</v>
      </c>
      <c r="F37" s="16">
        <v>-0.16638863274840096</v>
      </c>
      <c r="G37" s="15">
        <v>99569.876149999996</v>
      </c>
      <c r="H37" s="16">
        <v>0.24299039815567752</v>
      </c>
      <c r="I37" s="17">
        <v>123764.4</v>
      </c>
    </row>
    <row r="38" spans="1:9">
      <c r="A38" s="51" t="s">
        <v>94</v>
      </c>
      <c r="B38" s="52" t="s">
        <v>95</v>
      </c>
      <c r="C38" s="24">
        <v>114878.14628000002</v>
      </c>
      <c r="D38" s="54">
        <v>4.8450065571514059E-2</v>
      </c>
      <c r="E38" s="24">
        <v>120444</v>
      </c>
      <c r="F38" s="54">
        <v>-0.1727683475308027</v>
      </c>
      <c r="G38" s="24">
        <v>99635.08915</v>
      </c>
      <c r="H38" s="54">
        <v>0.25221346279088458</v>
      </c>
      <c r="I38" s="26">
        <v>124764.4</v>
      </c>
    </row>
    <row r="39" spans="1:9">
      <c r="A39" s="36" t="s">
        <v>96</v>
      </c>
      <c r="B39" s="37" t="s">
        <v>3</v>
      </c>
      <c r="C39" s="38">
        <v>243162.65991000002</v>
      </c>
      <c r="D39" s="39">
        <v>-5.4542337688314589E-2</v>
      </c>
      <c r="E39" s="38">
        <v>229900</v>
      </c>
      <c r="F39" s="39">
        <v>-0.22015492344497617</v>
      </c>
      <c r="G39" s="38">
        <v>179286.38309999998</v>
      </c>
      <c r="H39" s="39">
        <v>0.24715327585857264</v>
      </c>
      <c r="I39" s="40">
        <v>223597.6</v>
      </c>
    </row>
    <row r="40" spans="1:9">
      <c r="A40" s="131" t="s">
        <v>0</v>
      </c>
      <c r="B40" s="29" t="s">
        <v>97</v>
      </c>
      <c r="C40" s="15">
        <v>205095.12503000058</v>
      </c>
      <c r="D40" s="16">
        <v>-1.1228990693772607</v>
      </c>
      <c r="E40" s="15">
        <v>-25206</v>
      </c>
      <c r="F40" s="16">
        <v>-4.4954788637626253</v>
      </c>
      <c r="G40" s="15">
        <v>88107.04024000073</v>
      </c>
      <c r="H40" s="16">
        <v>-0.74618691152166783</v>
      </c>
      <c r="I40" s="17">
        <v>22362.719999999274</v>
      </c>
    </row>
    <row r="41" spans="1:9">
      <c r="A41" s="131" t="s">
        <v>0</v>
      </c>
      <c r="B41" s="29" t="s">
        <v>98</v>
      </c>
      <c r="C41" s="15">
        <v>-38067.534879999439</v>
      </c>
      <c r="D41" s="16">
        <v>5.7014058253094788</v>
      </c>
      <c r="E41" s="15">
        <v>-255106</v>
      </c>
      <c r="F41" s="16">
        <v>-0.64258252310804431</v>
      </c>
      <c r="G41" s="15">
        <v>-91179.342859999248</v>
      </c>
      <c r="H41" s="16">
        <v>1.2070227058883893</v>
      </c>
      <c r="I41" s="17">
        <v>-201234.88000000073</v>
      </c>
    </row>
    <row r="42" spans="1:9">
      <c r="A42" s="141" t="s">
        <v>0</v>
      </c>
      <c r="B42" s="31" t="s">
        <v>99</v>
      </c>
      <c r="C42" s="20">
        <v>3149281.3864699993</v>
      </c>
      <c r="D42" s="129">
        <v>5.0007476056792469E-2</v>
      </c>
      <c r="E42" s="20">
        <v>3306769</v>
      </c>
      <c r="F42" s="129">
        <v>-2.8797466357644224E-2</v>
      </c>
      <c r="G42" s="20">
        <v>3211542.4309699992</v>
      </c>
      <c r="H42" s="129">
        <v>4.7710192944180614E-2</v>
      </c>
      <c r="I42" s="21">
        <v>3364765.7400000007</v>
      </c>
    </row>
    <row r="43" spans="1:9">
      <c r="A43" s="141">
        <v>0</v>
      </c>
      <c r="B43" s="31" t="s">
        <v>5</v>
      </c>
      <c r="C43" s="66">
        <v>0.84344827082378071</v>
      </c>
      <c r="D43" s="142">
        <v>0</v>
      </c>
      <c r="E43" s="66" t="s">
        <v>100</v>
      </c>
      <c r="F43" s="142">
        <v>0</v>
      </c>
      <c r="G43" s="41">
        <v>0.49143185732548106</v>
      </c>
      <c r="H43" s="142">
        <v>0</v>
      </c>
      <c r="I43" s="42">
        <v>0.10001323806695274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4.83203125" customWidth="1"/>
    <col min="3" max="3" width="12.33203125" bestFit="1" customWidth="1"/>
    <col min="4" max="4" width="7.6640625" customWidth="1"/>
    <col min="5" max="5" width="12.33203125" bestFit="1" customWidth="1"/>
    <col min="6" max="6" width="7.6640625" customWidth="1"/>
    <col min="7" max="7" width="12.33203125" bestFit="1" customWidth="1"/>
    <col min="8" max="8" width="7.5" customWidth="1"/>
    <col min="9" max="9" width="12.33203125" bestFit="1" customWidth="1"/>
  </cols>
  <sheetData>
    <row r="1" spans="1:9">
      <c r="A1" s="5" t="s">
        <v>20</v>
      </c>
      <c r="B1" s="6" t="s">
        <v>173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115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116</v>
      </c>
      <c r="C3" s="133">
        <v>0</v>
      </c>
      <c r="D3" s="132">
        <v>0</v>
      </c>
      <c r="E3" s="133" t="s">
        <v>174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117</v>
      </c>
      <c r="C4" s="10">
        <v>2246117.7726700003</v>
      </c>
      <c r="D4" s="11">
        <v>3.515604938031941E-2</v>
      </c>
      <c r="E4" s="10">
        <v>2325082.4</v>
      </c>
      <c r="F4" s="11">
        <v>0.2364282229309379</v>
      </c>
      <c r="G4" s="10">
        <v>2874797.5</v>
      </c>
      <c r="H4" s="11">
        <v>-0.15015158458987107</v>
      </c>
      <c r="I4" s="12">
        <v>2443142.1</v>
      </c>
    </row>
    <row r="5" spans="1:9">
      <c r="A5" s="13" t="s">
        <v>30</v>
      </c>
      <c r="B5" s="14" t="s">
        <v>118</v>
      </c>
      <c r="C5" s="15">
        <v>475518.12336000003</v>
      </c>
      <c r="D5" s="16">
        <v>4.8909548337850696E-2</v>
      </c>
      <c r="E5" s="15">
        <v>498775.5</v>
      </c>
      <c r="F5" s="16">
        <v>-1.5890315382371453E-2</v>
      </c>
      <c r="G5" s="15">
        <v>490849.8</v>
      </c>
      <c r="H5" s="16">
        <v>6.0340046996046497E-2</v>
      </c>
      <c r="I5" s="17">
        <v>520467.7</v>
      </c>
    </row>
    <row r="6" spans="1:9">
      <c r="A6" s="13" t="s">
        <v>119</v>
      </c>
      <c r="B6" s="14" t="s">
        <v>120</v>
      </c>
      <c r="C6" s="15">
        <v>69922.09467000002</v>
      </c>
      <c r="D6" s="16">
        <v>-6.1178010901829651E-2</v>
      </c>
      <c r="E6" s="15">
        <v>65644.399999999994</v>
      </c>
      <c r="F6" s="16">
        <v>9.8156126036646071E-2</v>
      </c>
      <c r="G6" s="15">
        <v>72087.8</v>
      </c>
      <c r="H6" s="16">
        <v>-5.2763435699244611E-2</v>
      </c>
      <c r="I6" s="17">
        <v>68284.2</v>
      </c>
    </row>
    <row r="7" spans="1:9">
      <c r="A7" s="13" t="s">
        <v>34</v>
      </c>
      <c r="B7" s="14" t="s">
        <v>121</v>
      </c>
      <c r="C7" s="15">
        <v>83939.334849999985</v>
      </c>
      <c r="D7" s="16">
        <v>4.2221744505520228E-2</v>
      </c>
      <c r="E7" s="15">
        <v>87483.4</v>
      </c>
      <c r="F7" s="16">
        <v>-0.20302137319765809</v>
      </c>
      <c r="G7" s="15">
        <v>69722.399999999994</v>
      </c>
      <c r="H7" s="16">
        <v>0.23478824595825734</v>
      </c>
      <c r="I7" s="17">
        <v>86092.4</v>
      </c>
    </row>
    <row r="8" spans="1:9">
      <c r="A8" s="13" t="s">
        <v>36</v>
      </c>
      <c r="B8" s="14" t="s">
        <v>122</v>
      </c>
      <c r="C8" s="15">
        <v>143103.50387000002</v>
      </c>
      <c r="D8" s="16">
        <v>-0.26014529947372145</v>
      </c>
      <c r="E8" s="15">
        <v>105875.8</v>
      </c>
      <c r="F8" s="16">
        <v>0.64972071049286051</v>
      </c>
      <c r="G8" s="15">
        <v>174665.5</v>
      </c>
      <c r="H8" s="16">
        <v>-0.41123232693348144</v>
      </c>
      <c r="I8" s="17">
        <v>102837.4</v>
      </c>
    </row>
    <row r="9" spans="1:9">
      <c r="A9" s="13" t="s">
        <v>38</v>
      </c>
      <c r="B9" s="14" t="s">
        <v>123</v>
      </c>
      <c r="C9" s="15">
        <v>186794.04381999999</v>
      </c>
      <c r="D9" s="16">
        <v>-7.3426558682014392E-2</v>
      </c>
      <c r="E9" s="15">
        <v>173078.39999999999</v>
      </c>
      <c r="F9" s="16">
        <v>-2.2705317359069582E-2</v>
      </c>
      <c r="G9" s="15">
        <v>169148.6</v>
      </c>
      <c r="H9" s="16">
        <v>8.4655740573673047E-2</v>
      </c>
      <c r="I9" s="17">
        <v>183468</v>
      </c>
    </row>
    <row r="10" spans="1:9">
      <c r="A10" s="13" t="s">
        <v>40</v>
      </c>
      <c r="B10" s="14" t="s">
        <v>124</v>
      </c>
      <c r="C10" s="15">
        <v>4741626.0614600005</v>
      </c>
      <c r="D10" s="16">
        <v>2.091026100642587E-2</v>
      </c>
      <c r="E10" s="15">
        <v>4840774.7</v>
      </c>
      <c r="F10" s="16">
        <v>2.1801055934290846E-2</v>
      </c>
      <c r="G10" s="15">
        <v>4946308.7</v>
      </c>
      <c r="H10" s="16">
        <v>2.1565576770410627E-2</v>
      </c>
      <c r="I10" s="17">
        <v>5052978.7</v>
      </c>
    </row>
    <row r="11" spans="1:9">
      <c r="A11" s="13" t="s">
        <v>125</v>
      </c>
      <c r="B11" s="14" t="s">
        <v>126</v>
      </c>
      <c r="C11" s="15">
        <v>0</v>
      </c>
      <c r="D11" s="43" t="s">
        <v>48</v>
      </c>
      <c r="E11" s="15">
        <v>0</v>
      </c>
      <c r="F11" s="16" t="s">
        <v>48</v>
      </c>
      <c r="G11" s="15">
        <v>0</v>
      </c>
      <c r="H11" s="16" t="s">
        <v>48</v>
      </c>
      <c r="I11" s="17">
        <v>0</v>
      </c>
    </row>
    <row r="12" spans="1:9">
      <c r="A12" s="13" t="s">
        <v>127</v>
      </c>
      <c r="B12" s="14" t="s">
        <v>128</v>
      </c>
      <c r="C12" s="15">
        <v>0</v>
      </c>
      <c r="D12" s="43" t="s">
        <v>48</v>
      </c>
      <c r="E12" s="15">
        <v>0</v>
      </c>
      <c r="F12" s="16" t="s">
        <v>48</v>
      </c>
      <c r="G12" s="15">
        <v>0</v>
      </c>
      <c r="H12" s="16" t="s">
        <v>48</v>
      </c>
      <c r="I12" s="17">
        <v>0</v>
      </c>
    </row>
    <row r="13" spans="1:9">
      <c r="A13" s="13" t="s">
        <v>129</v>
      </c>
      <c r="B13" s="14" t="s">
        <v>130</v>
      </c>
      <c r="C13" s="15">
        <v>2237738.0923700002</v>
      </c>
      <c r="D13" s="43">
        <v>5.7349833775265757E-2</v>
      </c>
      <c r="E13" s="15">
        <v>2366072</v>
      </c>
      <c r="F13" s="43">
        <v>1.6064557629691702E-2</v>
      </c>
      <c r="G13" s="15">
        <v>2404081.9</v>
      </c>
      <c r="H13" s="43">
        <v>-6.7027666569928427E-3</v>
      </c>
      <c r="I13" s="17">
        <v>2387967.9</v>
      </c>
    </row>
    <row r="14" spans="1:9">
      <c r="A14" s="13" t="s">
        <v>131</v>
      </c>
      <c r="B14" s="14" t="s">
        <v>132</v>
      </c>
      <c r="C14" s="15">
        <v>0</v>
      </c>
      <c r="D14" s="43" t="s">
        <v>48</v>
      </c>
      <c r="E14" s="15">
        <v>0</v>
      </c>
      <c r="F14" s="16" t="s">
        <v>48</v>
      </c>
      <c r="G14" s="15">
        <v>0</v>
      </c>
      <c r="H14" s="16" t="s">
        <v>48</v>
      </c>
      <c r="I14" s="17">
        <v>0</v>
      </c>
    </row>
    <row r="15" spans="1:9">
      <c r="A15" s="13" t="s">
        <v>133</v>
      </c>
      <c r="B15" s="14" t="s">
        <v>134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135</v>
      </c>
      <c r="B16" s="14" t="s">
        <v>136</v>
      </c>
      <c r="C16" s="15">
        <v>162967.17001</v>
      </c>
      <c r="D16" s="43">
        <v>1.3541561713715608E-2</v>
      </c>
      <c r="E16" s="15">
        <v>165174</v>
      </c>
      <c r="F16" s="43">
        <v>3.022872849237703E-3</v>
      </c>
      <c r="G16" s="15">
        <v>165673.29999999999</v>
      </c>
      <c r="H16" s="43">
        <v>6.8217389283608265E-2</v>
      </c>
      <c r="I16" s="17">
        <v>176975.1</v>
      </c>
    </row>
    <row r="17" spans="1:9">
      <c r="A17" s="13" t="s">
        <v>55</v>
      </c>
      <c r="B17" s="14" t="s">
        <v>137</v>
      </c>
      <c r="C17" s="15">
        <v>195745.40158999999</v>
      </c>
      <c r="D17" s="16">
        <v>-0.75218523854979713</v>
      </c>
      <c r="E17" s="15">
        <v>48508.6</v>
      </c>
      <c r="F17" s="16">
        <v>0.17298994405115795</v>
      </c>
      <c r="G17" s="15">
        <v>56900.1</v>
      </c>
      <c r="H17" s="16">
        <v>0.36302396656596386</v>
      </c>
      <c r="I17" s="17">
        <v>77556.2</v>
      </c>
    </row>
    <row r="18" spans="1:9">
      <c r="A18" s="13">
        <v>389</v>
      </c>
      <c r="B18" s="14" t="s">
        <v>138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139</v>
      </c>
      <c r="C19" s="20">
        <v>8515.7861200000007</v>
      </c>
      <c r="D19" s="43">
        <v>9.4194333758113834E-3</v>
      </c>
      <c r="E19" s="20">
        <v>8596</v>
      </c>
      <c r="F19" s="43">
        <v>-7.1277338296882251E-2</v>
      </c>
      <c r="G19" s="20">
        <v>7983.3</v>
      </c>
      <c r="H19" s="43">
        <v>-0.1380757330928313</v>
      </c>
      <c r="I19" s="21">
        <v>6881</v>
      </c>
    </row>
    <row r="20" spans="1:9">
      <c r="A20" s="22" t="s">
        <v>60</v>
      </c>
      <c r="B20" s="23" t="s">
        <v>140</v>
      </c>
      <c r="C20" s="24">
        <v>8081360.0277400017</v>
      </c>
      <c r="D20" s="25">
        <v>8.4327046890705806E-4</v>
      </c>
      <c r="E20" s="24">
        <v>8088174.8000000007</v>
      </c>
      <c r="F20" s="25">
        <v>8.6818239882748283E-2</v>
      </c>
      <c r="G20" s="24">
        <v>8790375.9000000004</v>
      </c>
      <c r="H20" s="25">
        <v>-3.6056751566221248E-2</v>
      </c>
      <c r="I20" s="26">
        <v>8473423.5000000019</v>
      </c>
    </row>
    <row r="21" spans="1:9">
      <c r="A21" s="27" t="s">
        <v>62</v>
      </c>
      <c r="B21" s="28" t="s">
        <v>141</v>
      </c>
      <c r="C21" s="10">
        <v>4870191.9943599999</v>
      </c>
      <c r="D21" s="16">
        <v>-5.2794837381721867E-2</v>
      </c>
      <c r="E21" s="10">
        <v>4613071</v>
      </c>
      <c r="F21" s="16">
        <v>9.7067463301561935E-2</v>
      </c>
      <c r="G21" s="10">
        <v>5060850.0999999996</v>
      </c>
      <c r="H21" s="16">
        <v>-6.2384795787569294E-2</v>
      </c>
      <c r="I21" s="12">
        <v>4745130</v>
      </c>
    </row>
    <row r="22" spans="1:9">
      <c r="A22" s="8" t="s">
        <v>64</v>
      </c>
      <c r="B22" s="29" t="s">
        <v>142</v>
      </c>
      <c r="C22" s="15">
        <v>347852.63024000003</v>
      </c>
      <c r="D22" s="16">
        <v>-9.0131933797276048E-2</v>
      </c>
      <c r="E22" s="15">
        <v>316500</v>
      </c>
      <c r="F22" s="16">
        <v>0.20479968404423374</v>
      </c>
      <c r="G22" s="15">
        <v>381319.1</v>
      </c>
      <c r="H22" s="16">
        <v>-0.14454848970324324</v>
      </c>
      <c r="I22" s="17">
        <v>326200</v>
      </c>
    </row>
    <row r="23" spans="1:9">
      <c r="A23" s="8" t="s">
        <v>66</v>
      </c>
      <c r="B23" s="29" t="s">
        <v>143</v>
      </c>
      <c r="C23" s="15">
        <v>372903.62701999996</v>
      </c>
      <c r="D23" s="16">
        <v>-0.45973520930866479</v>
      </c>
      <c r="E23" s="15">
        <v>201466.7</v>
      </c>
      <c r="F23" s="16">
        <v>0.43863948731974067</v>
      </c>
      <c r="G23" s="15">
        <v>289837.95</v>
      </c>
      <c r="H23" s="16">
        <v>-2.9884457849636403E-2</v>
      </c>
      <c r="I23" s="17">
        <v>281176.3</v>
      </c>
    </row>
    <row r="24" spans="1:9">
      <c r="A24" s="8" t="s">
        <v>68</v>
      </c>
      <c r="B24" s="29" t="s">
        <v>144</v>
      </c>
      <c r="C24" s="15">
        <v>457438.72554999997</v>
      </c>
      <c r="D24" s="16">
        <v>6.408546721695467E-2</v>
      </c>
      <c r="E24" s="15">
        <v>486753.9</v>
      </c>
      <c r="F24" s="16">
        <v>3.1431694743483306E-2</v>
      </c>
      <c r="G24" s="15">
        <v>502053.4</v>
      </c>
      <c r="H24" s="16">
        <v>8.0756349822548052E-3</v>
      </c>
      <c r="I24" s="17">
        <v>506107.8</v>
      </c>
    </row>
    <row r="25" spans="1:9">
      <c r="A25" s="8" t="s">
        <v>70</v>
      </c>
      <c r="B25" s="29" t="s">
        <v>124</v>
      </c>
      <c r="C25" s="15">
        <v>2345266.3634799998</v>
      </c>
      <c r="D25" s="16">
        <v>2.7370083637217348E-2</v>
      </c>
      <c r="E25" s="15">
        <v>2409456.5</v>
      </c>
      <c r="F25" s="16">
        <v>4.0773510540655124E-2</v>
      </c>
      <c r="G25" s="15">
        <v>2507698.5</v>
      </c>
      <c r="H25" s="16">
        <v>5.0413157722110904E-3</v>
      </c>
      <c r="I25" s="17">
        <v>2520340.6</v>
      </c>
    </row>
    <row r="26" spans="1:9">
      <c r="A26" s="59" t="s">
        <v>72</v>
      </c>
      <c r="B26" s="29" t="s">
        <v>145</v>
      </c>
      <c r="C26" s="15">
        <v>24856.74123</v>
      </c>
      <c r="D26" s="16">
        <v>1.6331730050359461</v>
      </c>
      <c r="E26" s="15">
        <v>65452.1</v>
      </c>
      <c r="F26" s="16">
        <v>-0.28064492965084387</v>
      </c>
      <c r="G26" s="15">
        <v>47083.3</v>
      </c>
      <c r="H26" s="16">
        <v>0.89886647707361189</v>
      </c>
      <c r="I26" s="17">
        <v>89404.9</v>
      </c>
    </row>
    <row r="27" spans="1:9">
      <c r="A27" s="195">
        <v>489</v>
      </c>
      <c r="B27" s="29" t="s">
        <v>175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139</v>
      </c>
      <c r="C28" s="20">
        <v>8515.7861199999988</v>
      </c>
      <c r="D28" s="16">
        <v>9.4194333758116002E-3</v>
      </c>
      <c r="E28" s="20">
        <v>8596</v>
      </c>
      <c r="F28" s="16">
        <v>-7.1277338296882251E-2</v>
      </c>
      <c r="G28" s="20">
        <v>7983.3</v>
      </c>
      <c r="H28" s="16">
        <v>-0.1380757330928313</v>
      </c>
      <c r="I28" s="21">
        <v>6881</v>
      </c>
    </row>
    <row r="29" spans="1:9">
      <c r="A29" s="51" t="s">
        <v>77</v>
      </c>
      <c r="B29" s="52" t="s">
        <v>146</v>
      </c>
      <c r="C29" s="24">
        <v>8427025.8679999989</v>
      </c>
      <c r="D29" s="53">
        <v>-3.8652980672207744E-2</v>
      </c>
      <c r="E29" s="24">
        <v>8101296.2000000002</v>
      </c>
      <c r="F29" s="53">
        <v>8.5854094558350066E-2</v>
      </c>
      <c r="G29" s="24">
        <v>8796825.6500000022</v>
      </c>
      <c r="H29" s="54">
        <v>-3.6556942560297595E-2</v>
      </c>
      <c r="I29" s="26">
        <v>8475240.5999999996</v>
      </c>
    </row>
    <row r="30" spans="1:9">
      <c r="A30" s="50" t="s">
        <v>79</v>
      </c>
      <c r="B30" s="32" t="s">
        <v>147</v>
      </c>
      <c r="C30" s="33">
        <v>345665.84025999717</v>
      </c>
      <c r="D30" s="136">
        <v>0</v>
      </c>
      <c r="E30" s="33">
        <v>13121.399999999441</v>
      </c>
      <c r="F30" s="136">
        <v>0</v>
      </c>
      <c r="G30" s="34">
        <v>6449.7500000018626</v>
      </c>
      <c r="H30" s="137">
        <v>0</v>
      </c>
      <c r="I30" s="35">
        <v>1817.0999999977648</v>
      </c>
    </row>
    <row r="31" spans="1:9">
      <c r="A31" s="140">
        <v>0</v>
      </c>
      <c r="B31" s="28" t="s">
        <v>148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149</v>
      </c>
      <c r="C32" s="15">
        <v>221040.11567999999</v>
      </c>
      <c r="D32" s="16">
        <v>0.25630589337013332</v>
      </c>
      <c r="E32" s="15">
        <v>277694</v>
      </c>
      <c r="F32" s="16">
        <v>-4.8636268698639511E-2</v>
      </c>
      <c r="G32" s="15">
        <v>264188</v>
      </c>
      <c r="H32" s="16">
        <v>3.3748694111768889E-2</v>
      </c>
      <c r="I32" s="17">
        <v>273104</v>
      </c>
    </row>
    <row r="33" spans="1:9">
      <c r="A33" s="59" t="s">
        <v>84</v>
      </c>
      <c r="B33" s="29" t="s">
        <v>150</v>
      </c>
      <c r="C33" s="15">
        <v>49623.37</v>
      </c>
      <c r="D33" s="16">
        <v>-1</v>
      </c>
      <c r="E33" s="15">
        <v>0</v>
      </c>
      <c r="F33" s="16" t="s">
        <v>48</v>
      </c>
      <c r="G33" s="15">
        <v>0</v>
      </c>
      <c r="H33" s="16" t="s">
        <v>48</v>
      </c>
      <c r="I33" s="17">
        <v>0</v>
      </c>
    </row>
    <row r="34" spans="1:9">
      <c r="A34" s="8" t="s">
        <v>86</v>
      </c>
      <c r="B34" s="29" t="s">
        <v>151</v>
      </c>
      <c r="C34" s="15">
        <v>0</v>
      </c>
      <c r="D34" s="16" t="s">
        <v>48</v>
      </c>
      <c r="E34" s="15">
        <v>53851</v>
      </c>
      <c r="F34" s="16">
        <v>-0.2177861135354961</v>
      </c>
      <c r="G34" s="15">
        <v>42123</v>
      </c>
      <c r="H34" s="16">
        <v>0.58794482824110339</v>
      </c>
      <c r="I34" s="17">
        <v>66889</v>
      </c>
    </row>
    <row r="35" spans="1:9">
      <c r="A35" s="51" t="s">
        <v>88</v>
      </c>
      <c r="B35" s="52" t="s">
        <v>152</v>
      </c>
      <c r="C35" s="24">
        <v>270663.48567999998</v>
      </c>
      <c r="D35" s="54">
        <v>0.22493434667422782</v>
      </c>
      <c r="E35" s="24">
        <v>331545</v>
      </c>
      <c r="F35" s="54">
        <v>-7.6110331930808794E-2</v>
      </c>
      <c r="G35" s="24">
        <v>306311</v>
      </c>
      <c r="H35" s="54">
        <v>0.10996013855199455</v>
      </c>
      <c r="I35" s="26">
        <v>339993</v>
      </c>
    </row>
    <row r="36" spans="1:9">
      <c r="A36" s="8" t="s">
        <v>90</v>
      </c>
      <c r="B36" s="29" t="s">
        <v>153</v>
      </c>
      <c r="C36" s="15">
        <v>0</v>
      </c>
      <c r="D36" s="16" t="s">
        <v>48</v>
      </c>
      <c r="E36" s="15">
        <v>0</v>
      </c>
      <c r="F36" s="16" t="s">
        <v>48</v>
      </c>
      <c r="G36" s="15">
        <v>0</v>
      </c>
      <c r="H36" s="16" t="s">
        <v>48</v>
      </c>
      <c r="I36" s="17">
        <v>1800</v>
      </c>
    </row>
    <row r="37" spans="1:9">
      <c r="A37" s="8" t="s">
        <v>92</v>
      </c>
      <c r="B37" s="29" t="s">
        <v>154</v>
      </c>
      <c r="C37" s="15">
        <v>36470.709280000003</v>
      </c>
      <c r="D37" s="16">
        <v>-0.13505932232311119</v>
      </c>
      <c r="E37" s="15">
        <v>31545</v>
      </c>
      <c r="F37" s="16">
        <v>0.53504517356157866</v>
      </c>
      <c r="G37" s="15">
        <v>48423</v>
      </c>
      <c r="H37" s="16">
        <v>-0.64287631910455778</v>
      </c>
      <c r="I37" s="17">
        <v>17293</v>
      </c>
    </row>
    <row r="38" spans="1:9">
      <c r="A38" s="51" t="s">
        <v>94</v>
      </c>
      <c r="B38" s="52" t="s">
        <v>155</v>
      </c>
      <c r="C38" s="24">
        <v>36470.709280000003</v>
      </c>
      <c r="D38" s="54">
        <v>-0.13505932232311119</v>
      </c>
      <c r="E38" s="24">
        <v>31545</v>
      </c>
      <c r="F38" s="54">
        <v>0.53504517356157866</v>
      </c>
      <c r="G38" s="24">
        <v>48423</v>
      </c>
      <c r="H38" s="54">
        <v>-0.60570390103876259</v>
      </c>
      <c r="I38" s="26">
        <v>19093</v>
      </c>
    </row>
    <row r="39" spans="1:9">
      <c r="A39" s="36" t="s">
        <v>96</v>
      </c>
      <c r="B39" s="37" t="s">
        <v>4</v>
      </c>
      <c r="C39" s="38">
        <v>234192.77639999997</v>
      </c>
      <c r="D39" s="39">
        <v>0.28099595816568507</v>
      </c>
      <c r="E39" s="38">
        <v>300000</v>
      </c>
      <c r="F39" s="39">
        <v>-0.14037333333333332</v>
      </c>
      <c r="G39" s="38">
        <v>257888</v>
      </c>
      <c r="H39" s="39">
        <v>0.24433862762129296</v>
      </c>
      <c r="I39" s="40">
        <v>320900</v>
      </c>
    </row>
    <row r="40" spans="1:9">
      <c r="A40" s="131" t="s">
        <v>0</v>
      </c>
      <c r="B40" s="29" t="s">
        <v>156</v>
      </c>
      <c r="C40" s="15">
        <v>532459.88407999719</v>
      </c>
      <c r="D40" s="16">
        <v>-0.65030266961477856</v>
      </c>
      <c r="E40" s="15">
        <v>186199.79999999944</v>
      </c>
      <c r="F40" s="16">
        <v>-5.6935882852707675E-2</v>
      </c>
      <c r="G40" s="15">
        <v>175598.35000000187</v>
      </c>
      <c r="H40" s="16">
        <v>5.5164242716379701E-2</v>
      </c>
      <c r="I40" s="17">
        <v>185285.09999999776</v>
      </c>
    </row>
    <row r="41" spans="1:9">
      <c r="A41" s="131" t="s">
        <v>0</v>
      </c>
      <c r="B41" s="29" t="s">
        <v>157</v>
      </c>
      <c r="C41" s="15">
        <v>298267.10767999722</v>
      </c>
      <c r="D41" s="16">
        <v>-1.3815378802080105</v>
      </c>
      <c r="E41" s="15">
        <v>-113800.20000000056</v>
      </c>
      <c r="F41" s="16">
        <v>-0.27689362584602029</v>
      </c>
      <c r="G41" s="15">
        <v>-82289.649999998132</v>
      </c>
      <c r="H41" s="16">
        <v>0.64801891853963789</v>
      </c>
      <c r="I41" s="17">
        <v>-135614.90000000224</v>
      </c>
    </row>
    <row r="42" spans="1:9">
      <c r="A42" s="141" t="s">
        <v>0</v>
      </c>
      <c r="B42" s="31" t="s">
        <v>158</v>
      </c>
      <c r="C42" s="20">
        <v>7817864.778020001</v>
      </c>
      <c r="D42" s="129">
        <v>3.3998569881547251E-2</v>
      </c>
      <c r="E42" s="20">
        <v>8083661.0000000009</v>
      </c>
      <c r="F42" s="129">
        <v>7.4759245841704569E-2</v>
      </c>
      <c r="G42" s="20">
        <v>8687989.4000000004</v>
      </c>
      <c r="H42" s="129">
        <v>-2.8236164744860084E-2</v>
      </c>
      <c r="I42" s="21">
        <v>8442673.9000000022</v>
      </c>
    </row>
    <row r="43" spans="1:9">
      <c r="A43" s="141" t="s">
        <v>0</v>
      </c>
      <c r="B43" s="31" t="s">
        <v>6</v>
      </c>
      <c r="C43" s="66">
        <v>2.2735965313061519</v>
      </c>
      <c r="D43" s="142">
        <v>0</v>
      </c>
      <c r="E43" s="41">
        <v>0.62066599999999816</v>
      </c>
      <c r="F43" s="142">
        <v>0</v>
      </c>
      <c r="G43" s="41">
        <v>0.68090934824420624</v>
      </c>
      <c r="H43" s="142">
        <v>0</v>
      </c>
      <c r="I43" s="42">
        <v>0.57739202243688925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4.33203125" customWidth="1"/>
    <col min="3" max="3" width="12.33203125" bestFit="1" customWidth="1"/>
    <col min="4" max="4" width="8.83203125" customWidth="1"/>
    <col min="5" max="5" width="12.33203125" bestFit="1" customWidth="1"/>
    <col min="6" max="6" width="8.5" customWidth="1"/>
    <col min="7" max="7" width="12.33203125" bestFit="1" customWidth="1"/>
    <col min="8" max="8" width="8.5" customWidth="1"/>
    <col min="9" max="9" width="12.33203125" bestFit="1" customWidth="1"/>
  </cols>
  <sheetData>
    <row r="1" spans="1:9">
      <c r="A1" s="5" t="s">
        <v>20</v>
      </c>
      <c r="B1" s="6" t="s">
        <v>176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115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116</v>
      </c>
      <c r="C3" s="133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>
        <v>0</v>
      </c>
    </row>
    <row r="4" spans="1:9">
      <c r="A4" s="5" t="s">
        <v>28</v>
      </c>
      <c r="B4" s="9" t="s">
        <v>117</v>
      </c>
      <c r="C4" s="10">
        <v>641876.9</v>
      </c>
      <c r="D4" s="11">
        <v>0.50724180913816952</v>
      </c>
      <c r="E4" s="10">
        <v>967463.7</v>
      </c>
      <c r="F4" s="11">
        <v>-1.7954368727219384E-2</v>
      </c>
      <c r="G4" s="10">
        <v>950093.5</v>
      </c>
      <c r="H4" s="11">
        <v>3.5586287033855135E-2</v>
      </c>
      <c r="I4" s="12">
        <v>983903.8</v>
      </c>
    </row>
    <row r="5" spans="1:9">
      <c r="A5" s="13" t="s">
        <v>30</v>
      </c>
      <c r="B5" s="14" t="s">
        <v>118</v>
      </c>
      <c r="C5" s="15">
        <v>214671.9</v>
      </c>
      <c r="D5" s="16">
        <v>2.0811759713311392E-2</v>
      </c>
      <c r="E5" s="15">
        <v>219139.6</v>
      </c>
      <c r="F5" s="16">
        <v>5.8112728142243518E-2</v>
      </c>
      <c r="G5" s="15">
        <v>231874.4</v>
      </c>
      <c r="H5" s="16">
        <v>-2.0561993907046178E-2</v>
      </c>
      <c r="I5" s="17">
        <v>227106.6</v>
      </c>
    </row>
    <row r="6" spans="1:9">
      <c r="A6" s="13" t="s">
        <v>119</v>
      </c>
      <c r="B6" s="14" t="s">
        <v>120</v>
      </c>
      <c r="C6" s="15">
        <v>55759.9</v>
      </c>
      <c r="D6" s="16">
        <v>-0.1049643202373032</v>
      </c>
      <c r="E6" s="15">
        <v>49907.1</v>
      </c>
      <c r="F6" s="16">
        <v>0.357436116304093</v>
      </c>
      <c r="G6" s="15">
        <v>67745.7</v>
      </c>
      <c r="H6" s="16">
        <v>-0.20297819640213319</v>
      </c>
      <c r="I6" s="17">
        <v>53994.8</v>
      </c>
    </row>
    <row r="7" spans="1:9">
      <c r="A7" s="13" t="s">
        <v>34</v>
      </c>
      <c r="B7" s="14" t="s">
        <v>121</v>
      </c>
      <c r="C7" s="15">
        <v>20152</v>
      </c>
      <c r="D7" s="16">
        <v>0.81862842397776892</v>
      </c>
      <c r="E7" s="15">
        <v>36649</v>
      </c>
      <c r="F7" s="16">
        <v>-6.2893939807361727E-3</v>
      </c>
      <c r="G7" s="15">
        <v>36418.5</v>
      </c>
      <c r="H7" s="16">
        <v>-2.2900448947650233E-2</v>
      </c>
      <c r="I7" s="17">
        <v>35584.5</v>
      </c>
    </row>
    <row r="8" spans="1:9">
      <c r="A8" s="13" t="s">
        <v>36</v>
      </c>
      <c r="B8" s="14" t="s">
        <v>122</v>
      </c>
      <c r="C8" s="15">
        <v>18315</v>
      </c>
      <c r="D8" s="16">
        <v>-0.11259077259077262</v>
      </c>
      <c r="E8" s="15">
        <v>16252.9</v>
      </c>
      <c r="F8" s="16">
        <v>0.51974724510702708</v>
      </c>
      <c r="G8" s="15">
        <v>24700.3</v>
      </c>
      <c r="H8" s="16">
        <v>-0.3359999676117294</v>
      </c>
      <c r="I8" s="17">
        <v>16401</v>
      </c>
    </row>
    <row r="9" spans="1:9">
      <c r="A9" s="13" t="s">
        <v>38</v>
      </c>
      <c r="B9" s="14" t="s">
        <v>123</v>
      </c>
      <c r="C9" s="15">
        <v>261762.9</v>
      </c>
      <c r="D9" s="16">
        <v>-0.30529727474749097</v>
      </c>
      <c r="E9" s="15">
        <v>181847.4</v>
      </c>
      <c r="F9" s="16">
        <v>-5.3445911242063085E-3</v>
      </c>
      <c r="G9" s="15">
        <v>180875.5</v>
      </c>
      <c r="H9" s="16">
        <v>-5.1476291703409185E-2</v>
      </c>
      <c r="I9" s="17">
        <v>171564.7</v>
      </c>
    </row>
    <row r="10" spans="1:9">
      <c r="A10" s="13" t="s">
        <v>40</v>
      </c>
      <c r="B10" s="14" t="s">
        <v>124</v>
      </c>
      <c r="C10" s="15">
        <v>1578926.9</v>
      </c>
      <c r="D10" s="16">
        <v>-9.0170988916586273E-2</v>
      </c>
      <c r="E10" s="15">
        <v>1436553.5</v>
      </c>
      <c r="F10" s="16">
        <v>3.1255710281587148E-2</v>
      </c>
      <c r="G10" s="15">
        <v>1481454</v>
      </c>
      <c r="H10" s="16">
        <v>2.7959221143552246E-2</v>
      </c>
      <c r="I10" s="17">
        <v>1522874.3</v>
      </c>
    </row>
    <row r="11" spans="1:9">
      <c r="A11" s="13" t="s">
        <v>125</v>
      </c>
      <c r="B11" s="14" t="s">
        <v>126</v>
      </c>
      <c r="C11" s="15">
        <v>44908.3</v>
      </c>
      <c r="D11" s="43">
        <v>-3.3428119078210583E-2</v>
      </c>
      <c r="E11" s="15">
        <v>43407.1</v>
      </c>
      <c r="F11" s="16">
        <v>-0.27067230936874381</v>
      </c>
      <c r="G11" s="15">
        <v>31658</v>
      </c>
      <c r="H11" s="16">
        <v>3.1483353338808542E-2</v>
      </c>
      <c r="I11" s="17">
        <v>32654.7</v>
      </c>
    </row>
    <row r="12" spans="1:9">
      <c r="A12" s="13" t="s">
        <v>127</v>
      </c>
      <c r="B12" s="14" t="s">
        <v>128</v>
      </c>
      <c r="C12" s="15">
        <v>415531.4</v>
      </c>
      <c r="D12" s="43">
        <v>7.9160564039203657E-2</v>
      </c>
      <c r="E12" s="15">
        <v>448425.1</v>
      </c>
      <c r="F12" s="16">
        <v>5.8947859965911842E-2</v>
      </c>
      <c r="G12" s="15">
        <v>474858.8</v>
      </c>
      <c r="H12" s="16">
        <v>3.904276387001776E-2</v>
      </c>
      <c r="I12" s="17">
        <v>493398.6</v>
      </c>
    </row>
    <row r="13" spans="1:9">
      <c r="A13" s="13" t="s">
        <v>129</v>
      </c>
      <c r="B13" s="14" t="s">
        <v>130</v>
      </c>
      <c r="C13" s="15">
        <v>218417.5</v>
      </c>
      <c r="D13" s="43">
        <v>4.7505808829420744E-2</v>
      </c>
      <c r="E13" s="15">
        <v>228793.60000000001</v>
      </c>
      <c r="F13" s="43">
        <v>4.3246839072421633E-2</v>
      </c>
      <c r="G13" s="15">
        <v>238688.2</v>
      </c>
      <c r="H13" s="43">
        <v>4.5591277658468148E-2</v>
      </c>
      <c r="I13" s="17">
        <v>249570.3</v>
      </c>
    </row>
    <row r="14" spans="1:9">
      <c r="A14" s="13" t="s">
        <v>131</v>
      </c>
      <c r="B14" s="14" t="s">
        <v>132</v>
      </c>
      <c r="C14" s="15">
        <v>1095.5</v>
      </c>
      <c r="D14" s="43">
        <v>-5.0205385668644457E-3</v>
      </c>
      <c r="E14" s="15">
        <v>1090</v>
      </c>
      <c r="F14" s="16">
        <v>8.9908256880733527E-3</v>
      </c>
      <c r="G14" s="15">
        <v>1099.8</v>
      </c>
      <c r="H14" s="16">
        <v>-3.455173667939584E-3</v>
      </c>
      <c r="I14" s="17">
        <v>1096</v>
      </c>
    </row>
    <row r="15" spans="1:9">
      <c r="A15" s="13" t="s">
        <v>133</v>
      </c>
      <c r="B15" s="14" t="s">
        <v>134</v>
      </c>
      <c r="C15" s="15">
        <v>3520.6</v>
      </c>
      <c r="D15" s="43">
        <v>-0.11946827245355902</v>
      </c>
      <c r="E15" s="15">
        <v>3100</v>
      </c>
      <c r="F15" s="16">
        <v>0.35235483870967749</v>
      </c>
      <c r="G15" s="15">
        <v>4192.3</v>
      </c>
      <c r="H15" s="16">
        <v>4.8350547432197077E-2</v>
      </c>
      <c r="I15" s="17">
        <v>4395</v>
      </c>
    </row>
    <row r="16" spans="1:9">
      <c r="A16" s="13" t="s">
        <v>135</v>
      </c>
      <c r="B16" s="14" t="s">
        <v>136</v>
      </c>
      <c r="C16" s="15">
        <v>5202.1000000000004</v>
      </c>
      <c r="D16" s="43">
        <v>3.5158878145364302E-2</v>
      </c>
      <c r="E16" s="15">
        <v>5385</v>
      </c>
      <c r="F16" s="43">
        <v>0.12460538532961932</v>
      </c>
      <c r="G16" s="15">
        <v>6056</v>
      </c>
      <c r="H16" s="43">
        <v>-5.8454425363276087E-2</v>
      </c>
      <c r="I16" s="17">
        <v>5702</v>
      </c>
    </row>
    <row r="17" spans="1:9">
      <c r="A17" s="13" t="s">
        <v>55</v>
      </c>
      <c r="B17" s="14" t="s">
        <v>137</v>
      </c>
      <c r="C17" s="15">
        <v>175681.2</v>
      </c>
      <c r="D17" s="16">
        <v>-0.78376798428061745</v>
      </c>
      <c r="E17" s="15">
        <v>37987.9</v>
      </c>
      <c r="F17" s="16">
        <v>0.90084474266806014</v>
      </c>
      <c r="G17" s="15">
        <v>72209.100000000006</v>
      </c>
      <c r="H17" s="16">
        <v>-0.37371744004564522</v>
      </c>
      <c r="I17" s="17">
        <v>45223.3</v>
      </c>
    </row>
    <row r="18" spans="1:9">
      <c r="A18" s="13">
        <v>389</v>
      </c>
      <c r="B18" s="14" t="s">
        <v>138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139</v>
      </c>
      <c r="C19" s="20">
        <v>134340.29999999999</v>
      </c>
      <c r="D19" s="43">
        <v>8.7768152966756954E-2</v>
      </c>
      <c r="E19" s="20">
        <v>146131.1</v>
      </c>
      <c r="F19" s="43">
        <v>-3.2997082756511066E-2</v>
      </c>
      <c r="G19" s="20">
        <v>141309.20000000001</v>
      </c>
      <c r="H19" s="43">
        <v>-4.2256979729557713E-2</v>
      </c>
      <c r="I19" s="21">
        <v>135337.9</v>
      </c>
    </row>
    <row r="20" spans="1:9">
      <c r="A20" s="22" t="s">
        <v>60</v>
      </c>
      <c r="B20" s="23" t="s">
        <v>140</v>
      </c>
      <c r="C20" s="24">
        <v>3045727.0999999996</v>
      </c>
      <c r="D20" s="25">
        <v>-1.2154733101333998E-3</v>
      </c>
      <c r="E20" s="24">
        <v>3042025.0999999996</v>
      </c>
      <c r="F20" s="25">
        <v>2.5282302897500872E-2</v>
      </c>
      <c r="G20" s="24">
        <v>3118934.5</v>
      </c>
      <c r="H20" s="25">
        <v>6.1115743212945403E-3</v>
      </c>
      <c r="I20" s="26">
        <v>3137996.0999999996</v>
      </c>
    </row>
    <row r="21" spans="1:9">
      <c r="A21" s="27" t="s">
        <v>62</v>
      </c>
      <c r="B21" s="28" t="s">
        <v>141</v>
      </c>
      <c r="C21" s="10">
        <v>1080075.7</v>
      </c>
      <c r="D21" s="16">
        <v>-5.7584852617273592E-3</v>
      </c>
      <c r="E21" s="10">
        <v>1073856.1000000001</v>
      </c>
      <c r="F21" s="16">
        <v>-2.4094382850737762E-2</v>
      </c>
      <c r="G21" s="10">
        <v>1047982.2</v>
      </c>
      <c r="H21" s="16">
        <v>4.8947109979539688E-2</v>
      </c>
      <c r="I21" s="12">
        <v>1099277.8999999999</v>
      </c>
    </row>
    <row r="22" spans="1:9">
      <c r="A22" s="8" t="s">
        <v>64</v>
      </c>
      <c r="B22" s="29" t="s">
        <v>142</v>
      </c>
      <c r="C22" s="15">
        <v>158591.1</v>
      </c>
      <c r="D22" s="16">
        <v>3.2719364453616512E-3</v>
      </c>
      <c r="E22" s="15">
        <v>159110</v>
      </c>
      <c r="F22" s="16">
        <v>2.2773552887939162E-2</v>
      </c>
      <c r="G22" s="15">
        <v>162733.5</v>
      </c>
      <c r="H22" s="16">
        <v>-1.7411903510955028E-2</v>
      </c>
      <c r="I22" s="17">
        <v>159900</v>
      </c>
    </row>
    <row r="23" spans="1:9">
      <c r="A23" s="8" t="s">
        <v>66</v>
      </c>
      <c r="B23" s="29" t="s">
        <v>143</v>
      </c>
      <c r="C23" s="15">
        <v>40257.4</v>
      </c>
      <c r="D23" s="16">
        <v>0.28010999220019178</v>
      </c>
      <c r="E23" s="15">
        <v>51533.9</v>
      </c>
      <c r="F23" s="16">
        <v>0.13544870463908218</v>
      </c>
      <c r="G23" s="15">
        <v>58514.1</v>
      </c>
      <c r="H23" s="16">
        <v>-9.2634083067158202E-2</v>
      </c>
      <c r="I23" s="17">
        <v>53093.7</v>
      </c>
    </row>
    <row r="24" spans="1:9">
      <c r="A24" s="8" t="s">
        <v>68</v>
      </c>
      <c r="B24" s="29" t="s">
        <v>144</v>
      </c>
      <c r="C24" s="15">
        <v>331544.90000000002</v>
      </c>
      <c r="D24" s="16">
        <v>-0.29383018710286302</v>
      </c>
      <c r="E24" s="15">
        <v>234127</v>
      </c>
      <c r="F24" s="16">
        <v>0.15195940664681984</v>
      </c>
      <c r="G24" s="15">
        <v>269704.8</v>
      </c>
      <c r="H24" s="16">
        <v>-4.719604545413968E-3</v>
      </c>
      <c r="I24" s="17">
        <v>268431.90000000002</v>
      </c>
    </row>
    <row r="25" spans="1:9">
      <c r="A25" s="8" t="s">
        <v>70</v>
      </c>
      <c r="B25" s="29" t="s">
        <v>124</v>
      </c>
      <c r="C25" s="15">
        <v>1269848.3999999999</v>
      </c>
      <c r="D25" s="16">
        <v>6.4211523202297338E-2</v>
      </c>
      <c r="E25" s="15">
        <v>1351387.3</v>
      </c>
      <c r="F25" s="16">
        <v>2.2596334892299126E-2</v>
      </c>
      <c r="G25" s="15">
        <v>1381923.7</v>
      </c>
      <c r="H25" s="16">
        <v>3.24547585369583E-3</v>
      </c>
      <c r="I25" s="17">
        <v>1386408.7</v>
      </c>
    </row>
    <row r="26" spans="1:9">
      <c r="A26" s="59" t="s">
        <v>72</v>
      </c>
      <c r="B26" s="29" t="s">
        <v>145</v>
      </c>
      <c r="C26" s="15">
        <v>37996.9</v>
      </c>
      <c r="D26" s="16">
        <v>-0.24744650221465436</v>
      </c>
      <c r="E26" s="15">
        <v>28594.7</v>
      </c>
      <c r="F26" s="16">
        <v>1.0252529314873036</v>
      </c>
      <c r="G26" s="15">
        <v>57911.5</v>
      </c>
      <c r="H26" s="16">
        <v>-0.28125847197879522</v>
      </c>
      <c r="I26" s="17">
        <v>41623.4</v>
      </c>
    </row>
    <row r="27" spans="1:9">
      <c r="A27" s="195">
        <v>489</v>
      </c>
      <c r="B27" s="29" t="s">
        <v>175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139</v>
      </c>
      <c r="C28" s="20">
        <v>134340.29999999999</v>
      </c>
      <c r="D28" s="16">
        <v>8.7768152966756954E-2</v>
      </c>
      <c r="E28" s="20">
        <v>146131.1</v>
      </c>
      <c r="F28" s="16">
        <v>-3.2997082756511066E-2</v>
      </c>
      <c r="G28" s="20">
        <v>141309.20000000001</v>
      </c>
      <c r="H28" s="16">
        <v>-4.2256979729557713E-2</v>
      </c>
      <c r="I28" s="21">
        <v>135337.9</v>
      </c>
    </row>
    <row r="29" spans="1:9">
      <c r="A29" s="51" t="s">
        <v>77</v>
      </c>
      <c r="B29" s="52" t="s">
        <v>146</v>
      </c>
      <c r="C29" s="24">
        <v>3052654.6999999997</v>
      </c>
      <c r="D29" s="53">
        <v>-2.5926941556801784E-3</v>
      </c>
      <c r="E29" s="24">
        <v>3044740.1</v>
      </c>
      <c r="F29" s="53">
        <v>2.4743951051848369E-2</v>
      </c>
      <c r="G29" s="24">
        <v>3120079</v>
      </c>
      <c r="H29" s="54">
        <v>7.6903501481853506E-3</v>
      </c>
      <c r="I29" s="26">
        <v>3144073.5</v>
      </c>
    </row>
    <row r="30" spans="1:9">
      <c r="A30" s="50" t="s">
        <v>79</v>
      </c>
      <c r="B30" s="32" t="s">
        <v>147</v>
      </c>
      <c r="C30" s="33">
        <v>6927.6000000000931</v>
      </c>
      <c r="D30" s="136">
        <v>0</v>
      </c>
      <c r="E30" s="33">
        <v>2715.0000000004657</v>
      </c>
      <c r="F30" s="136">
        <v>0</v>
      </c>
      <c r="G30" s="34">
        <v>1144.5</v>
      </c>
      <c r="H30" s="137">
        <v>0</v>
      </c>
      <c r="I30" s="35">
        <v>6077.4000000003725</v>
      </c>
    </row>
    <row r="31" spans="1:9">
      <c r="A31" s="140">
        <v>0</v>
      </c>
      <c r="B31" s="28" t="s">
        <v>148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149</v>
      </c>
      <c r="C32" s="15">
        <v>307721</v>
      </c>
      <c r="D32" s="16">
        <v>0.1857169318961007</v>
      </c>
      <c r="E32" s="15">
        <v>364870</v>
      </c>
      <c r="F32" s="16">
        <v>-0.13932140214322913</v>
      </c>
      <c r="G32" s="15">
        <v>314035.8</v>
      </c>
      <c r="H32" s="16">
        <v>9.3435207068748583E-3</v>
      </c>
      <c r="I32" s="17">
        <v>316970</v>
      </c>
    </row>
    <row r="33" spans="1:9">
      <c r="A33" s="59" t="s">
        <v>84</v>
      </c>
      <c r="B33" s="29" t="s">
        <v>150</v>
      </c>
      <c r="C33" s="15">
        <v>51180.7</v>
      </c>
      <c r="D33" s="16">
        <v>-0.11472488652949252</v>
      </c>
      <c r="E33" s="15">
        <v>45309</v>
      </c>
      <c r="F33" s="16">
        <v>-1.2306605751616644E-2</v>
      </c>
      <c r="G33" s="15">
        <v>44751.4</v>
      </c>
      <c r="H33" s="16">
        <v>-3.8979786107250308E-2</v>
      </c>
      <c r="I33" s="17">
        <v>43007</v>
      </c>
    </row>
    <row r="34" spans="1:9">
      <c r="A34" s="8" t="s">
        <v>86</v>
      </c>
      <c r="B34" s="29" t="s">
        <v>151</v>
      </c>
      <c r="C34" s="15">
        <v>173257.4</v>
      </c>
      <c r="D34" s="16">
        <v>-0.24542270633173527</v>
      </c>
      <c r="E34" s="15">
        <v>130736.1</v>
      </c>
      <c r="F34" s="16">
        <v>0.10453195406624494</v>
      </c>
      <c r="G34" s="15">
        <v>144402.20000000001</v>
      </c>
      <c r="H34" s="16">
        <v>-4.8377379292005362E-2</v>
      </c>
      <c r="I34" s="17">
        <v>137416.4</v>
      </c>
    </row>
    <row r="35" spans="1:9">
      <c r="A35" s="51" t="s">
        <v>88</v>
      </c>
      <c r="B35" s="52" t="s">
        <v>152</v>
      </c>
      <c r="C35" s="24">
        <v>532159.1</v>
      </c>
      <c r="D35" s="54">
        <v>1.645372596278068E-2</v>
      </c>
      <c r="E35" s="24">
        <v>540915.1</v>
      </c>
      <c r="F35" s="54">
        <v>-6.974421679113775E-2</v>
      </c>
      <c r="G35" s="24">
        <v>503189.4</v>
      </c>
      <c r="H35" s="54">
        <v>-1.1518525628719523E-2</v>
      </c>
      <c r="I35" s="26">
        <v>497393.4</v>
      </c>
    </row>
    <row r="36" spans="1:9">
      <c r="A36" s="8" t="s">
        <v>90</v>
      </c>
      <c r="B36" s="29" t="s">
        <v>153</v>
      </c>
      <c r="C36" s="15">
        <v>439.9</v>
      </c>
      <c r="D36" s="16">
        <v>-1</v>
      </c>
      <c r="E36" s="15">
        <v>0</v>
      </c>
      <c r="F36" s="16" t="s">
        <v>48</v>
      </c>
      <c r="G36" s="15">
        <v>630</v>
      </c>
      <c r="H36" s="16">
        <v>-1</v>
      </c>
      <c r="I36" s="17">
        <v>0</v>
      </c>
    </row>
    <row r="37" spans="1:9">
      <c r="A37" s="8" t="s">
        <v>92</v>
      </c>
      <c r="B37" s="29" t="s">
        <v>154</v>
      </c>
      <c r="C37" s="15">
        <v>303705.09999999998</v>
      </c>
      <c r="D37" s="16">
        <v>0.1795080161643649</v>
      </c>
      <c r="E37" s="15">
        <v>358222.60000000003</v>
      </c>
      <c r="F37" s="16">
        <v>-0.10262641162227071</v>
      </c>
      <c r="G37" s="15">
        <v>321459.5</v>
      </c>
      <c r="H37" s="16">
        <v>-4.9822761498726177E-3</v>
      </c>
      <c r="I37" s="17">
        <v>319857.90000000002</v>
      </c>
    </row>
    <row r="38" spans="1:9">
      <c r="A38" s="51" t="s">
        <v>94</v>
      </c>
      <c r="B38" s="52" t="s">
        <v>155</v>
      </c>
      <c r="C38" s="24">
        <v>304145</v>
      </c>
      <c r="D38" s="54">
        <v>0.17780203521346738</v>
      </c>
      <c r="E38" s="24">
        <v>358222.60000000003</v>
      </c>
      <c r="F38" s="54">
        <v>-0.10086772861343765</v>
      </c>
      <c r="G38" s="24">
        <v>322089.5</v>
      </c>
      <c r="H38" s="54">
        <v>-6.9285090013799788E-3</v>
      </c>
      <c r="I38" s="26">
        <v>319857.90000000002</v>
      </c>
    </row>
    <row r="39" spans="1:9">
      <c r="A39" s="36" t="s">
        <v>96</v>
      </c>
      <c r="B39" s="37" t="s">
        <v>4</v>
      </c>
      <c r="C39" s="38">
        <v>228014.09999999998</v>
      </c>
      <c r="D39" s="39">
        <v>-0.19876665522000631</v>
      </c>
      <c r="E39" s="38">
        <v>182692.49999999994</v>
      </c>
      <c r="F39" s="39">
        <v>-8.7173802974939811E-3</v>
      </c>
      <c r="G39" s="38">
        <v>181099.90000000002</v>
      </c>
      <c r="H39" s="39">
        <v>-1.968195454552997E-2</v>
      </c>
      <c r="I39" s="40">
        <v>177535.5</v>
      </c>
    </row>
    <row r="40" spans="1:9">
      <c r="A40" s="131" t="s">
        <v>0</v>
      </c>
      <c r="B40" s="29" t="s">
        <v>156</v>
      </c>
      <c r="C40" s="15">
        <v>268690.50000000012</v>
      </c>
      <c r="D40" s="16">
        <v>-0.3131041104914376</v>
      </c>
      <c r="E40" s="15">
        <v>184562.40000000046</v>
      </c>
      <c r="F40" s="16">
        <v>-1.3775286840659059E-2</v>
      </c>
      <c r="G40" s="15">
        <v>182020</v>
      </c>
      <c r="H40" s="16">
        <v>-2.4051752554662211E-2</v>
      </c>
      <c r="I40" s="17">
        <v>177642.10000000038</v>
      </c>
    </row>
    <row r="41" spans="1:9">
      <c r="A41" s="131" t="s">
        <v>0</v>
      </c>
      <c r="B41" s="29" t="s">
        <v>157</v>
      </c>
      <c r="C41" s="15">
        <v>40676.40000000014</v>
      </c>
      <c r="D41" s="16">
        <v>-0.95402985514941063</v>
      </c>
      <c r="E41" s="15">
        <v>1869.900000000518</v>
      </c>
      <c r="F41" s="16">
        <v>-0.50794160115529075</v>
      </c>
      <c r="G41" s="15">
        <v>920.09999999997672</v>
      </c>
      <c r="H41" s="16">
        <v>-0.88414302793132604</v>
      </c>
      <c r="I41" s="17">
        <v>106.60000000038417</v>
      </c>
    </row>
    <row r="42" spans="1:9">
      <c r="A42" s="141" t="s">
        <v>0</v>
      </c>
      <c r="B42" s="31" t="s">
        <v>158</v>
      </c>
      <c r="C42" s="20">
        <v>2987786.8</v>
      </c>
      <c r="D42" s="129">
        <v>7.1268170807903736E-2</v>
      </c>
      <c r="E42" s="20">
        <v>3200720.9</v>
      </c>
      <c r="F42" s="129">
        <v>7.213687391487046E-4</v>
      </c>
      <c r="G42" s="20">
        <v>3203029.8</v>
      </c>
      <c r="H42" s="129">
        <v>1.9928881086276443E-2</v>
      </c>
      <c r="I42" s="21">
        <v>3266862.5999999996</v>
      </c>
    </row>
    <row r="43" spans="1:9">
      <c r="A43" s="141" t="s">
        <v>0</v>
      </c>
      <c r="B43" s="31" t="s">
        <v>6</v>
      </c>
      <c r="C43" s="66">
        <v>1.1783942308830908</v>
      </c>
      <c r="D43" s="142">
        <v>0</v>
      </c>
      <c r="E43" s="41">
        <v>1.0102352313313383</v>
      </c>
      <c r="F43" s="142">
        <v>0</v>
      </c>
      <c r="G43" s="41">
        <v>1.0050806212482721</v>
      </c>
      <c r="H43" s="142">
        <v>0</v>
      </c>
      <c r="I43" s="42">
        <v>1.0006004432916256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3.5" customWidth="1"/>
    <col min="3" max="3" width="11.5" bestFit="1" customWidth="1"/>
    <col min="4" max="4" width="9.33203125" customWidth="1"/>
    <col min="5" max="5" width="12.33203125" bestFit="1" customWidth="1"/>
    <col min="6" max="6" width="8.33203125" customWidth="1"/>
    <col min="7" max="7" width="12.33203125" bestFit="1" customWidth="1"/>
    <col min="8" max="8" width="8.6640625" customWidth="1"/>
    <col min="9" max="9" width="12.33203125" bestFit="1" customWidth="1"/>
  </cols>
  <sheetData>
    <row r="1" spans="1:9">
      <c r="A1" s="5" t="s">
        <v>20</v>
      </c>
      <c r="B1" s="6" t="s">
        <v>177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115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116</v>
      </c>
      <c r="C3" s="133">
        <v>0</v>
      </c>
      <c r="D3" s="132">
        <v>0</v>
      </c>
      <c r="E3" s="133" t="s">
        <v>103</v>
      </c>
      <c r="F3" s="134">
        <v>0</v>
      </c>
      <c r="G3" s="135">
        <v>0</v>
      </c>
      <c r="H3" s="134">
        <v>0</v>
      </c>
      <c r="I3" s="115" t="s">
        <v>174</v>
      </c>
    </row>
    <row r="4" spans="1:9">
      <c r="A4" s="5" t="s">
        <v>28</v>
      </c>
      <c r="B4" s="9" t="s">
        <v>117</v>
      </c>
      <c r="C4" s="10">
        <v>426275.7</v>
      </c>
      <c r="D4" s="11">
        <v>1.1767032462793446E-2</v>
      </c>
      <c r="E4" s="10">
        <v>431291.7</v>
      </c>
      <c r="F4" s="11">
        <v>-2.1415693833199252E-2</v>
      </c>
      <c r="G4" s="10">
        <v>422055.28899999999</v>
      </c>
      <c r="H4" s="11">
        <v>4.0450539170947347E-2</v>
      </c>
      <c r="I4" s="12">
        <v>439127.65299999999</v>
      </c>
    </row>
    <row r="5" spans="1:9">
      <c r="A5" s="13" t="s">
        <v>30</v>
      </c>
      <c r="B5" s="14" t="s">
        <v>118</v>
      </c>
      <c r="C5" s="15">
        <v>130292.8</v>
      </c>
      <c r="D5" s="16">
        <v>3.7715821595667533E-2</v>
      </c>
      <c r="E5" s="15">
        <v>135206.9</v>
      </c>
      <c r="F5" s="16">
        <v>1.0756699547138532E-2</v>
      </c>
      <c r="G5" s="15">
        <v>136661.28</v>
      </c>
      <c r="H5" s="16">
        <v>2.2064735527136798E-2</v>
      </c>
      <c r="I5" s="17">
        <v>139676.67499999999</v>
      </c>
    </row>
    <row r="6" spans="1:9">
      <c r="A6" s="13" t="s">
        <v>119</v>
      </c>
      <c r="B6" s="14" t="s">
        <v>120</v>
      </c>
      <c r="C6" s="15">
        <v>17867.7</v>
      </c>
      <c r="D6" s="16">
        <v>4.1857653755099859E-2</v>
      </c>
      <c r="E6" s="15">
        <v>18615.599999999999</v>
      </c>
      <c r="F6" s="16">
        <v>-6.8221491652162528E-2</v>
      </c>
      <c r="G6" s="15">
        <v>17345.616000000002</v>
      </c>
      <c r="H6" s="16">
        <v>-1.7002336498167667E-2</v>
      </c>
      <c r="I6" s="17">
        <v>17050.7</v>
      </c>
    </row>
    <row r="7" spans="1:9">
      <c r="A7" s="13" t="s">
        <v>34</v>
      </c>
      <c r="B7" s="14" t="s">
        <v>121</v>
      </c>
      <c r="C7" s="15">
        <v>34671.300000000003</v>
      </c>
      <c r="D7" s="16">
        <v>5.1875758912991392E-2</v>
      </c>
      <c r="E7" s="15">
        <v>36469.9</v>
      </c>
      <c r="F7" s="16">
        <v>-8.8937808987685732E-2</v>
      </c>
      <c r="G7" s="15">
        <v>33226.347000000002</v>
      </c>
      <c r="H7" s="16">
        <v>1.7629172415492951E-2</v>
      </c>
      <c r="I7" s="17">
        <v>33812.1</v>
      </c>
    </row>
    <row r="8" spans="1:9">
      <c r="A8" s="13" t="s">
        <v>36</v>
      </c>
      <c r="B8" s="14" t="s">
        <v>122</v>
      </c>
      <c r="C8" s="15">
        <v>20245.8</v>
      </c>
      <c r="D8" s="16">
        <v>0.35188039000681637</v>
      </c>
      <c r="E8" s="15">
        <v>27369.9</v>
      </c>
      <c r="F8" s="16">
        <v>0.31630890138436751</v>
      </c>
      <c r="G8" s="15">
        <v>36027.243000000002</v>
      </c>
      <c r="H8" s="16">
        <v>-0.33432103033806942</v>
      </c>
      <c r="I8" s="17">
        <v>23982.578000000001</v>
      </c>
    </row>
    <row r="9" spans="1:9">
      <c r="A9" s="13" t="s">
        <v>38</v>
      </c>
      <c r="B9" s="14" t="s">
        <v>123</v>
      </c>
      <c r="C9" s="15">
        <v>73561.3</v>
      </c>
      <c r="D9" s="16">
        <v>-0.1817803654910938</v>
      </c>
      <c r="E9" s="15">
        <v>60189.3</v>
      </c>
      <c r="F9" s="16">
        <v>7.0459732876109182E-2</v>
      </c>
      <c r="G9" s="15">
        <v>64430.222000000002</v>
      </c>
      <c r="H9" s="16">
        <v>-0.13360129350477798</v>
      </c>
      <c r="I9" s="17">
        <v>55822.260999999999</v>
      </c>
    </row>
    <row r="10" spans="1:9">
      <c r="A10" s="13" t="s">
        <v>40</v>
      </c>
      <c r="B10" s="14" t="s">
        <v>124</v>
      </c>
      <c r="C10" s="15">
        <v>1208385.3999999999</v>
      </c>
      <c r="D10" s="16">
        <v>4.6385366787781566E-2</v>
      </c>
      <c r="E10" s="15">
        <v>1264436.8</v>
      </c>
      <c r="F10" s="16">
        <v>9.0687173925974767E-4</v>
      </c>
      <c r="G10" s="15">
        <v>1265583.4820000001</v>
      </c>
      <c r="H10" s="16">
        <v>3.0693053877895012E-2</v>
      </c>
      <c r="I10" s="17">
        <v>1304428.1040000001</v>
      </c>
    </row>
    <row r="11" spans="1:9">
      <c r="A11" s="13" t="s">
        <v>125</v>
      </c>
      <c r="B11" s="14" t="s">
        <v>126</v>
      </c>
      <c r="C11" s="15">
        <v>443639.4</v>
      </c>
      <c r="D11" s="43">
        <v>-7.1720410766041062E-2</v>
      </c>
      <c r="E11" s="15">
        <v>411821.4</v>
      </c>
      <c r="F11" s="16">
        <v>3.3681889770662603E-2</v>
      </c>
      <c r="G11" s="15">
        <v>425692.32299999997</v>
      </c>
      <c r="H11" s="16">
        <v>-2.2089829888710402E-2</v>
      </c>
      <c r="I11" s="17">
        <v>416288.85200000001</v>
      </c>
    </row>
    <row r="12" spans="1:9">
      <c r="A12" s="13" t="s">
        <v>127</v>
      </c>
      <c r="B12" s="14" t="s">
        <v>128</v>
      </c>
      <c r="C12" s="15">
        <v>93159.2</v>
      </c>
      <c r="D12" s="43">
        <v>0.25953529012700843</v>
      </c>
      <c r="E12" s="15">
        <v>117337.3</v>
      </c>
      <c r="F12" s="16">
        <v>-0.16781477842084319</v>
      </c>
      <c r="G12" s="15">
        <v>97646.366999999998</v>
      </c>
      <c r="H12" s="16">
        <v>0.6945388454646757</v>
      </c>
      <c r="I12" s="17">
        <v>165465.56200000001</v>
      </c>
    </row>
    <row r="13" spans="1:9">
      <c r="A13" s="13" t="s">
        <v>129</v>
      </c>
      <c r="B13" s="14" t="s">
        <v>130</v>
      </c>
      <c r="C13" s="15">
        <v>151787.9</v>
      </c>
      <c r="D13" s="43">
        <v>0.16589859929546424</v>
      </c>
      <c r="E13" s="15">
        <v>176969.3</v>
      </c>
      <c r="F13" s="43">
        <v>-2.5267619864010275E-2</v>
      </c>
      <c r="G13" s="15">
        <v>172497.70699999999</v>
      </c>
      <c r="H13" s="43">
        <v>-6.7185861201041974E-2</v>
      </c>
      <c r="I13" s="17">
        <v>160908.29999999999</v>
      </c>
    </row>
    <row r="14" spans="1:9">
      <c r="A14" s="13" t="s">
        <v>131</v>
      </c>
      <c r="B14" s="14" t="s">
        <v>132</v>
      </c>
      <c r="C14" s="15">
        <v>3686.7</v>
      </c>
      <c r="D14" s="43">
        <v>-4.9095396967477447E-3</v>
      </c>
      <c r="E14" s="15">
        <v>3668.6</v>
      </c>
      <c r="F14" s="16">
        <v>-2.3265005724254087E-3</v>
      </c>
      <c r="G14" s="15">
        <v>3660.0650000000001</v>
      </c>
      <c r="H14" s="16">
        <v>1.5992885372254278E-2</v>
      </c>
      <c r="I14" s="17">
        <v>3718.6</v>
      </c>
    </row>
    <row r="15" spans="1:9">
      <c r="A15" s="13" t="s">
        <v>133</v>
      </c>
      <c r="B15" s="14" t="s">
        <v>134</v>
      </c>
      <c r="C15" s="15">
        <v>0</v>
      </c>
      <c r="D15" s="43" t="s">
        <v>48</v>
      </c>
      <c r="E15" s="15">
        <v>0</v>
      </c>
      <c r="F15" s="16" t="s">
        <v>48</v>
      </c>
      <c r="G15" s="15">
        <v>0</v>
      </c>
      <c r="H15" s="16" t="s">
        <v>48</v>
      </c>
      <c r="I15" s="17">
        <v>0</v>
      </c>
    </row>
    <row r="16" spans="1:9">
      <c r="A16" s="13" t="s">
        <v>135</v>
      </c>
      <c r="B16" s="14" t="s">
        <v>136</v>
      </c>
      <c r="C16" s="15">
        <v>82115.399999999994</v>
      </c>
      <c r="D16" s="43">
        <v>-3.233376443395504E-2</v>
      </c>
      <c r="E16" s="15">
        <v>79460.3</v>
      </c>
      <c r="F16" s="43">
        <v>4.0083437892884891E-2</v>
      </c>
      <c r="G16" s="15">
        <v>82645.342000000004</v>
      </c>
      <c r="H16" s="43">
        <v>3.1637088512501958E-2</v>
      </c>
      <c r="I16" s="17">
        <v>85260</v>
      </c>
    </row>
    <row r="17" spans="1:9">
      <c r="A17" s="13" t="s">
        <v>55</v>
      </c>
      <c r="B17" s="14" t="s">
        <v>137</v>
      </c>
      <c r="C17" s="15">
        <v>19838.400000000001</v>
      </c>
      <c r="D17" s="16">
        <v>-0.82526816678764414</v>
      </c>
      <c r="E17" s="15">
        <v>3466.4</v>
      </c>
      <c r="F17" s="16">
        <v>10.607049099930764</v>
      </c>
      <c r="G17" s="15">
        <v>40234.675000000003</v>
      </c>
      <c r="H17" s="16">
        <v>-0.97923432959257162</v>
      </c>
      <c r="I17" s="17">
        <v>835.5</v>
      </c>
    </row>
    <row r="18" spans="1:9">
      <c r="A18" s="13">
        <v>389</v>
      </c>
      <c r="B18" s="14" t="s">
        <v>138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139</v>
      </c>
      <c r="C19" s="20">
        <v>37656.800000000003</v>
      </c>
      <c r="D19" s="43">
        <v>0.13101219434471328</v>
      </c>
      <c r="E19" s="20">
        <v>42590.3</v>
      </c>
      <c r="F19" s="43">
        <v>0.40998619403948777</v>
      </c>
      <c r="G19" s="20">
        <v>60051.735000000001</v>
      </c>
      <c r="H19" s="43">
        <v>-0.30967256816143612</v>
      </c>
      <c r="I19" s="21">
        <v>41455.360000000001</v>
      </c>
    </row>
    <row r="20" spans="1:9">
      <c r="A20" s="22" t="s">
        <v>60</v>
      </c>
      <c r="B20" s="23" t="s">
        <v>140</v>
      </c>
      <c r="C20" s="24">
        <v>1950927.5</v>
      </c>
      <c r="D20" s="25">
        <v>2.5676863953170849E-2</v>
      </c>
      <c r="E20" s="24">
        <v>2001021.1999999997</v>
      </c>
      <c r="F20" s="25">
        <v>2.8609928270625185E-2</v>
      </c>
      <c r="G20" s="24">
        <v>2058270.273</v>
      </c>
      <c r="H20" s="25">
        <v>-9.2942322740332851E-3</v>
      </c>
      <c r="I20" s="26">
        <v>2039140.2310000001</v>
      </c>
    </row>
    <row r="21" spans="1:9">
      <c r="A21" s="27" t="s">
        <v>62</v>
      </c>
      <c r="B21" s="28" t="s">
        <v>141</v>
      </c>
      <c r="C21" s="10">
        <v>944615.4</v>
      </c>
      <c r="D21" s="16">
        <v>2.7031742230753358E-2</v>
      </c>
      <c r="E21" s="10">
        <v>970150</v>
      </c>
      <c r="F21" s="16">
        <v>3.9879771169406782E-2</v>
      </c>
      <c r="G21" s="10">
        <v>1008839.36</v>
      </c>
      <c r="H21" s="16">
        <v>-2.4473034041812152E-2</v>
      </c>
      <c r="I21" s="12">
        <v>984150</v>
      </c>
    </row>
    <row r="22" spans="1:9">
      <c r="A22" s="8" t="s">
        <v>64</v>
      </c>
      <c r="B22" s="29" t="s">
        <v>142</v>
      </c>
      <c r="C22" s="15">
        <v>62725.4</v>
      </c>
      <c r="D22" s="16">
        <v>-1.8445478227321686E-3</v>
      </c>
      <c r="E22" s="15">
        <v>62609.7</v>
      </c>
      <c r="F22" s="16">
        <v>1.3852709723892716E-2</v>
      </c>
      <c r="G22" s="15">
        <v>63477.014000000003</v>
      </c>
      <c r="H22" s="16">
        <v>4.4834906695516541E-2</v>
      </c>
      <c r="I22" s="17">
        <v>66323</v>
      </c>
    </row>
    <row r="23" spans="1:9">
      <c r="A23" s="8" t="s">
        <v>66</v>
      </c>
      <c r="B23" s="29" t="s">
        <v>143</v>
      </c>
      <c r="C23" s="15">
        <v>84599.1</v>
      </c>
      <c r="D23" s="16">
        <v>-0.41629639085995007</v>
      </c>
      <c r="E23" s="15">
        <v>49380.800000000003</v>
      </c>
      <c r="F23" s="16">
        <v>0.19732586349350348</v>
      </c>
      <c r="G23" s="15">
        <v>59124.909</v>
      </c>
      <c r="H23" s="16">
        <v>-1.9422592261410444E-2</v>
      </c>
      <c r="I23" s="17">
        <v>57976.55</v>
      </c>
    </row>
    <row r="24" spans="1:9">
      <c r="A24" s="8" t="s">
        <v>68</v>
      </c>
      <c r="B24" s="29" t="s">
        <v>144</v>
      </c>
      <c r="C24" s="15">
        <v>135663.79999999999</v>
      </c>
      <c r="D24" s="16">
        <v>9.3974221568318334E-2</v>
      </c>
      <c r="E24" s="15">
        <v>148412.70000000001</v>
      </c>
      <c r="F24" s="16">
        <v>-3.700775607478337E-2</v>
      </c>
      <c r="G24" s="15">
        <v>142920.27900000001</v>
      </c>
      <c r="H24" s="16">
        <v>1.8784759019397086E-2</v>
      </c>
      <c r="I24" s="17">
        <v>145605.00200000001</v>
      </c>
    </row>
    <row r="25" spans="1:9">
      <c r="A25" s="8" t="s">
        <v>70</v>
      </c>
      <c r="B25" s="29" t="s">
        <v>124</v>
      </c>
      <c r="C25" s="15">
        <v>636917.5</v>
      </c>
      <c r="D25" s="16">
        <v>5.2339117703627161E-2</v>
      </c>
      <c r="E25" s="15">
        <v>670253.19999999995</v>
      </c>
      <c r="F25" s="16">
        <v>3.9898013168754833E-2</v>
      </c>
      <c r="G25" s="15">
        <v>696994.97100000002</v>
      </c>
      <c r="H25" s="16">
        <v>-8.9036524769989731E-3</v>
      </c>
      <c r="I25" s="17">
        <v>690789.17</v>
      </c>
    </row>
    <row r="26" spans="1:9">
      <c r="A26" s="59" t="s">
        <v>72</v>
      </c>
      <c r="B26" s="29" t="s">
        <v>145</v>
      </c>
      <c r="C26" s="15">
        <v>51716.1</v>
      </c>
      <c r="D26" s="16">
        <v>-0.22104915103807124</v>
      </c>
      <c r="E26" s="15">
        <v>40284.300000000003</v>
      </c>
      <c r="F26" s="16">
        <v>-0.33179869080510277</v>
      </c>
      <c r="G26" s="15">
        <v>26918.022000000001</v>
      </c>
      <c r="H26" s="16">
        <v>0.53464831108318434</v>
      </c>
      <c r="I26" s="17">
        <v>41309.697</v>
      </c>
    </row>
    <row r="27" spans="1:9">
      <c r="A27" s="195">
        <v>489</v>
      </c>
      <c r="B27" s="29" t="s">
        <v>175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139</v>
      </c>
      <c r="C28" s="20">
        <v>37656.800000000003</v>
      </c>
      <c r="D28" s="16">
        <v>0.13101219434471328</v>
      </c>
      <c r="E28" s="20">
        <v>42590.3</v>
      </c>
      <c r="F28" s="16">
        <v>0.40998619403948777</v>
      </c>
      <c r="G28" s="20">
        <v>60051.735000000001</v>
      </c>
      <c r="H28" s="16">
        <v>-0.30967256816143612</v>
      </c>
      <c r="I28" s="21">
        <v>41455.360000000001</v>
      </c>
    </row>
    <row r="29" spans="1:9">
      <c r="A29" s="51" t="s">
        <v>77</v>
      </c>
      <c r="B29" s="52" t="s">
        <v>146</v>
      </c>
      <c r="C29" s="24">
        <v>1953894.1000000003</v>
      </c>
      <c r="D29" s="53">
        <v>1.5244889679537734E-2</v>
      </c>
      <c r="E29" s="24">
        <v>1983681</v>
      </c>
      <c r="F29" s="53">
        <v>3.762968440994318E-2</v>
      </c>
      <c r="G29" s="24">
        <v>2058326.2900000005</v>
      </c>
      <c r="H29" s="54">
        <v>-1.4923538191799706E-2</v>
      </c>
      <c r="I29" s="26">
        <v>2027608.7790000001</v>
      </c>
    </row>
    <row r="30" spans="1:9">
      <c r="A30" s="50" t="s">
        <v>79</v>
      </c>
      <c r="B30" s="32" t="s">
        <v>147</v>
      </c>
      <c r="C30" s="33">
        <v>2966.600000000326</v>
      </c>
      <c r="D30" s="136">
        <v>0</v>
      </c>
      <c r="E30" s="33">
        <v>-17340.199999999721</v>
      </c>
      <c r="F30" s="136">
        <v>0</v>
      </c>
      <c r="G30" s="34">
        <v>56.017000000458211</v>
      </c>
      <c r="H30" s="137">
        <v>0</v>
      </c>
      <c r="I30" s="35">
        <v>-11531.452000000048</v>
      </c>
    </row>
    <row r="31" spans="1:9">
      <c r="A31" s="140">
        <v>0</v>
      </c>
      <c r="B31" s="28" t="s">
        <v>148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149</v>
      </c>
      <c r="C32" s="15">
        <v>97400.8</v>
      </c>
      <c r="D32" s="16">
        <v>-1.4048139234996046E-2</v>
      </c>
      <c r="E32" s="15">
        <v>96032.5</v>
      </c>
      <c r="F32" s="16">
        <v>-4.8226933590190847E-2</v>
      </c>
      <c r="G32" s="15">
        <v>91401.146999999997</v>
      </c>
      <c r="H32" s="16">
        <v>0.1611637652643462</v>
      </c>
      <c r="I32" s="17">
        <v>106131.7</v>
      </c>
    </row>
    <row r="33" spans="1:9">
      <c r="A33" s="59" t="s">
        <v>84</v>
      </c>
      <c r="B33" s="29" t="s">
        <v>150</v>
      </c>
      <c r="C33" s="15">
        <v>350.3</v>
      </c>
      <c r="D33" s="16">
        <v>-1</v>
      </c>
      <c r="E33" s="15">
        <v>0</v>
      </c>
      <c r="F33" s="16" t="s">
        <v>48</v>
      </c>
      <c r="G33" s="15">
        <v>2952.2</v>
      </c>
      <c r="H33" s="16">
        <v>3.6200460673396107</v>
      </c>
      <c r="I33" s="17">
        <v>13639.3</v>
      </c>
    </row>
    <row r="34" spans="1:9">
      <c r="A34" s="8" t="s">
        <v>86</v>
      </c>
      <c r="B34" s="29" t="s">
        <v>151</v>
      </c>
      <c r="C34" s="15">
        <v>15091.1</v>
      </c>
      <c r="D34" s="16">
        <v>-0.28761322898927177</v>
      </c>
      <c r="E34" s="15">
        <v>10750.7</v>
      </c>
      <c r="F34" s="16">
        <v>-0.28232115118085338</v>
      </c>
      <c r="G34" s="15">
        <v>7715.55</v>
      </c>
      <c r="H34" s="16">
        <v>0.56258465047857908</v>
      </c>
      <c r="I34" s="17">
        <v>12056.2</v>
      </c>
    </row>
    <row r="35" spans="1:9">
      <c r="A35" s="51" t="s">
        <v>88</v>
      </c>
      <c r="B35" s="52" t="s">
        <v>152</v>
      </c>
      <c r="C35" s="24">
        <v>112842.20000000001</v>
      </c>
      <c r="D35" s="54">
        <v>-5.3694451189360129E-2</v>
      </c>
      <c r="E35" s="24">
        <v>106783.2</v>
      </c>
      <c r="F35" s="54">
        <v>1.5437821679815348E-3</v>
      </c>
      <c r="G35" s="24">
        <v>106948.05</v>
      </c>
      <c r="H35" s="54">
        <v>0.23262836489304861</v>
      </c>
      <c r="I35" s="26">
        <v>131827.20000000001</v>
      </c>
    </row>
    <row r="36" spans="1:9">
      <c r="A36" s="8" t="s">
        <v>90</v>
      </c>
      <c r="B36" s="29" t="s">
        <v>153</v>
      </c>
      <c r="C36" s="15">
        <v>4447.1000000000004</v>
      </c>
      <c r="D36" s="16">
        <v>-0.96854129657529631</v>
      </c>
      <c r="E36" s="15">
        <v>139.9</v>
      </c>
      <c r="F36" s="16">
        <v>14.733002144388848</v>
      </c>
      <c r="G36" s="15">
        <v>2201.047</v>
      </c>
      <c r="H36" s="16">
        <v>-0.64335155042123138</v>
      </c>
      <c r="I36" s="17">
        <v>785</v>
      </c>
    </row>
    <row r="37" spans="1:9">
      <c r="A37" s="8" t="s">
        <v>92</v>
      </c>
      <c r="B37" s="29" t="s">
        <v>154</v>
      </c>
      <c r="C37" s="15">
        <v>31817</v>
      </c>
      <c r="D37" s="16">
        <v>0.45038815727441306</v>
      </c>
      <c r="E37" s="15">
        <v>46147</v>
      </c>
      <c r="F37" s="16">
        <v>-9.4936593928099264E-2</v>
      </c>
      <c r="G37" s="15">
        <v>41765.961000000003</v>
      </c>
      <c r="H37" s="16">
        <v>0.6236092352813335</v>
      </c>
      <c r="I37" s="17">
        <v>67811.600000000006</v>
      </c>
    </row>
    <row r="38" spans="1:9">
      <c r="A38" s="51" t="s">
        <v>94</v>
      </c>
      <c r="B38" s="52" t="s">
        <v>155</v>
      </c>
      <c r="C38" s="24">
        <v>36264.1</v>
      </c>
      <c r="D38" s="54">
        <v>0.27638353081973643</v>
      </c>
      <c r="E38" s="24">
        <v>46286.9</v>
      </c>
      <c r="F38" s="54">
        <v>-3.5614828385568818E-3</v>
      </c>
      <c r="G38" s="24">
        <v>46122.05</v>
      </c>
      <c r="H38" s="54">
        <v>0.48728428159632975</v>
      </c>
      <c r="I38" s="26">
        <v>68596.600000000006</v>
      </c>
    </row>
    <row r="39" spans="1:9">
      <c r="A39" s="36" t="s">
        <v>96</v>
      </c>
      <c r="B39" s="37" t="s">
        <v>4</v>
      </c>
      <c r="C39" s="38">
        <v>76578.100000000006</v>
      </c>
      <c r="D39" s="39">
        <v>-0.2100052103669327</v>
      </c>
      <c r="E39" s="38">
        <v>60496.299999999996</v>
      </c>
      <c r="F39" s="39">
        <v>5.4499200777568943E-3</v>
      </c>
      <c r="G39" s="38">
        <v>60826</v>
      </c>
      <c r="H39" s="39">
        <v>3.9532436786900438E-2</v>
      </c>
      <c r="I39" s="40">
        <v>63230.600000000006</v>
      </c>
    </row>
    <row r="40" spans="1:9">
      <c r="A40" s="131" t="s">
        <v>0</v>
      </c>
      <c r="B40" s="29" t="s">
        <v>156</v>
      </c>
      <c r="C40" s="15">
        <v>76527.900000000329</v>
      </c>
      <c r="D40" s="16">
        <v>-0.44008524995459042</v>
      </c>
      <c r="E40" s="15">
        <v>42849.100000000282</v>
      </c>
      <c r="F40" s="16">
        <v>0.50496134107834323</v>
      </c>
      <c r="G40" s="15">
        <v>64486.23900000046</v>
      </c>
      <c r="H40" s="16">
        <v>-0.31317425722409342</v>
      </c>
      <c r="I40" s="17">
        <v>44290.80899999995</v>
      </c>
    </row>
    <row r="41" spans="1:9">
      <c r="A41" s="131" t="s">
        <v>0</v>
      </c>
      <c r="B41" s="29" t="s">
        <v>157</v>
      </c>
      <c r="C41" s="15">
        <v>-50.199999999676947</v>
      </c>
      <c r="D41" s="16">
        <v>350.53784860783423</v>
      </c>
      <c r="E41" s="15">
        <v>-17647.199999999713</v>
      </c>
      <c r="F41" s="16">
        <v>-1.2074118840382904</v>
      </c>
      <c r="G41" s="15">
        <v>3660.2390000004598</v>
      </c>
      <c r="H41" s="16">
        <v>-6.1744683885390206</v>
      </c>
      <c r="I41" s="17">
        <v>-18939.791000000056</v>
      </c>
    </row>
    <row r="42" spans="1:9">
      <c r="A42" s="141" t="s">
        <v>0</v>
      </c>
      <c r="B42" s="31" t="s">
        <v>158</v>
      </c>
      <c r="C42" s="20">
        <v>1912467.4</v>
      </c>
      <c r="D42" s="129">
        <v>3.2273020706130778E-2</v>
      </c>
      <c r="E42" s="20">
        <v>1974188.5</v>
      </c>
      <c r="F42" s="129">
        <v>-4.9205291186733896E-3</v>
      </c>
      <c r="G42" s="20">
        <v>1964474.4479999999</v>
      </c>
      <c r="H42" s="129">
        <v>4.2961762157773926E-2</v>
      </c>
      <c r="I42" s="21">
        <v>2048871.7320000001</v>
      </c>
    </row>
    <row r="43" spans="1:9">
      <c r="A43" s="141" t="s">
        <v>0</v>
      </c>
      <c r="B43" s="31" t="s">
        <v>6</v>
      </c>
      <c r="C43" s="66">
        <v>0.9993444601002156</v>
      </c>
      <c r="D43" s="142">
        <v>0</v>
      </c>
      <c r="E43" s="41">
        <v>0.70829290386354682</v>
      </c>
      <c r="F43" s="142">
        <v>0</v>
      </c>
      <c r="G43" s="41">
        <v>1.0601755663696522</v>
      </c>
      <c r="H43" s="142">
        <v>0</v>
      </c>
      <c r="I43" s="42">
        <v>0.70046479078167767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3" zoomScaleNormal="100" workbookViewId="0"/>
  </sheetViews>
  <sheetFormatPr baseColWidth="10" defaultRowHeight="13"/>
  <cols>
    <col min="1" max="1" width="10.5" customWidth="1"/>
    <col min="2" max="2" width="46" customWidth="1"/>
    <col min="3" max="3" width="10.33203125" customWidth="1"/>
    <col min="4" max="4" width="9.1640625" customWidth="1"/>
    <col min="5" max="5" width="9.83203125" customWidth="1"/>
    <col min="6" max="6" width="10.5" customWidth="1"/>
    <col min="7" max="7" width="10.33203125" customWidth="1"/>
    <col min="8" max="8" width="10.1640625" customWidth="1"/>
    <col min="9" max="9" width="11.33203125" customWidth="1"/>
  </cols>
  <sheetData>
    <row r="1" spans="1:9">
      <c r="A1" s="5" t="s">
        <v>20</v>
      </c>
      <c r="B1" s="6" t="s">
        <v>178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115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116</v>
      </c>
      <c r="C3" s="133">
        <v>0</v>
      </c>
      <c r="D3" s="132">
        <v>0</v>
      </c>
      <c r="E3" s="133" t="s">
        <v>103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117</v>
      </c>
      <c r="C4" s="10">
        <v>2141209.0814004699</v>
      </c>
      <c r="D4" s="11">
        <v>1.7345549728024691E-2</v>
      </c>
      <c r="E4" s="10">
        <v>2178349.5299999998</v>
      </c>
      <c r="F4" s="11">
        <v>-4.0882695257816147E-3</v>
      </c>
      <c r="G4" s="10">
        <v>2169443.85</v>
      </c>
      <c r="H4" s="11">
        <v>3.1741743854951925E-2</v>
      </c>
      <c r="I4" s="12">
        <v>2238305.7809944008</v>
      </c>
    </row>
    <row r="5" spans="1:9">
      <c r="A5" s="13" t="s">
        <v>30</v>
      </c>
      <c r="B5" s="14" t="s">
        <v>118</v>
      </c>
      <c r="C5" s="15">
        <v>418735.050719972</v>
      </c>
      <c r="D5" s="16">
        <v>5.7040358190604143E-2</v>
      </c>
      <c r="E5" s="15">
        <v>442619.848</v>
      </c>
      <c r="F5" s="16">
        <v>-2.5125800504093108E-2</v>
      </c>
      <c r="G5" s="15">
        <v>431498.67</v>
      </c>
      <c r="H5" s="16">
        <v>2.0856050379019726E-2</v>
      </c>
      <c r="I5" s="17">
        <v>440498.02799999999</v>
      </c>
    </row>
    <row r="6" spans="1:9">
      <c r="A6" s="13" t="s">
        <v>119</v>
      </c>
      <c r="B6" s="14" t="s">
        <v>120</v>
      </c>
      <c r="C6" s="15">
        <v>71975.847450000001</v>
      </c>
      <c r="D6" s="16">
        <v>7.4922362723775102E-2</v>
      </c>
      <c r="E6" s="15">
        <v>77368.448000000004</v>
      </c>
      <c r="F6" s="16">
        <v>-3.9126130590082367E-2</v>
      </c>
      <c r="G6" s="15">
        <v>74341.320000000007</v>
      </c>
      <c r="H6" s="16">
        <v>8.66845651920089E-2</v>
      </c>
      <c r="I6" s="17">
        <v>80785.565000000002</v>
      </c>
    </row>
    <row r="7" spans="1:9">
      <c r="A7" s="13" t="s">
        <v>34</v>
      </c>
      <c r="B7" s="14" t="s">
        <v>121</v>
      </c>
      <c r="C7" s="15">
        <v>300327.18200999999</v>
      </c>
      <c r="D7" s="16">
        <v>-5.8063948435474452E-2</v>
      </c>
      <c r="E7" s="15">
        <v>282889</v>
      </c>
      <c r="F7" s="16">
        <v>1.0231504229574161E-2</v>
      </c>
      <c r="G7" s="15">
        <v>285783.38</v>
      </c>
      <c r="H7" s="16">
        <v>-8.1815622028124882E-2</v>
      </c>
      <c r="I7" s="17">
        <v>262401.83500000002</v>
      </c>
    </row>
    <row r="8" spans="1:9">
      <c r="A8" s="13" t="s">
        <v>179</v>
      </c>
      <c r="B8" s="14" t="s">
        <v>180</v>
      </c>
      <c r="C8" s="15">
        <v>249930.29418</v>
      </c>
      <c r="D8" s="16">
        <v>-0.49550004566797329</v>
      </c>
      <c r="E8" s="15">
        <v>126089.822</v>
      </c>
      <c r="F8" s="16">
        <v>0.2707428518695188</v>
      </c>
      <c r="G8" s="15">
        <v>160227.74</v>
      </c>
      <c r="H8" s="16">
        <v>3.4009367603886815</v>
      </c>
      <c r="I8" s="17">
        <v>705152.15099999995</v>
      </c>
    </row>
    <row r="9" spans="1:9">
      <c r="A9" s="13" t="s">
        <v>181</v>
      </c>
      <c r="B9" s="14" t="s">
        <v>123</v>
      </c>
      <c r="C9" s="15">
        <v>692589.27728000004</v>
      </c>
      <c r="D9" s="16">
        <v>-0.26978135297416866</v>
      </c>
      <c r="E9" s="15">
        <v>505741.60499999998</v>
      </c>
      <c r="F9" s="16">
        <v>1.7849275323116827</v>
      </c>
      <c r="G9" s="15">
        <v>1408453.7199999997</v>
      </c>
      <c r="H9" s="16">
        <v>-0.53254579497294374</v>
      </c>
      <c r="I9" s="17">
        <v>658387.61399999994</v>
      </c>
    </row>
    <row r="10" spans="1:9">
      <c r="A10" s="13" t="s">
        <v>40</v>
      </c>
      <c r="B10" s="14" t="s">
        <v>124</v>
      </c>
      <c r="C10" s="15">
        <v>4493873.1348799998</v>
      </c>
      <c r="D10" s="16">
        <v>-7.7449099775108729E-3</v>
      </c>
      <c r="E10" s="15">
        <v>4459068.4919999996</v>
      </c>
      <c r="F10" s="16">
        <v>5.4045989298520107E-2</v>
      </c>
      <c r="G10" s="15">
        <v>4700063.26</v>
      </c>
      <c r="H10" s="16">
        <v>-3.2887918193679824E-2</v>
      </c>
      <c r="I10" s="17">
        <v>4545487.9639999997</v>
      </c>
    </row>
    <row r="11" spans="1:9">
      <c r="A11" s="13" t="s">
        <v>125</v>
      </c>
      <c r="B11" s="14" t="s">
        <v>126</v>
      </c>
      <c r="C11" s="15">
        <v>1756135.8615300001</v>
      </c>
      <c r="D11" s="43">
        <v>4.4356838446503784E-3</v>
      </c>
      <c r="E11" s="15">
        <v>1763925.5249999999</v>
      </c>
      <c r="F11" s="16">
        <v>-1.0725537859654223E-3</v>
      </c>
      <c r="G11" s="15">
        <v>1762033.62</v>
      </c>
      <c r="H11" s="16">
        <v>9.2131563301272174E-2</v>
      </c>
      <c r="I11" s="17">
        <v>1924372.5319999999</v>
      </c>
    </row>
    <row r="12" spans="1:9">
      <c r="A12" s="13" t="s">
        <v>127</v>
      </c>
      <c r="B12" s="14" t="s">
        <v>128</v>
      </c>
      <c r="C12" s="15">
        <v>32700.800800000001</v>
      </c>
      <c r="D12" s="43">
        <v>7.5364918892139199E-2</v>
      </c>
      <c r="E12" s="15">
        <v>35165.294000000002</v>
      </c>
      <c r="F12" s="16">
        <v>-3.4256503016866554E-3</v>
      </c>
      <c r="G12" s="15">
        <v>35044.83</v>
      </c>
      <c r="H12" s="16">
        <v>-8.1029441432587931E-2</v>
      </c>
      <c r="I12" s="17">
        <v>32205.167000000001</v>
      </c>
    </row>
    <row r="13" spans="1:9">
      <c r="A13" s="13" t="s">
        <v>129</v>
      </c>
      <c r="B13" s="14" t="s">
        <v>130</v>
      </c>
      <c r="C13" s="15">
        <v>553617.19909999997</v>
      </c>
      <c r="D13" s="43">
        <v>0.10689795764331052</v>
      </c>
      <c r="E13" s="15">
        <v>612797.74699999997</v>
      </c>
      <c r="F13" s="43">
        <v>-2.4650477378468535E-2</v>
      </c>
      <c r="G13" s="15">
        <v>597691.99</v>
      </c>
      <c r="H13" s="43">
        <v>-0.24472892802193991</v>
      </c>
      <c r="I13" s="17">
        <v>451419.47</v>
      </c>
    </row>
    <row r="14" spans="1:9">
      <c r="A14" s="13" t="s">
        <v>131</v>
      </c>
      <c r="B14" s="14" t="s">
        <v>132</v>
      </c>
      <c r="C14" s="15">
        <v>208134.88081999999</v>
      </c>
      <c r="D14" s="43">
        <v>-0.99855862698833531</v>
      </c>
      <c r="E14" s="15">
        <v>300</v>
      </c>
      <c r="F14" s="16">
        <v>788.67053333333331</v>
      </c>
      <c r="G14" s="15">
        <v>236901.16</v>
      </c>
      <c r="H14" s="16">
        <v>-0.99873364908808382</v>
      </c>
      <c r="I14" s="17">
        <v>300</v>
      </c>
    </row>
    <row r="15" spans="1:9">
      <c r="A15" s="13" t="s">
        <v>133</v>
      </c>
      <c r="B15" s="14" t="s">
        <v>134</v>
      </c>
      <c r="C15" s="15">
        <v>0</v>
      </c>
      <c r="D15" s="43" t="s">
        <v>48</v>
      </c>
      <c r="E15" s="15">
        <v>75</v>
      </c>
      <c r="F15" s="16">
        <v>-1</v>
      </c>
      <c r="G15" s="15">
        <v>0</v>
      </c>
      <c r="H15" s="16" t="s">
        <v>48</v>
      </c>
      <c r="I15" s="17">
        <v>0</v>
      </c>
    </row>
    <row r="16" spans="1:9">
      <c r="A16" s="13" t="s">
        <v>135</v>
      </c>
      <c r="B16" s="14" t="s">
        <v>136</v>
      </c>
      <c r="C16" s="15">
        <v>4744.4349499999998</v>
      </c>
      <c r="D16" s="43">
        <v>3.7258736258993288</v>
      </c>
      <c r="E16" s="15">
        <v>22421.599999999999</v>
      </c>
      <c r="F16" s="43">
        <v>0.17603694651585983</v>
      </c>
      <c r="G16" s="15">
        <v>26368.63</v>
      </c>
      <c r="H16" s="43">
        <v>-0.1248767948884717</v>
      </c>
      <c r="I16" s="17">
        <v>23075.8</v>
      </c>
    </row>
    <row r="17" spans="1:9">
      <c r="A17" s="13" t="s">
        <v>182</v>
      </c>
      <c r="B17" s="14" t="s">
        <v>183</v>
      </c>
      <c r="C17" s="15">
        <v>0</v>
      </c>
      <c r="D17" s="16" t="s">
        <v>48</v>
      </c>
      <c r="E17" s="15">
        <v>0</v>
      </c>
      <c r="F17" s="16" t="s">
        <v>48</v>
      </c>
      <c r="G17" s="15">
        <v>0</v>
      </c>
      <c r="H17" s="16" t="s">
        <v>48</v>
      </c>
      <c r="I17" s="17">
        <v>0</v>
      </c>
    </row>
    <row r="18" spans="1:9">
      <c r="A18" s="13">
        <v>389</v>
      </c>
      <c r="B18" s="14" t="s">
        <v>138</v>
      </c>
      <c r="C18" s="15">
        <v>0</v>
      </c>
      <c r="D18" s="43" t="s">
        <v>48</v>
      </c>
      <c r="E18" s="15">
        <v>0</v>
      </c>
      <c r="F18" s="43" t="s">
        <v>48</v>
      </c>
      <c r="G18" s="15">
        <v>0</v>
      </c>
      <c r="H18" s="43" t="s">
        <v>48</v>
      </c>
      <c r="I18" s="17">
        <v>0</v>
      </c>
    </row>
    <row r="19" spans="1:9">
      <c r="A19" s="18" t="s">
        <v>58</v>
      </c>
      <c r="B19" s="19" t="s">
        <v>139</v>
      </c>
      <c r="C19" s="20">
        <v>15092.44353</v>
      </c>
      <c r="D19" s="43">
        <v>0.10013649989783988</v>
      </c>
      <c r="E19" s="20">
        <v>16603.748</v>
      </c>
      <c r="F19" s="43">
        <v>-0.21241517276701616</v>
      </c>
      <c r="G19" s="20">
        <v>13076.86</v>
      </c>
      <c r="H19" s="43">
        <v>0.19344880957661084</v>
      </c>
      <c r="I19" s="21">
        <v>15606.563</v>
      </c>
    </row>
    <row r="20" spans="1:9">
      <c r="A20" s="22" t="s">
        <v>60</v>
      </c>
      <c r="B20" s="23" t="s">
        <v>140</v>
      </c>
      <c r="C20" s="24">
        <v>8311756.4640004411</v>
      </c>
      <c r="D20" s="25">
        <v>-3.6140907195909767E-2</v>
      </c>
      <c r="E20" s="24">
        <v>8011362.0449999981</v>
      </c>
      <c r="F20" s="25">
        <v>0.1444430333444009</v>
      </c>
      <c r="G20" s="24">
        <v>9168547.4800000004</v>
      </c>
      <c r="H20" s="25">
        <v>-3.3015866980666025E-2</v>
      </c>
      <c r="I20" s="26">
        <v>8865839.9359943997</v>
      </c>
    </row>
    <row r="21" spans="1:9">
      <c r="A21" s="27" t="s">
        <v>62</v>
      </c>
      <c r="B21" s="28" t="s">
        <v>141</v>
      </c>
      <c r="C21" s="10">
        <v>5411413.0885899998</v>
      </c>
      <c r="D21" s="16">
        <v>-2.1420114615608138E-2</v>
      </c>
      <c r="E21" s="10">
        <v>5295500</v>
      </c>
      <c r="F21" s="16">
        <v>8.5601227268435401E-2</v>
      </c>
      <c r="G21" s="10">
        <v>5748801.2989999996</v>
      </c>
      <c r="H21" s="16">
        <v>-2.5369733865278864E-2</v>
      </c>
      <c r="I21" s="12">
        <v>5602955.7400000002</v>
      </c>
    </row>
    <row r="22" spans="1:9">
      <c r="A22" s="8" t="s">
        <v>64</v>
      </c>
      <c r="B22" s="29" t="s">
        <v>142</v>
      </c>
      <c r="C22" s="15">
        <v>226186.02476</v>
      </c>
      <c r="D22" s="16">
        <v>2.6127366826799225E-2</v>
      </c>
      <c r="E22" s="15">
        <v>232095.67</v>
      </c>
      <c r="F22" s="16">
        <v>1.5545313706196977E-2</v>
      </c>
      <c r="G22" s="15">
        <v>235703.66999999998</v>
      </c>
      <c r="H22" s="16">
        <v>-3.1657122691385489E-3</v>
      </c>
      <c r="I22" s="17">
        <v>234957.5</v>
      </c>
    </row>
    <row r="23" spans="1:9">
      <c r="A23" s="8" t="s">
        <v>66</v>
      </c>
      <c r="B23" s="29" t="s">
        <v>143</v>
      </c>
      <c r="C23" s="15">
        <v>662501.23063999997</v>
      </c>
      <c r="D23" s="16">
        <v>-0.29685346916263655</v>
      </c>
      <c r="E23" s="15">
        <v>465835.44199999998</v>
      </c>
      <c r="F23" s="16">
        <v>8.8167847048443437E-2</v>
      </c>
      <c r="G23" s="15">
        <v>506907.15</v>
      </c>
      <c r="H23" s="16">
        <v>-2.2486662498250463E-2</v>
      </c>
      <c r="I23" s="17">
        <v>495508.5</v>
      </c>
    </row>
    <row r="24" spans="1:9">
      <c r="A24" s="8" t="s">
        <v>184</v>
      </c>
      <c r="B24" s="29" t="s">
        <v>185</v>
      </c>
      <c r="C24" s="15">
        <v>865361.36644999997</v>
      </c>
      <c r="D24" s="16">
        <v>-0.25918153865603505</v>
      </c>
      <c r="E24" s="15">
        <v>641075.67599999998</v>
      </c>
      <c r="F24" s="16">
        <v>0.44870316371198588</v>
      </c>
      <c r="G24" s="15">
        <v>928728.36</v>
      </c>
      <c r="H24" s="16">
        <v>0.52723401275266324</v>
      </c>
      <c r="I24" s="17">
        <v>1418385.54</v>
      </c>
    </row>
    <row r="25" spans="1:9">
      <c r="A25" s="8" t="s">
        <v>70</v>
      </c>
      <c r="B25" s="29" t="s">
        <v>124</v>
      </c>
      <c r="C25" s="15">
        <v>1324301.9368199999</v>
      </c>
      <c r="D25" s="16">
        <v>-0.23656146994111138</v>
      </c>
      <c r="E25" s="15">
        <v>1011023.124</v>
      </c>
      <c r="F25" s="16">
        <v>0.26163641535067395</v>
      </c>
      <c r="G25" s="15">
        <v>1275543.5899999999</v>
      </c>
      <c r="H25" s="16">
        <v>-0.16362239568778666</v>
      </c>
      <c r="I25" s="17">
        <v>1066836.0919999999</v>
      </c>
    </row>
    <row r="26" spans="1:9">
      <c r="A26" s="59" t="s">
        <v>72</v>
      </c>
      <c r="B26" s="29" t="s">
        <v>145</v>
      </c>
      <c r="C26" s="15">
        <v>0</v>
      </c>
      <c r="D26" s="16" t="s">
        <v>48</v>
      </c>
      <c r="E26" s="15">
        <v>0</v>
      </c>
      <c r="F26" s="16" t="s">
        <v>48</v>
      </c>
      <c r="G26" s="15">
        <v>0</v>
      </c>
      <c r="H26" s="16" t="s">
        <v>48</v>
      </c>
      <c r="I26" s="17">
        <v>0</v>
      </c>
    </row>
    <row r="27" spans="1:9">
      <c r="A27" s="195">
        <v>489</v>
      </c>
      <c r="B27" s="29" t="s">
        <v>175</v>
      </c>
      <c r="C27" s="15">
        <v>0</v>
      </c>
      <c r="D27" s="16" t="s">
        <v>48</v>
      </c>
      <c r="E27" s="15">
        <v>0</v>
      </c>
      <c r="F27" s="16" t="s">
        <v>48</v>
      </c>
      <c r="G27" s="15">
        <v>0</v>
      </c>
      <c r="H27" s="16" t="s">
        <v>48</v>
      </c>
      <c r="I27" s="17">
        <v>0</v>
      </c>
    </row>
    <row r="28" spans="1:9">
      <c r="A28" s="30" t="s">
        <v>75</v>
      </c>
      <c r="B28" s="31" t="s">
        <v>139</v>
      </c>
      <c r="C28" s="20">
        <v>15092.44353</v>
      </c>
      <c r="D28" s="16">
        <v>0.10013649989783988</v>
      </c>
      <c r="E28" s="20">
        <v>16603.748</v>
      </c>
      <c r="F28" s="16">
        <v>-0.21240915003046304</v>
      </c>
      <c r="G28" s="20">
        <v>13076.96</v>
      </c>
      <c r="H28" s="16">
        <v>0.19343945381801278</v>
      </c>
      <c r="I28" s="21">
        <v>15606.56</v>
      </c>
    </row>
    <row r="29" spans="1:9">
      <c r="A29" s="51" t="s">
        <v>77</v>
      </c>
      <c r="B29" s="52" t="s">
        <v>146</v>
      </c>
      <c r="C29" s="24">
        <v>8504856.0907899998</v>
      </c>
      <c r="D29" s="53">
        <v>-9.9087206390545954E-2</v>
      </c>
      <c r="E29" s="24">
        <v>7662133.6599999992</v>
      </c>
      <c r="F29" s="53">
        <v>0.13659737815119266</v>
      </c>
      <c r="G29" s="24">
        <v>8708761.029000001</v>
      </c>
      <c r="H29" s="54">
        <v>1.4409501257655761E-2</v>
      </c>
      <c r="I29" s="26">
        <v>8834249.932</v>
      </c>
    </row>
    <row r="30" spans="1:9">
      <c r="A30" s="50" t="s">
        <v>79</v>
      </c>
      <c r="B30" s="32" t="s">
        <v>147</v>
      </c>
      <c r="C30" s="33">
        <v>193099.62678955868</v>
      </c>
      <c r="D30" s="136">
        <v>0</v>
      </c>
      <c r="E30" s="33">
        <v>-349228.38499999885</v>
      </c>
      <c r="F30" s="136">
        <v>0</v>
      </c>
      <c r="G30" s="34">
        <v>-459786.45099999942</v>
      </c>
      <c r="H30" s="137">
        <v>0</v>
      </c>
      <c r="I30" s="35">
        <v>-31590.003994399682</v>
      </c>
    </row>
    <row r="31" spans="1:9">
      <c r="A31" s="140">
        <v>0</v>
      </c>
      <c r="B31" s="28" t="s">
        <v>148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149</v>
      </c>
      <c r="C32" s="15">
        <v>559117.66457999998</v>
      </c>
      <c r="D32" s="16">
        <v>0.14721878887842321</v>
      </c>
      <c r="E32" s="15">
        <v>641430.29</v>
      </c>
      <c r="F32" s="16">
        <v>-0.21070355127756751</v>
      </c>
      <c r="G32" s="15">
        <v>506278.65</v>
      </c>
      <c r="H32" s="16">
        <v>-4.0119211031316906E-3</v>
      </c>
      <c r="I32" s="17">
        <v>504247.5</v>
      </c>
    </row>
    <row r="33" spans="1:9">
      <c r="A33" s="59" t="s">
        <v>84</v>
      </c>
      <c r="B33" s="29" t="s">
        <v>150</v>
      </c>
      <c r="C33" s="15">
        <v>33104.772879999997</v>
      </c>
      <c r="D33" s="16">
        <v>3.7756557815115874</v>
      </c>
      <c r="E33" s="15">
        <v>158097</v>
      </c>
      <c r="F33" s="16">
        <v>-0.42418546841496041</v>
      </c>
      <c r="G33" s="15">
        <v>91034.55</v>
      </c>
      <c r="H33" s="16">
        <v>0.37486262084010957</v>
      </c>
      <c r="I33" s="17">
        <v>125160</v>
      </c>
    </row>
    <row r="34" spans="1:9">
      <c r="A34" s="8" t="s">
        <v>86</v>
      </c>
      <c r="B34" s="29" t="s">
        <v>151</v>
      </c>
      <c r="C34" s="15">
        <v>133718.64248000001</v>
      </c>
      <c r="D34" s="16">
        <v>0.30233635916582619</v>
      </c>
      <c r="E34" s="15">
        <v>174146.65</v>
      </c>
      <c r="F34" s="16">
        <v>-0.30551182006659333</v>
      </c>
      <c r="G34" s="15">
        <v>120942.79</v>
      </c>
      <c r="H34" s="16">
        <v>-0.11398604249166068</v>
      </c>
      <c r="I34" s="17">
        <v>107157</v>
      </c>
    </row>
    <row r="35" spans="1:9">
      <c r="A35" s="51" t="s">
        <v>88</v>
      </c>
      <c r="B35" s="52" t="s">
        <v>152</v>
      </c>
      <c r="C35" s="24">
        <v>725941.07993999997</v>
      </c>
      <c r="D35" s="54">
        <v>0.34125753026743655</v>
      </c>
      <c r="E35" s="24">
        <v>973673.94000000006</v>
      </c>
      <c r="F35" s="54">
        <v>-0.26232390485874557</v>
      </c>
      <c r="G35" s="24">
        <v>718255.99000000011</v>
      </c>
      <c r="H35" s="54">
        <v>2.5490229465402567E-2</v>
      </c>
      <c r="I35" s="26">
        <v>736564.5</v>
      </c>
    </row>
    <row r="36" spans="1:9">
      <c r="A36" s="8" t="s">
        <v>90</v>
      </c>
      <c r="B36" s="29" t="s">
        <v>153</v>
      </c>
      <c r="C36" s="15">
        <v>6646.1415100000004</v>
      </c>
      <c r="D36" s="16">
        <v>0.50463242242941642</v>
      </c>
      <c r="E36" s="15">
        <v>10000</v>
      </c>
      <c r="F36" s="16">
        <v>-0.38949099999999998</v>
      </c>
      <c r="G36" s="15">
        <v>6105.09</v>
      </c>
      <c r="H36" s="16">
        <v>2.2759549818266396</v>
      </c>
      <c r="I36" s="17">
        <v>20000</v>
      </c>
    </row>
    <row r="37" spans="1:9">
      <c r="A37" s="8" t="s">
        <v>92</v>
      </c>
      <c r="B37" s="29" t="s">
        <v>154</v>
      </c>
      <c r="C37" s="15">
        <v>216740.63363</v>
      </c>
      <c r="D37" s="16">
        <v>-0.23614735166537582</v>
      </c>
      <c r="E37" s="15">
        <v>165557.90700000001</v>
      </c>
      <c r="F37" s="16">
        <v>-0.20417084035738631</v>
      </c>
      <c r="G37" s="15">
        <v>131755.81</v>
      </c>
      <c r="H37" s="16">
        <v>0.18462707640748444</v>
      </c>
      <c r="I37" s="17">
        <v>156081.5</v>
      </c>
    </row>
    <row r="38" spans="1:9">
      <c r="A38" s="51" t="s">
        <v>94</v>
      </c>
      <c r="B38" s="52" t="s">
        <v>155</v>
      </c>
      <c r="C38" s="24">
        <v>223386.77513999998</v>
      </c>
      <c r="D38" s="54">
        <v>-0.21410787684286536</v>
      </c>
      <c r="E38" s="24">
        <v>175557.90700000001</v>
      </c>
      <c r="F38" s="54">
        <v>-0.21472691059138688</v>
      </c>
      <c r="G38" s="24">
        <v>137860.9</v>
      </c>
      <c r="H38" s="54">
        <v>0.27724031977159591</v>
      </c>
      <c r="I38" s="26">
        <v>176081.5</v>
      </c>
    </row>
    <row r="39" spans="1:9">
      <c r="A39" s="36" t="s">
        <v>96</v>
      </c>
      <c r="B39" s="37" t="s">
        <v>4</v>
      </c>
      <c r="C39" s="38">
        <v>502554.30479999998</v>
      </c>
      <c r="D39" s="39">
        <v>0.58811898610165891</v>
      </c>
      <c r="E39" s="38">
        <v>798116.03300000005</v>
      </c>
      <c r="F39" s="39">
        <v>-0.27279359641682571</v>
      </c>
      <c r="G39" s="38">
        <v>580395.09000000008</v>
      </c>
      <c r="H39" s="39">
        <v>-3.4307819523421677E-2</v>
      </c>
      <c r="I39" s="40">
        <v>560483</v>
      </c>
    </row>
    <row r="40" spans="1:9">
      <c r="A40" s="131" t="s">
        <v>0</v>
      </c>
      <c r="B40" s="29" t="s">
        <v>156</v>
      </c>
      <c r="C40" s="15">
        <v>885688.90406955872</v>
      </c>
      <c r="D40" s="16">
        <v>-0.82328646178036669</v>
      </c>
      <c r="E40" s="15">
        <v>156513.22000000114</v>
      </c>
      <c r="F40" s="16">
        <v>5.0612596750612724</v>
      </c>
      <c r="G40" s="15">
        <v>948667.26900000032</v>
      </c>
      <c r="H40" s="16">
        <v>-0.33928614332155266</v>
      </c>
      <c r="I40" s="17">
        <v>626797.61000560026</v>
      </c>
    </row>
    <row r="41" spans="1:9">
      <c r="A41" s="131" t="s">
        <v>0</v>
      </c>
      <c r="B41" s="29" t="s">
        <v>157</v>
      </c>
      <c r="C41" s="15">
        <v>383134.59926955873</v>
      </c>
      <c r="D41" s="16">
        <v>-2.6746146503688428</v>
      </c>
      <c r="E41" s="15">
        <v>-641602.81299999892</v>
      </c>
      <c r="F41" s="16">
        <v>-1.5739877873633963</v>
      </c>
      <c r="G41" s="15">
        <v>368272.17900000024</v>
      </c>
      <c r="H41" s="16">
        <v>-0.81993043790147335</v>
      </c>
      <c r="I41" s="17">
        <v>66314.610005600262</v>
      </c>
    </row>
    <row r="42" spans="1:9">
      <c r="A42" s="141" t="s">
        <v>0</v>
      </c>
      <c r="B42" s="31" t="s">
        <v>158</v>
      </c>
      <c r="C42" s="20">
        <v>8080085.5289504416</v>
      </c>
      <c r="D42" s="129">
        <v>3.1746604677695175E-2</v>
      </c>
      <c r="E42" s="20">
        <v>8336600.8099999968</v>
      </c>
      <c r="F42" s="129">
        <v>-3.7851950356246498E-3</v>
      </c>
      <c r="G42" s="20">
        <v>8305045.1500000004</v>
      </c>
      <c r="H42" s="129">
        <v>-9.8478744580457016E-3</v>
      </c>
      <c r="I42" s="21">
        <v>8223258.107994399</v>
      </c>
    </row>
    <row r="43" spans="1:9">
      <c r="A43" s="141" t="s">
        <v>0</v>
      </c>
      <c r="B43" s="31" t="s">
        <v>6</v>
      </c>
      <c r="C43" s="66">
        <v>1.5277764406186043</v>
      </c>
      <c r="D43" s="142">
        <v>0</v>
      </c>
      <c r="E43" s="41">
        <v>0.34104961975258485</v>
      </c>
      <c r="F43" s="142">
        <v>0</v>
      </c>
      <c r="G43" s="41">
        <v>1.5127310932694067</v>
      </c>
      <c r="H43" s="142">
        <v>0</v>
      </c>
      <c r="I43" s="42">
        <v>1.0900323189694865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/>
  </sheetViews>
  <sheetFormatPr baseColWidth="10" defaultRowHeight="13"/>
  <cols>
    <col min="1" max="1" width="10.5" customWidth="1"/>
    <col min="2" max="2" width="43.83203125" customWidth="1"/>
    <col min="4" max="4" width="7.6640625" customWidth="1"/>
    <col min="6" max="6" width="7.33203125" customWidth="1"/>
    <col min="8" max="8" width="6.83203125" customWidth="1"/>
  </cols>
  <sheetData>
    <row r="1" spans="1:9">
      <c r="A1" s="5" t="s">
        <v>20</v>
      </c>
      <c r="B1" s="6" t="s">
        <v>186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22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116</v>
      </c>
      <c r="C3" s="133">
        <v>0</v>
      </c>
      <c r="D3" s="132">
        <v>0</v>
      </c>
      <c r="E3" s="133" t="s">
        <v>187</v>
      </c>
      <c r="F3" s="134">
        <v>0</v>
      </c>
      <c r="G3" s="135" t="s">
        <v>187</v>
      </c>
      <c r="H3" s="134">
        <v>0</v>
      </c>
      <c r="I3" s="115" t="s">
        <v>187</v>
      </c>
    </row>
    <row r="4" spans="1:9">
      <c r="A4" s="5" t="s">
        <v>28</v>
      </c>
      <c r="B4" s="9" t="s">
        <v>117</v>
      </c>
      <c r="C4" s="10">
        <v>240462.74705999999</v>
      </c>
      <c r="D4" s="11"/>
      <c r="E4" s="10"/>
      <c r="F4" s="11"/>
      <c r="G4" s="10"/>
      <c r="H4" s="11"/>
      <c r="I4" s="12"/>
    </row>
    <row r="5" spans="1:9">
      <c r="A5" s="13" t="s">
        <v>30</v>
      </c>
      <c r="B5" s="14" t="s">
        <v>118</v>
      </c>
      <c r="C5" s="15">
        <v>56298.332240000003</v>
      </c>
      <c r="D5" s="16"/>
      <c r="E5" s="15"/>
      <c r="F5" s="16"/>
      <c r="G5" s="15"/>
      <c r="H5" s="16"/>
      <c r="I5" s="17"/>
    </row>
    <row r="6" spans="1:9">
      <c r="A6" s="13" t="s">
        <v>119</v>
      </c>
      <c r="B6" s="14" t="s">
        <v>120</v>
      </c>
      <c r="C6" s="15">
        <v>6934.8788000000004</v>
      </c>
      <c r="D6" s="16"/>
      <c r="E6" s="15"/>
      <c r="F6" s="16"/>
      <c r="G6" s="15"/>
      <c r="H6" s="16"/>
      <c r="I6" s="17"/>
    </row>
    <row r="7" spans="1:9">
      <c r="A7" s="13" t="s">
        <v>34</v>
      </c>
      <c r="B7" s="14" t="s">
        <v>121</v>
      </c>
      <c r="C7" s="15">
        <v>8162.1533600000002</v>
      </c>
      <c r="D7" s="16"/>
      <c r="E7" s="15"/>
      <c r="F7" s="16"/>
      <c r="G7" s="15"/>
      <c r="H7" s="16"/>
      <c r="I7" s="17"/>
    </row>
    <row r="8" spans="1:9">
      <c r="A8" s="13" t="s">
        <v>36</v>
      </c>
      <c r="B8" s="14" t="s">
        <v>122</v>
      </c>
      <c r="C8" s="15">
        <v>4609.6114600000001</v>
      </c>
      <c r="D8" s="16"/>
      <c r="E8" s="15"/>
      <c r="F8" s="16"/>
      <c r="G8" s="15"/>
      <c r="H8" s="16"/>
      <c r="I8" s="17"/>
    </row>
    <row r="9" spans="1:9">
      <c r="A9" s="13" t="s">
        <v>38</v>
      </c>
      <c r="B9" s="14" t="s">
        <v>123</v>
      </c>
      <c r="C9" s="15">
        <v>38712.552589999999</v>
      </c>
      <c r="D9" s="16"/>
      <c r="E9" s="15"/>
      <c r="F9" s="16"/>
      <c r="G9" s="15"/>
      <c r="H9" s="16"/>
      <c r="I9" s="17"/>
    </row>
    <row r="10" spans="1:9">
      <c r="A10" s="13" t="s">
        <v>40</v>
      </c>
      <c r="B10" s="14" t="s">
        <v>124</v>
      </c>
      <c r="C10" s="15">
        <v>467128.09274999995</v>
      </c>
      <c r="D10" s="16"/>
      <c r="E10" s="15"/>
      <c r="F10" s="16"/>
      <c r="G10" s="15"/>
      <c r="H10" s="16"/>
      <c r="I10" s="17"/>
    </row>
    <row r="11" spans="1:9">
      <c r="A11" s="13" t="s">
        <v>125</v>
      </c>
      <c r="B11" s="14" t="s">
        <v>126</v>
      </c>
      <c r="C11" s="15">
        <v>3645.4562000000001</v>
      </c>
      <c r="D11" s="43"/>
      <c r="E11" s="15"/>
      <c r="F11" s="16"/>
      <c r="G11" s="15"/>
      <c r="H11" s="16"/>
      <c r="I11" s="17"/>
    </row>
    <row r="12" spans="1:9">
      <c r="A12" s="13" t="s">
        <v>127</v>
      </c>
      <c r="B12" s="14" t="s">
        <v>128</v>
      </c>
      <c r="C12" s="15">
        <v>129470.55305</v>
      </c>
      <c r="D12" s="43"/>
      <c r="E12" s="15"/>
      <c r="F12" s="16"/>
      <c r="G12" s="15"/>
      <c r="H12" s="16"/>
      <c r="I12" s="17"/>
    </row>
    <row r="13" spans="1:9">
      <c r="A13" s="13" t="s">
        <v>129</v>
      </c>
      <c r="B13" s="14" t="s">
        <v>130</v>
      </c>
      <c r="C13" s="15">
        <v>23617.612249999998</v>
      </c>
      <c r="D13" s="43"/>
      <c r="E13" s="15"/>
      <c r="F13" s="43"/>
      <c r="G13" s="15"/>
      <c r="H13" s="43"/>
      <c r="I13" s="17"/>
    </row>
    <row r="14" spans="1:9">
      <c r="A14" s="13" t="s">
        <v>131</v>
      </c>
      <c r="B14" s="14" t="s">
        <v>132</v>
      </c>
      <c r="C14" s="15">
        <v>0</v>
      </c>
      <c r="D14" s="43"/>
      <c r="E14" s="15"/>
      <c r="F14" s="16"/>
      <c r="G14" s="15"/>
      <c r="H14" s="16"/>
      <c r="I14" s="17"/>
    </row>
    <row r="15" spans="1:9">
      <c r="A15" s="13" t="s">
        <v>133</v>
      </c>
      <c r="B15" s="14" t="s">
        <v>134</v>
      </c>
      <c r="C15" s="15">
        <v>1004.6534</v>
      </c>
      <c r="D15" s="43"/>
      <c r="E15" s="15"/>
      <c r="F15" s="16"/>
      <c r="G15" s="15"/>
      <c r="H15" s="16"/>
      <c r="I15" s="17"/>
    </row>
    <row r="16" spans="1:9">
      <c r="A16" s="13" t="s">
        <v>135</v>
      </c>
      <c r="B16" s="14" t="s">
        <v>136</v>
      </c>
      <c r="C16" s="15">
        <v>101284.68955</v>
      </c>
      <c r="D16" s="43"/>
      <c r="E16" s="15"/>
      <c r="F16" s="43"/>
      <c r="G16" s="15"/>
      <c r="H16" s="43"/>
      <c r="I16" s="17"/>
    </row>
    <row r="17" spans="1:9">
      <c r="A17" s="13" t="s">
        <v>55</v>
      </c>
      <c r="B17" s="14" t="s">
        <v>137</v>
      </c>
      <c r="C17" s="15">
        <v>842.20659999999998</v>
      </c>
      <c r="D17" s="16"/>
      <c r="E17" s="15"/>
      <c r="F17" s="16"/>
      <c r="G17" s="15"/>
      <c r="H17" s="16"/>
      <c r="I17" s="17"/>
    </row>
    <row r="18" spans="1:9">
      <c r="A18" s="13">
        <v>389</v>
      </c>
      <c r="B18" s="14" t="s">
        <v>138</v>
      </c>
      <c r="C18" s="15">
        <v>0</v>
      </c>
      <c r="D18" s="43"/>
      <c r="E18" s="15"/>
      <c r="F18" s="43"/>
      <c r="G18" s="15"/>
      <c r="H18" s="43"/>
      <c r="I18" s="17"/>
    </row>
    <row r="19" spans="1:9">
      <c r="A19" s="18" t="s">
        <v>58</v>
      </c>
      <c r="B19" s="19" t="s">
        <v>139</v>
      </c>
      <c r="C19" s="20">
        <v>455.87470000000002</v>
      </c>
      <c r="D19" s="43"/>
      <c r="E19" s="20"/>
      <c r="F19" s="43"/>
      <c r="G19" s="20"/>
      <c r="H19" s="43"/>
      <c r="I19" s="21"/>
    </row>
    <row r="20" spans="1:9">
      <c r="A20" s="22" t="s">
        <v>60</v>
      </c>
      <c r="B20" s="23" t="s">
        <v>140</v>
      </c>
      <c r="C20" s="24">
        <v>816671.57075999992</v>
      </c>
      <c r="D20" s="25"/>
      <c r="E20" s="24"/>
      <c r="F20" s="25"/>
      <c r="G20" s="24"/>
      <c r="H20" s="25"/>
      <c r="I20" s="26"/>
    </row>
    <row r="21" spans="1:9">
      <c r="A21" s="27" t="s">
        <v>62</v>
      </c>
      <c r="B21" s="28" t="s">
        <v>141</v>
      </c>
      <c r="C21" s="10">
        <v>260389.03154999999</v>
      </c>
      <c r="D21" s="16"/>
      <c r="E21" s="10"/>
      <c r="F21" s="16"/>
      <c r="G21" s="10"/>
      <c r="H21" s="16"/>
      <c r="I21" s="12"/>
    </row>
    <row r="22" spans="1:9">
      <c r="A22" s="8" t="s">
        <v>64</v>
      </c>
      <c r="B22" s="29" t="s">
        <v>142</v>
      </c>
      <c r="C22" s="15">
        <v>29263.8135</v>
      </c>
      <c r="D22" s="16"/>
      <c r="E22" s="15"/>
      <c r="F22" s="16"/>
      <c r="G22" s="15"/>
      <c r="H22" s="16"/>
      <c r="I22" s="17"/>
    </row>
    <row r="23" spans="1:9">
      <c r="A23" s="8" t="s">
        <v>66</v>
      </c>
      <c r="B23" s="29" t="s">
        <v>143</v>
      </c>
      <c r="C23" s="15">
        <v>25186.87054</v>
      </c>
      <c r="D23" s="16"/>
      <c r="E23" s="15"/>
      <c r="F23" s="16"/>
      <c r="G23" s="15"/>
      <c r="H23" s="16"/>
      <c r="I23" s="17"/>
    </row>
    <row r="24" spans="1:9">
      <c r="A24" s="8" t="s">
        <v>68</v>
      </c>
      <c r="B24" s="29" t="s">
        <v>144</v>
      </c>
      <c r="C24" s="15">
        <v>36782.740740000001</v>
      </c>
      <c r="D24" s="16"/>
      <c r="E24" s="15"/>
      <c r="F24" s="16"/>
      <c r="G24" s="15"/>
      <c r="H24" s="16"/>
      <c r="I24" s="17"/>
    </row>
    <row r="25" spans="1:9">
      <c r="A25" s="8" t="s">
        <v>70</v>
      </c>
      <c r="B25" s="29" t="s">
        <v>124</v>
      </c>
      <c r="C25" s="15">
        <v>460732.46671999997</v>
      </c>
      <c r="D25" s="16"/>
      <c r="E25" s="15"/>
      <c r="F25" s="16"/>
      <c r="G25" s="15"/>
      <c r="H25" s="16"/>
      <c r="I25" s="17"/>
    </row>
    <row r="26" spans="1:9">
      <c r="A26" s="59" t="s">
        <v>72</v>
      </c>
      <c r="B26" s="29" t="s">
        <v>145</v>
      </c>
      <c r="C26" s="15">
        <v>4645.3853200000003</v>
      </c>
      <c r="D26" s="16"/>
      <c r="E26" s="15"/>
      <c r="F26" s="16"/>
      <c r="G26" s="15"/>
      <c r="H26" s="16"/>
      <c r="I26" s="17"/>
    </row>
    <row r="27" spans="1:9">
      <c r="A27" s="195">
        <v>489</v>
      </c>
      <c r="B27" s="29" t="s">
        <v>175</v>
      </c>
      <c r="C27" s="15">
        <v>0</v>
      </c>
      <c r="D27" s="16"/>
      <c r="E27" s="15"/>
      <c r="F27" s="16"/>
      <c r="G27" s="15"/>
      <c r="H27" s="16"/>
      <c r="I27" s="17"/>
    </row>
    <row r="28" spans="1:9">
      <c r="A28" s="30" t="s">
        <v>75</v>
      </c>
      <c r="B28" s="31" t="s">
        <v>139</v>
      </c>
      <c r="C28" s="20">
        <v>455.87470000000002</v>
      </c>
      <c r="D28" s="16"/>
      <c r="E28" s="20"/>
      <c r="F28" s="16"/>
      <c r="G28" s="20"/>
      <c r="H28" s="16"/>
      <c r="I28" s="21"/>
    </row>
    <row r="29" spans="1:9">
      <c r="A29" s="51" t="s">
        <v>77</v>
      </c>
      <c r="B29" s="52" t="s">
        <v>146</v>
      </c>
      <c r="C29" s="24">
        <v>817456.18306999991</v>
      </c>
      <c r="D29" s="53"/>
      <c r="E29" s="24"/>
      <c r="F29" s="53"/>
      <c r="G29" s="24"/>
      <c r="H29" s="54"/>
      <c r="I29" s="26"/>
    </row>
    <row r="30" spans="1:9">
      <c r="A30" s="50" t="s">
        <v>79</v>
      </c>
      <c r="B30" s="32" t="s">
        <v>147</v>
      </c>
      <c r="C30" s="33">
        <v>784.6123099999968</v>
      </c>
      <c r="D30" s="136"/>
      <c r="E30" s="33"/>
      <c r="F30" s="136"/>
      <c r="G30" s="34"/>
      <c r="H30" s="137"/>
      <c r="I30" s="35"/>
    </row>
    <row r="31" spans="1:9">
      <c r="A31" s="140">
        <v>0</v>
      </c>
      <c r="B31" s="28" t="s">
        <v>148</v>
      </c>
      <c r="C31" s="138">
        <v>0</v>
      </c>
      <c r="D31" s="143"/>
      <c r="E31" s="138"/>
      <c r="F31" s="143"/>
      <c r="G31" s="138"/>
      <c r="H31" s="138"/>
      <c r="I31" s="139"/>
    </row>
    <row r="32" spans="1:9">
      <c r="A32" s="59" t="s">
        <v>82</v>
      </c>
      <c r="B32" s="29" t="s">
        <v>149</v>
      </c>
      <c r="C32" s="15">
        <v>38171.574379999998</v>
      </c>
      <c r="D32" s="16"/>
      <c r="E32" s="15"/>
      <c r="F32" s="16"/>
      <c r="G32" s="15"/>
      <c r="H32" s="16"/>
      <c r="I32" s="17"/>
    </row>
    <row r="33" spans="1:9">
      <c r="A33" s="59" t="s">
        <v>84</v>
      </c>
      <c r="B33" s="29" t="s">
        <v>150</v>
      </c>
      <c r="C33" s="15">
        <v>1060.575</v>
      </c>
      <c r="D33" s="16"/>
      <c r="E33" s="15"/>
      <c r="F33" s="16"/>
      <c r="G33" s="15"/>
      <c r="H33" s="16"/>
      <c r="I33" s="17"/>
    </row>
    <row r="34" spans="1:9">
      <c r="A34" s="8" t="s">
        <v>86</v>
      </c>
      <c r="B34" s="29" t="s">
        <v>151</v>
      </c>
      <c r="C34" s="15">
        <v>25689.863249999999</v>
      </c>
      <c r="D34" s="16"/>
      <c r="E34" s="15"/>
      <c r="F34" s="16"/>
      <c r="G34" s="15"/>
      <c r="H34" s="16"/>
      <c r="I34" s="17"/>
    </row>
    <row r="35" spans="1:9">
      <c r="A35" s="51" t="s">
        <v>88</v>
      </c>
      <c r="B35" s="52" t="s">
        <v>152</v>
      </c>
      <c r="C35" s="24">
        <v>64922.012629999997</v>
      </c>
      <c r="D35" s="54"/>
      <c r="E35" s="24"/>
      <c r="F35" s="54"/>
      <c r="G35" s="24"/>
      <c r="H35" s="54"/>
      <c r="I35" s="26"/>
    </row>
    <row r="36" spans="1:9">
      <c r="A36" s="8" t="s">
        <v>90</v>
      </c>
      <c r="B36" s="29" t="s">
        <v>153</v>
      </c>
      <c r="C36" s="15">
        <v>0</v>
      </c>
      <c r="D36" s="16"/>
      <c r="E36" s="15"/>
      <c r="F36" s="16"/>
      <c r="G36" s="15"/>
      <c r="H36" s="16"/>
      <c r="I36" s="17"/>
    </row>
    <row r="37" spans="1:9">
      <c r="A37" s="8" t="s">
        <v>92</v>
      </c>
      <c r="B37" s="29" t="s">
        <v>154</v>
      </c>
      <c r="C37" s="15">
        <v>18399.007799999999</v>
      </c>
      <c r="D37" s="16"/>
      <c r="E37" s="15"/>
      <c r="F37" s="16"/>
      <c r="G37" s="15"/>
      <c r="H37" s="16"/>
      <c r="I37" s="17"/>
    </row>
    <row r="38" spans="1:9">
      <c r="A38" s="51" t="s">
        <v>94</v>
      </c>
      <c r="B38" s="52" t="s">
        <v>155</v>
      </c>
      <c r="C38" s="24">
        <v>18399.007799999999</v>
      </c>
      <c r="D38" s="54"/>
      <c r="E38" s="24"/>
      <c r="F38" s="54"/>
      <c r="G38" s="24"/>
      <c r="H38" s="54"/>
      <c r="I38" s="26"/>
    </row>
    <row r="39" spans="1:9">
      <c r="A39" s="36" t="s">
        <v>96</v>
      </c>
      <c r="B39" s="37" t="s">
        <v>4</v>
      </c>
      <c r="C39" s="38">
        <v>46523.004829999998</v>
      </c>
      <c r="D39" s="39"/>
      <c r="E39" s="38"/>
      <c r="F39" s="39"/>
      <c r="G39" s="38"/>
      <c r="H39" s="39"/>
      <c r="I39" s="40"/>
    </row>
    <row r="40" spans="1:9">
      <c r="A40" s="131" t="s">
        <v>0</v>
      </c>
      <c r="B40" s="29" t="s">
        <v>156</v>
      </c>
      <c r="C40" s="15">
        <v>39497.164899999996</v>
      </c>
      <c r="D40" s="16"/>
      <c r="E40" s="15"/>
      <c r="F40" s="16"/>
      <c r="G40" s="15"/>
      <c r="H40" s="16"/>
      <c r="I40" s="17"/>
    </row>
    <row r="41" spans="1:9">
      <c r="A41" s="131" t="s">
        <v>0</v>
      </c>
      <c r="B41" s="29" t="s">
        <v>157</v>
      </c>
      <c r="C41" s="15">
        <v>-7025.8399300000019</v>
      </c>
      <c r="D41" s="16"/>
      <c r="E41" s="15"/>
      <c r="F41" s="16"/>
      <c r="G41" s="15"/>
      <c r="H41" s="16"/>
      <c r="I41" s="17"/>
    </row>
    <row r="42" spans="1:9">
      <c r="A42" s="141" t="s">
        <v>0</v>
      </c>
      <c r="B42" s="31" t="s">
        <v>158</v>
      </c>
      <c r="C42" s="20">
        <v>836973.33803999983</v>
      </c>
      <c r="D42" s="129"/>
      <c r="E42" s="20"/>
      <c r="F42" s="129"/>
      <c r="G42" s="20"/>
      <c r="H42" s="129"/>
      <c r="I42" s="21"/>
    </row>
    <row r="43" spans="1:9">
      <c r="A43" s="141" t="s">
        <v>0</v>
      </c>
      <c r="B43" s="31" t="s">
        <v>6</v>
      </c>
      <c r="C43" s="66">
        <v>0.84898138123981526</v>
      </c>
      <c r="D43" s="142"/>
      <c r="E43" s="41"/>
      <c r="F43" s="142"/>
      <c r="G43" s="41"/>
      <c r="H43" s="142"/>
      <c r="I43" s="4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C186"/>
  <sheetViews>
    <sheetView zoomScale="115" zoomScaleNormal="115" workbookViewId="0"/>
  </sheetViews>
  <sheetFormatPr baseColWidth="10" defaultColWidth="11.5" defaultRowHeight="13"/>
  <cols>
    <col min="1" max="1" width="16.6640625" style="252" customWidth="1"/>
    <col min="2" max="2" width="3.6640625" style="252" customWidth="1"/>
    <col min="3" max="3" width="39.6640625" style="252" customWidth="1"/>
    <col min="4" max="4" width="12.6640625" style="252" customWidth="1"/>
    <col min="5" max="5" width="11.5" style="252"/>
    <col min="6" max="6" width="12.6640625" style="252" customWidth="1"/>
    <col min="7" max="16384" width="11.5" style="252"/>
  </cols>
  <sheetData>
    <row r="1" spans="1:55" s="243" customFormat="1" ht="18" customHeight="1">
      <c r="A1" s="476" t="s">
        <v>220</v>
      </c>
      <c r="B1" s="477" t="s">
        <v>457</v>
      </c>
      <c r="C1" s="477" t="s">
        <v>186</v>
      </c>
      <c r="D1" s="241" t="s">
        <v>115</v>
      </c>
      <c r="E1" s="240" t="s">
        <v>105</v>
      </c>
      <c r="F1" s="241" t="s">
        <v>115</v>
      </c>
      <c r="G1" s="240" t="s">
        <v>105</v>
      </c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</row>
    <row r="2" spans="1:55" s="249" customFormat="1" ht="15" customHeight="1">
      <c r="A2" s="244"/>
      <c r="B2" s="245"/>
      <c r="C2" s="246" t="s">
        <v>458</v>
      </c>
      <c r="D2" s="248">
        <v>2011</v>
      </c>
      <c r="E2" s="247">
        <v>2012</v>
      </c>
      <c r="F2" s="248">
        <v>2012</v>
      </c>
      <c r="G2" s="247">
        <v>2013</v>
      </c>
    </row>
    <row r="3" spans="1:55" ht="15" customHeight="1">
      <c r="A3" s="609" t="s">
        <v>459</v>
      </c>
      <c r="B3" s="610"/>
      <c r="C3" s="610"/>
      <c r="D3" s="250"/>
      <c r="F3" s="250"/>
      <c r="G3" s="253" t="s">
        <v>102</v>
      </c>
    </row>
    <row r="4" spans="1:55" s="260" customFormat="1" ht="12.75" customHeight="1">
      <c r="A4" s="479">
        <v>30</v>
      </c>
      <c r="B4" s="480"/>
      <c r="C4" s="256" t="s">
        <v>117</v>
      </c>
      <c r="D4" s="257"/>
      <c r="E4" s="257">
        <v>250532.8</v>
      </c>
      <c r="F4" s="258">
        <v>253385.04063999999</v>
      </c>
      <c r="G4" s="259">
        <v>254193.4</v>
      </c>
    </row>
    <row r="5" spans="1:55" s="260" customFormat="1" ht="12.75" customHeight="1">
      <c r="A5" s="261">
        <v>31</v>
      </c>
      <c r="B5" s="262"/>
      <c r="C5" s="263" t="s">
        <v>460</v>
      </c>
      <c r="D5" s="264"/>
      <c r="E5" s="264">
        <v>69117.7</v>
      </c>
      <c r="F5" s="266">
        <v>69669.039959999995</v>
      </c>
      <c r="G5" s="267">
        <v>71803.5</v>
      </c>
    </row>
    <row r="6" spans="1:55" s="260" customFormat="1" ht="12.75" customHeight="1">
      <c r="A6" s="268" t="s">
        <v>119</v>
      </c>
      <c r="B6" s="269"/>
      <c r="C6" s="270" t="s">
        <v>461</v>
      </c>
      <c r="D6" s="271"/>
      <c r="E6" s="271">
        <v>8083</v>
      </c>
      <c r="F6" s="272">
        <v>8624.62745</v>
      </c>
      <c r="G6" s="273">
        <v>8778.5</v>
      </c>
    </row>
    <row r="7" spans="1:55" s="260" customFormat="1" ht="12.75" customHeight="1">
      <c r="A7" s="268" t="s">
        <v>462</v>
      </c>
      <c r="B7" s="269"/>
      <c r="C7" s="270" t="s">
        <v>463</v>
      </c>
      <c r="D7" s="271"/>
      <c r="E7" s="271">
        <v>0</v>
      </c>
      <c r="F7" s="272">
        <v>0</v>
      </c>
      <c r="G7" s="273">
        <v>0</v>
      </c>
    </row>
    <row r="8" spans="1:55" s="260" customFormat="1" ht="12.75" customHeight="1">
      <c r="A8" s="274">
        <v>330</v>
      </c>
      <c r="B8" s="262"/>
      <c r="C8" s="263" t="s">
        <v>464</v>
      </c>
      <c r="D8" s="275"/>
      <c r="E8" s="275">
        <v>16760</v>
      </c>
      <c r="F8" s="266">
        <v>16614.251</v>
      </c>
      <c r="G8" s="276">
        <v>16689.7</v>
      </c>
    </row>
    <row r="9" spans="1:55" s="260" customFormat="1" ht="12.75" customHeight="1">
      <c r="A9" s="274">
        <v>332</v>
      </c>
      <c r="B9" s="262"/>
      <c r="C9" s="263" t="s">
        <v>465</v>
      </c>
      <c r="D9" s="275"/>
      <c r="E9" s="275">
        <v>0</v>
      </c>
      <c r="F9" s="266">
        <v>0</v>
      </c>
      <c r="G9" s="276">
        <v>0</v>
      </c>
    </row>
    <row r="10" spans="1:55" s="260" customFormat="1" ht="12.75" customHeight="1">
      <c r="A10" s="274">
        <v>339</v>
      </c>
      <c r="B10" s="262"/>
      <c r="C10" s="263" t="s">
        <v>466</v>
      </c>
      <c r="D10" s="275">
        <v>0</v>
      </c>
      <c r="E10" s="275">
        <v>0</v>
      </c>
      <c r="F10" s="266">
        <v>0</v>
      </c>
      <c r="G10" s="276">
        <v>0</v>
      </c>
    </row>
    <row r="11" spans="1:55" s="538" customFormat="1" ht="28.25" customHeight="1">
      <c r="A11" s="536">
        <v>350</v>
      </c>
      <c r="B11" s="537"/>
      <c r="C11" s="280" t="s">
        <v>467</v>
      </c>
      <c r="D11" s="281">
        <v>0</v>
      </c>
      <c r="E11" s="281">
        <v>92.200000000000728</v>
      </c>
      <c r="F11" s="281">
        <v>82.4</v>
      </c>
      <c r="G11" s="496">
        <v>82</v>
      </c>
    </row>
    <row r="12" spans="1:55" s="285" customFormat="1" ht="28">
      <c r="A12" s="278">
        <v>351</v>
      </c>
      <c r="B12" s="279"/>
      <c r="C12" s="280" t="s">
        <v>468</v>
      </c>
      <c r="D12" s="346"/>
      <c r="E12" s="282">
        <v>8855.4</v>
      </c>
      <c r="F12" s="283">
        <v>9253.3513199999998</v>
      </c>
      <c r="G12" s="482">
        <v>9673.2000000000007</v>
      </c>
    </row>
    <row r="13" spans="1:55" s="260" customFormat="1" ht="12.75" customHeight="1">
      <c r="A13" s="261">
        <v>36</v>
      </c>
      <c r="B13" s="262"/>
      <c r="C13" s="263" t="s">
        <v>469</v>
      </c>
      <c r="D13" s="275"/>
      <c r="E13" s="264">
        <v>380397.4</v>
      </c>
      <c r="F13" s="286">
        <v>387284.61670999997</v>
      </c>
      <c r="G13" s="276">
        <v>402743.9</v>
      </c>
      <c r="H13" s="252"/>
    </row>
    <row r="14" spans="1:55" s="260" customFormat="1" ht="12.75" customHeight="1">
      <c r="A14" s="287" t="s">
        <v>470</v>
      </c>
      <c r="B14" s="262"/>
      <c r="C14" s="288" t="s">
        <v>471</v>
      </c>
      <c r="D14" s="275"/>
      <c r="E14" s="323">
        <v>85506</v>
      </c>
      <c r="F14" s="286">
        <v>83481.580230000007</v>
      </c>
      <c r="G14" s="276">
        <v>86832.9</v>
      </c>
      <c r="H14" s="252"/>
    </row>
    <row r="15" spans="1:55" s="260" customFormat="1" ht="12.75" customHeight="1">
      <c r="A15" s="287" t="s">
        <v>472</v>
      </c>
      <c r="B15" s="262"/>
      <c r="C15" s="288" t="s">
        <v>473</v>
      </c>
      <c r="D15" s="275"/>
      <c r="E15" s="323">
        <v>15725.5</v>
      </c>
      <c r="F15" s="286">
        <v>14693.91029</v>
      </c>
      <c r="G15" s="276">
        <v>17477.5</v>
      </c>
      <c r="H15" s="252"/>
    </row>
    <row r="16" spans="1:55" s="297" customFormat="1" ht="26.25" customHeight="1">
      <c r="A16" s="287" t="s">
        <v>474</v>
      </c>
      <c r="B16" s="483"/>
      <c r="C16" s="288" t="s">
        <v>475</v>
      </c>
      <c r="D16" s="293"/>
      <c r="E16" s="294">
        <v>22027</v>
      </c>
      <c r="F16" s="295">
        <v>21875.794999999998</v>
      </c>
      <c r="G16" s="296">
        <v>21016.3</v>
      </c>
      <c r="H16" s="539"/>
    </row>
    <row r="17" spans="1:8" s="299" customFormat="1">
      <c r="A17" s="261">
        <v>37</v>
      </c>
      <c r="B17" s="262"/>
      <c r="C17" s="263" t="s">
        <v>476</v>
      </c>
      <c r="D17" s="316"/>
      <c r="E17" s="264">
        <v>105890.5</v>
      </c>
      <c r="F17" s="286">
        <v>105209.3606</v>
      </c>
      <c r="G17" s="298">
        <v>105641.4</v>
      </c>
      <c r="H17" s="242"/>
    </row>
    <row r="18" spans="1:8" s="299" customFormat="1">
      <c r="A18" s="274" t="s">
        <v>477</v>
      </c>
      <c r="B18" s="262"/>
      <c r="C18" s="263" t="s">
        <v>478</v>
      </c>
      <c r="D18" s="316"/>
      <c r="E18" s="323">
        <v>0</v>
      </c>
      <c r="F18" s="286">
        <v>0</v>
      </c>
      <c r="G18" s="276">
        <v>0</v>
      </c>
      <c r="H18" s="252"/>
    </row>
    <row r="19" spans="1:8" s="299" customFormat="1">
      <c r="A19" s="274" t="s">
        <v>479</v>
      </c>
      <c r="B19" s="262"/>
      <c r="C19" s="263" t="s">
        <v>480</v>
      </c>
      <c r="D19" s="316"/>
      <c r="E19" s="323">
        <v>102910</v>
      </c>
      <c r="F19" s="286">
        <v>101542.64885</v>
      </c>
      <c r="G19" s="298">
        <v>103102</v>
      </c>
      <c r="H19" s="252"/>
    </row>
    <row r="20" spans="1:8" s="260" customFormat="1" ht="12.75" customHeight="1">
      <c r="A20" s="301">
        <v>39</v>
      </c>
      <c r="B20" s="302"/>
      <c r="C20" s="303" t="s">
        <v>139</v>
      </c>
      <c r="D20" s="306"/>
      <c r="E20" s="304">
        <v>596</v>
      </c>
      <c r="F20" s="307">
        <v>391.47354999999999</v>
      </c>
      <c r="G20" s="308">
        <v>501</v>
      </c>
    </row>
    <row r="21" spans="1:8" ht="12.75" customHeight="1">
      <c r="A21" s="309"/>
      <c r="B21" s="309"/>
      <c r="C21" s="310" t="s">
        <v>481</v>
      </c>
      <c r="D21" s="311">
        <f>D4+D5+SUM(D8:D13)+D17</f>
        <v>0</v>
      </c>
      <c r="E21" s="311">
        <f>E4+E5+SUM(E8:E13)+E17</f>
        <v>831646</v>
      </c>
      <c r="F21" s="311">
        <f>F4+F5+SUM(F8:F13)+F17</f>
        <v>841498.06022999994</v>
      </c>
      <c r="G21" s="311">
        <f>G4+G5+SUM(G8:G13)+G17</f>
        <v>860827.10000000009</v>
      </c>
    </row>
    <row r="22" spans="1:8" s="260" customFormat="1" ht="12.75" customHeight="1">
      <c r="A22" s="274" t="s">
        <v>247</v>
      </c>
      <c r="B22" s="262"/>
      <c r="C22" s="263" t="s">
        <v>482</v>
      </c>
      <c r="D22" s="275"/>
      <c r="E22" s="275">
        <v>256630</v>
      </c>
      <c r="F22" s="266">
        <v>263528.24442</v>
      </c>
      <c r="G22" s="276">
        <v>263955</v>
      </c>
    </row>
    <row r="23" spans="1:8" s="260" customFormat="1" ht="12.75" customHeight="1">
      <c r="A23" s="274" t="s">
        <v>249</v>
      </c>
      <c r="B23" s="262"/>
      <c r="C23" s="263" t="s">
        <v>483</v>
      </c>
      <c r="D23" s="275"/>
      <c r="E23" s="275">
        <v>47630</v>
      </c>
      <c r="F23" s="266">
        <v>47849.129000000001</v>
      </c>
      <c r="G23" s="276">
        <v>48555</v>
      </c>
    </row>
    <row r="24" spans="1:8" s="313" customFormat="1" ht="12.75" customHeight="1">
      <c r="A24" s="261">
        <v>41</v>
      </c>
      <c r="B24" s="262"/>
      <c r="C24" s="263" t="s">
        <v>484</v>
      </c>
      <c r="D24" s="275"/>
      <c r="E24" s="275">
        <v>8491.7000000000007</v>
      </c>
      <c r="F24" s="266">
        <v>7930.9744499999997</v>
      </c>
      <c r="G24" s="276">
        <v>7752.7</v>
      </c>
    </row>
    <row r="25" spans="1:8" s="260" customFormat="1" ht="12.75" customHeight="1">
      <c r="A25" s="314">
        <v>42</v>
      </c>
      <c r="B25" s="315"/>
      <c r="C25" s="263" t="s">
        <v>485</v>
      </c>
      <c r="D25" s="275"/>
      <c r="E25" s="275">
        <v>38381.800000000003</v>
      </c>
      <c r="F25" s="266">
        <v>38787.706760000001</v>
      </c>
      <c r="G25" s="276">
        <v>37816.400000000001</v>
      </c>
    </row>
    <row r="26" spans="1:8" s="318" customFormat="1" ht="12.75" customHeight="1">
      <c r="A26" s="278">
        <v>430</v>
      </c>
      <c r="B26" s="262"/>
      <c r="C26" s="263" t="s">
        <v>486</v>
      </c>
      <c r="D26" s="316"/>
      <c r="E26" s="316">
        <v>125.2</v>
      </c>
      <c r="F26" s="317">
        <v>122.4053</v>
      </c>
      <c r="G26" s="298">
        <v>121.2</v>
      </c>
    </row>
    <row r="27" spans="1:8" s="318" customFormat="1" ht="12.75" customHeight="1">
      <c r="A27" s="278">
        <v>431</v>
      </c>
      <c r="B27" s="262"/>
      <c r="C27" s="263" t="s">
        <v>487</v>
      </c>
      <c r="D27" s="316"/>
      <c r="E27" s="316">
        <v>20</v>
      </c>
      <c r="F27" s="317">
        <v>141.584</v>
      </c>
      <c r="G27" s="298">
        <v>20</v>
      </c>
    </row>
    <row r="28" spans="1:8" s="318" customFormat="1" ht="12.75" customHeight="1">
      <c r="A28" s="278">
        <v>432</v>
      </c>
      <c r="B28" s="262"/>
      <c r="C28" s="263" t="s">
        <v>488</v>
      </c>
      <c r="D28" s="316"/>
      <c r="E28" s="316">
        <v>0</v>
      </c>
      <c r="F28" s="317">
        <v>0</v>
      </c>
      <c r="G28" s="298">
        <v>0</v>
      </c>
    </row>
    <row r="29" spans="1:8" s="318" customFormat="1" ht="12.75" customHeight="1">
      <c r="A29" s="278">
        <v>439</v>
      </c>
      <c r="B29" s="262"/>
      <c r="C29" s="263" t="s">
        <v>489</v>
      </c>
      <c r="D29" s="316"/>
      <c r="E29" s="316">
        <v>3</v>
      </c>
      <c r="F29" s="317">
        <v>3</v>
      </c>
      <c r="G29" s="298">
        <v>3</v>
      </c>
    </row>
    <row r="30" spans="1:8" s="260" customFormat="1" ht="28">
      <c r="A30" s="278">
        <v>450</v>
      </c>
      <c r="B30" s="279"/>
      <c r="C30" s="280" t="s">
        <v>490</v>
      </c>
      <c r="D30" s="264">
        <v>0</v>
      </c>
      <c r="E30" s="264">
        <v>0</v>
      </c>
      <c r="F30" s="264">
        <v>18.654419999999998</v>
      </c>
      <c r="G30" s="319">
        <v>0</v>
      </c>
    </row>
    <row r="31" spans="1:8" s="285" customFormat="1" ht="28">
      <c r="A31" s="278">
        <v>451</v>
      </c>
      <c r="B31" s="279"/>
      <c r="C31" s="280" t="s">
        <v>491</v>
      </c>
      <c r="D31" s="275"/>
      <c r="E31" s="281">
        <v>5093.6000000000004</v>
      </c>
      <c r="F31" s="540">
        <v>4486.3725999999997</v>
      </c>
      <c r="G31" s="541">
        <v>10164.200000000001</v>
      </c>
    </row>
    <row r="32" spans="1:8" s="260" customFormat="1" ht="12.75" customHeight="1">
      <c r="A32" s="261">
        <v>46</v>
      </c>
      <c r="B32" s="262"/>
      <c r="C32" s="263" t="s">
        <v>492</v>
      </c>
      <c r="D32" s="275"/>
      <c r="E32" s="275">
        <v>362729.4</v>
      </c>
      <c r="F32" s="266">
        <v>362761.72553</v>
      </c>
      <c r="G32" s="276">
        <v>382512.7</v>
      </c>
    </row>
    <row r="33" spans="1:7" s="285" customFormat="1" ht="12.75" customHeight="1">
      <c r="A33" s="322" t="s">
        <v>493</v>
      </c>
      <c r="B33" s="269"/>
      <c r="C33" s="270" t="s">
        <v>494</v>
      </c>
      <c r="D33" s="271"/>
      <c r="E33" s="271">
        <v>0</v>
      </c>
      <c r="F33" s="272">
        <v>0</v>
      </c>
      <c r="G33" s="273">
        <v>0</v>
      </c>
    </row>
    <row r="34" spans="1:7" s="260" customFormat="1" ht="15" customHeight="1">
      <c r="A34" s="261">
        <v>47</v>
      </c>
      <c r="B34" s="262"/>
      <c r="C34" s="263" t="s">
        <v>476</v>
      </c>
      <c r="D34" s="275"/>
      <c r="E34" s="275">
        <v>105890.5</v>
      </c>
      <c r="F34" s="266">
        <v>105209.3606</v>
      </c>
      <c r="G34" s="276">
        <v>105641.4</v>
      </c>
    </row>
    <row r="35" spans="1:7" s="260" customFormat="1" ht="15" customHeight="1">
      <c r="A35" s="301">
        <v>49</v>
      </c>
      <c r="B35" s="302"/>
      <c r="C35" s="303" t="s">
        <v>139</v>
      </c>
      <c r="D35" s="306"/>
      <c r="E35" s="304">
        <v>596</v>
      </c>
      <c r="F35" s="307">
        <v>391.47354999999999</v>
      </c>
      <c r="G35" s="308">
        <v>500.5</v>
      </c>
    </row>
    <row r="36" spans="1:7" ht="13.5" customHeight="1">
      <c r="A36" s="309"/>
      <c r="B36" s="335"/>
      <c r="C36" s="310" t="s">
        <v>495</v>
      </c>
      <c r="D36" s="311">
        <f>D22+D23+D24+D25+D26+D27+D28+D29+D30+D31+D32+D34</f>
        <v>0</v>
      </c>
      <c r="E36" s="311">
        <f>E22+E23+E24+E25+E26+E27+E28+E29+E30+E31+E32+E34</f>
        <v>824995.2</v>
      </c>
      <c r="F36" s="311">
        <f>F22+F23+F24+F25+F26+F27+F28+F29+F30+F31+F32+F34</f>
        <v>830839.15708000003</v>
      </c>
      <c r="G36" s="311">
        <f>G22+G23+G24+G25+G26+G27+G28+G29+G30+G31+G32+G34</f>
        <v>856541.60000000009</v>
      </c>
    </row>
    <row r="37" spans="1:7" s="487" customFormat="1" ht="15" customHeight="1">
      <c r="A37" s="309"/>
      <c r="B37" s="335"/>
      <c r="C37" s="310" t="s">
        <v>496</v>
      </c>
      <c r="D37" s="311">
        <f>D36-D21</f>
        <v>0</v>
      </c>
      <c r="E37" s="311">
        <f>E36-E21</f>
        <v>-6650.8000000000466</v>
      </c>
      <c r="F37" s="311">
        <f>F36-F21</f>
        <v>-10658.903149999911</v>
      </c>
      <c r="G37" s="311">
        <f>G36-G21</f>
        <v>-4285.5</v>
      </c>
    </row>
    <row r="38" spans="1:7" s="285" customFormat="1" ht="15" customHeight="1">
      <c r="A38" s="274">
        <v>340</v>
      </c>
      <c r="B38" s="262"/>
      <c r="C38" s="263" t="s">
        <v>497</v>
      </c>
      <c r="D38" s="316"/>
      <c r="E38" s="264">
        <v>8156.3</v>
      </c>
      <c r="F38" s="286">
        <v>6853.3388800000002</v>
      </c>
      <c r="G38" s="276">
        <v>5244.8</v>
      </c>
    </row>
    <row r="39" spans="1:7" s="285" customFormat="1" ht="15" customHeight="1">
      <c r="A39" s="274">
        <v>341</v>
      </c>
      <c r="B39" s="262"/>
      <c r="C39" s="263" t="s">
        <v>498</v>
      </c>
      <c r="D39" s="316"/>
      <c r="E39" s="275">
        <v>0</v>
      </c>
      <c r="F39" s="266">
        <v>0.38455</v>
      </c>
      <c r="G39" s="276">
        <v>0</v>
      </c>
    </row>
    <row r="40" spans="1:7" s="285" customFormat="1" ht="15" customHeight="1">
      <c r="A40" s="274">
        <v>342</v>
      </c>
      <c r="B40" s="262"/>
      <c r="C40" s="263" t="s">
        <v>499</v>
      </c>
      <c r="D40" s="316"/>
      <c r="E40" s="275">
        <v>3.5</v>
      </c>
      <c r="F40" s="266">
        <v>2.9792000000000001</v>
      </c>
      <c r="G40" s="276">
        <v>3.2</v>
      </c>
    </row>
    <row r="41" spans="1:7" s="285" customFormat="1" ht="15" customHeight="1">
      <c r="A41" s="274">
        <v>343</v>
      </c>
      <c r="B41" s="262"/>
      <c r="C41" s="263" t="s">
        <v>500</v>
      </c>
      <c r="D41" s="316"/>
      <c r="E41" s="275">
        <v>64.5</v>
      </c>
      <c r="F41" s="266">
        <v>67.632599999999996</v>
      </c>
      <c r="G41" s="276">
        <v>66.5</v>
      </c>
    </row>
    <row r="42" spans="1:7" s="285" customFormat="1" ht="15" customHeight="1">
      <c r="A42" s="274">
        <v>344</v>
      </c>
      <c r="B42" s="262"/>
      <c r="C42" s="263" t="s">
        <v>501</v>
      </c>
      <c r="D42" s="316"/>
      <c r="E42" s="275">
        <v>0</v>
      </c>
      <c r="F42" s="266">
        <v>0</v>
      </c>
      <c r="G42" s="276">
        <v>0</v>
      </c>
    </row>
    <row r="43" spans="1:7" s="285" customFormat="1" ht="15" customHeight="1">
      <c r="A43" s="274">
        <v>349</v>
      </c>
      <c r="B43" s="262"/>
      <c r="C43" s="263" t="s">
        <v>502</v>
      </c>
      <c r="D43" s="316"/>
      <c r="E43" s="275">
        <v>0</v>
      </c>
      <c r="F43" s="266">
        <v>0.67535000000000001</v>
      </c>
      <c r="G43" s="276">
        <v>0</v>
      </c>
    </row>
    <row r="44" spans="1:7" s="260" customFormat="1" ht="15" customHeight="1">
      <c r="A44" s="261">
        <v>440</v>
      </c>
      <c r="B44" s="262"/>
      <c r="C44" s="263" t="s">
        <v>503</v>
      </c>
      <c r="D44" s="316"/>
      <c r="E44" s="264">
        <v>4027.5</v>
      </c>
      <c r="F44" s="286">
        <v>3733.8243699999998</v>
      </c>
      <c r="G44" s="276">
        <v>2979.5</v>
      </c>
    </row>
    <row r="45" spans="1:7" s="260" customFormat="1" ht="15" customHeight="1">
      <c r="A45" s="261">
        <v>441</v>
      </c>
      <c r="B45" s="262"/>
      <c r="C45" s="263" t="s">
        <v>504</v>
      </c>
      <c r="D45" s="316"/>
      <c r="E45" s="264">
        <v>100</v>
      </c>
      <c r="F45" s="286">
        <v>140.87899999999999</v>
      </c>
      <c r="G45" s="276">
        <v>100</v>
      </c>
    </row>
    <row r="46" spans="1:7" s="260" customFormat="1" ht="15" customHeight="1">
      <c r="A46" s="261">
        <v>442</v>
      </c>
      <c r="B46" s="262"/>
      <c r="C46" s="263" t="s">
        <v>505</v>
      </c>
      <c r="D46" s="316"/>
      <c r="E46" s="264">
        <v>272.7</v>
      </c>
      <c r="F46" s="286">
        <v>264.84800000000001</v>
      </c>
      <c r="G46" s="276">
        <v>264.8</v>
      </c>
    </row>
    <row r="47" spans="1:7" s="260" customFormat="1" ht="15" customHeight="1">
      <c r="A47" s="261">
        <v>443</v>
      </c>
      <c r="B47" s="262"/>
      <c r="C47" s="263" t="s">
        <v>506</v>
      </c>
      <c r="D47" s="316"/>
      <c r="E47" s="264">
        <v>21</v>
      </c>
      <c r="F47" s="286">
        <v>21.6434</v>
      </c>
      <c r="G47" s="276">
        <v>21</v>
      </c>
    </row>
    <row r="48" spans="1:7" s="260" customFormat="1" ht="15" customHeight="1">
      <c r="A48" s="261">
        <v>444</v>
      </c>
      <c r="B48" s="262"/>
      <c r="C48" s="263" t="s">
        <v>507</v>
      </c>
      <c r="D48" s="316"/>
      <c r="E48" s="264">
        <v>0</v>
      </c>
      <c r="F48" s="286">
        <v>0</v>
      </c>
      <c r="G48" s="276">
        <v>0</v>
      </c>
    </row>
    <row r="49" spans="1:7" s="260" customFormat="1" ht="15" customHeight="1">
      <c r="A49" s="261">
        <v>445</v>
      </c>
      <c r="B49" s="262"/>
      <c r="C49" s="263" t="s">
        <v>508</v>
      </c>
      <c r="D49" s="316"/>
      <c r="E49" s="264">
        <v>3227.2</v>
      </c>
      <c r="F49" s="286">
        <v>2708.04</v>
      </c>
      <c r="G49" s="276">
        <v>2867.2</v>
      </c>
    </row>
    <row r="50" spans="1:7" s="260" customFormat="1" ht="15" customHeight="1">
      <c r="A50" s="261">
        <v>446</v>
      </c>
      <c r="B50" s="262"/>
      <c r="C50" s="263" t="s">
        <v>509</v>
      </c>
      <c r="D50" s="316"/>
      <c r="E50" s="264">
        <v>922.3</v>
      </c>
      <c r="F50" s="286">
        <v>940.26</v>
      </c>
      <c r="G50" s="276">
        <v>947.3</v>
      </c>
    </row>
    <row r="51" spans="1:7" s="260" customFormat="1" ht="15" customHeight="1">
      <c r="A51" s="261">
        <v>447</v>
      </c>
      <c r="B51" s="262"/>
      <c r="C51" s="263" t="s">
        <v>510</v>
      </c>
      <c r="D51" s="316"/>
      <c r="E51" s="264">
        <v>2318.8000000000002</v>
      </c>
      <c r="F51" s="286">
        <v>2203.45415</v>
      </c>
      <c r="G51" s="276">
        <v>2340.3000000000002</v>
      </c>
    </row>
    <row r="52" spans="1:7" s="260" customFormat="1" ht="15" customHeight="1">
      <c r="A52" s="261">
        <v>448</v>
      </c>
      <c r="B52" s="262"/>
      <c r="C52" s="263" t="s">
        <v>511</v>
      </c>
      <c r="D52" s="316"/>
      <c r="E52" s="264">
        <v>0</v>
      </c>
      <c r="F52" s="286">
        <v>0</v>
      </c>
      <c r="G52" s="276">
        <v>0</v>
      </c>
    </row>
    <row r="53" spans="1:7" s="260" customFormat="1" ht="15" customHeight="1">
      <c r="A53" s="261">
        <v>449</v>
      </c>
      <c r="B53" s="262"/>
      <c r="C53" s="263" t="s">
        <v>512</v>
      </c>
      <c r="D53" s="316"/>
      <c r="E53" s="264">
        <v>0</v>
      </c>
      <c r="F53" s="286">
        <v>0</v>
      </c>
      <c r="G53" s="276">
        <v>0</v>
      </c>
    </row>
    <row r="54" spans="1:7" s="285" customFormat="1" ht="13.5" customHeight="1">
      <c r="A54" s="329" t="s">
        <v>513</v>
      </c>
      <c r="B54" s="330"/>
      <c r="C54" s="330" t="s">
        <v>514</v>
      </c>
      <c r="D54" s="497"/>
      <c r="E54" s="306">
        <v>0</v>
      </c>
      <c r="F54" s="333">
        <v>0</v>
      </c>
      <c r="G54" s="334">
        <v>0</v>
      </c>
    </row>
    <row r="55" spans="1:7" ht="15" customHeight="1">
      <c r="A55" s="335"/>
      <c r="B55" s="335"/>
      <c r="C55" s="310" t="s">
        <v>515</v>
      </c>
      <c r="D55" s="311">
        <f>SUM(D44:D53)-SUM(D38:D43)</f>
        <v>0</v>
      </c>
      <c r="E55" s="311">
        <f>SUM(E44:E53)-SUM(E38:E43)</f>
        <v>2665.2000000000007</v>
      </c>
      <c r="F55" s="311">
        <f>SUM(F44:F53)-SUM(F38:F43)</f>
        <v>3087.9383400000006</v>
      </c>
      <c r="G55" s="311">
        <f>SUM(G44:G53)-SUM(G38:G43)</f>
        <v>4205.6000000000004</v>
      </c>
    </row>
    <row r="56" spans="1:7" ht="14.25" customHeight="1">
      <c r="A56" s="335"/>
      <c r="B56" s="335"/>
      <c r="C56" s="310" t="s">
        <v>516</v>
      </c>
      <c r="D56" s="311">
        <f>D55+D37</f>
        <v>0</v>
      </c>
      <c r="E56" s="311">
        <f>E55+E37</f>
        <v>-3985.6000000000458</v>
      </c>
      <c r="F56" s="311">
        <f>F55+F37</f>
        <v>-7570.9648099999104</v>
      </c>
      <c r="G56" s="311">
        <f>G55+G37</f>
        <v>-79.899999999999636</v>
      </c>
    </row>
    <row r="57" spans="1:7" s="260" customFormat="1" ht="15.75" customHeight="1">
      <c r="A57" s="336">
        <v>380</v>
      </c>
      <c r="B57" s="337"/>
      <c r="C57" s="338" t="s">
        <v>517</v>
      </c>
      <c r="D57" s="340"/>
      <c r="E57" s="339">
        <v>0</v>
      </c>
      <c r="F57" s="341">
        <v>0</v>
      </c>
      <c r="G57" s="342">
        <v>0</v>
      </c>
    </row>
    <row r="58" spans="1:7" s="260" customFormat="1" ht="15.75" customHeight="1">
      <c r="A58" s="336">
        <v>381</v>
      </c>
      <c r="B58" s="337"/>
      <c r="C58" s="338" t="s">
        <v>518</v>
      </c>
      <c r="D58" s="340"/>
      <c r="E58" s="339">
        <v>0</v>
      </c>
      <c r="F58" s="341">
        <v>0</v>
      </c>
      <c r="G58" s="342">
        <v>0</v>
      </c>
    </row>
    <row r="59" spans="1:7" s="285" customFormat="1" ht="28">
      <c r="A59" s="278">
        <v>383</v>
      </c>
      <c r="B59" s="279"/>
      <c r="C59" s="280" t="s">
        <v>519</v>
      </c>
      <c r="D59" s="344"/>
      <c r="E59" s="343">
        <v>0</v>
      </c>
      <c r="F59" s="345">
        <v>0</v>
      </c>
      <c r="G59" s="321">
        <v>0</v>
      </c>
    </row>
    <row r="60" spans="1:7" s="285" customFormat="1" ht="14">
      <c r="A60" s="278">
        <v>3840</v>
      </c>
      <c r="B60" s="279"/>
      <c r="C60" s="280" t="s">
        <v>520</v>
      </c>
      <c r="D60" s="346"/>
      <c r="E60" s="346">
        <v>0</v>
      </c>
      <c r="F60" s="508">
        <v>0</v>
      </c>
      <c r="G60" s="482">
        <v>0</v>
      </c>
    </row>
    <row r="61" spans="1:7" s="285" customFormat="1" ht="28">
      <c r="A61" s="278">
        <v>3841</v>
      </c>
      <c r="B61" s="279"/>
      <c r="C61" s="280" t="s">
        <v>521</v>
      </c>
      <c r="D61" s="346"/>
      <c r="E61" s="346">
        <v>0</v>
      </c>
      <c r="F61" s="508">
        <v>0</v>
      </c>
      <c r="G61" s="482">
        <v>0</v>
      </c>
    </row>
    <row r="62" spans="1:7" s="285" customFormat="1" ht="14">
      <c r="A62" s="349">
        <v>386</v>
      </c>
      <c r="B62" s="350"/>
      <c r="C62" s="351" t="s">
        <v>522</v>
      </c>
      <c r="D62" s="346"/>
      <c r="E62" s="346">
        <v>0</v>
      </c>
      <c r="F62" s="508">
        <v>0</v>
      </c>
      <c r="G62" s="482">
        <v>0</v>
      </c>
    </row>
    <row r="63" spans="1:7" s="285" customFormat="1" ht="28">
      <c r="A63" s="278">
        <v>387</v>
      </c>
      <c r="B63" s="279"/>
      <c r="C63" s="280" t="s">
        <v>523</v>
      </c>
      <c r="D63" s="346"/>
      <c r="E63" s="346">
        <v>0</v>
      </c>
      <c r="F63" s="508">
        <v>0</v>
      </c>
      <c r="G63" s="482">
        <v>0</v>
      </c>
    </row>
    <row r="64" spans="1:7" s="285" customFormat="1">
      <c r="A64" s="274">
        <v>389</v>
      </c>
      <c r="B64" s="352"/>
      <c r="C64" s="263" t="s">
        <v>138</v>
      </c>
      <c r="D64" s="275"/>
      <c r="E64" s="275">
        <v>0</v>
      </c>
      <c r="F64" s="266">
        <v>0</v>
      </c>
      <c r="G64" s="276">
        <v>0</v>
      </c>
    </row>
    <row r="65" spans="1:7" s="260" customFormat="1" ht="14">
      <c r="A65" s="525" t="s">
        <v>291</v>
      </c>
      <c r="B65" s="262"/>
      <c r="C65" s="263" t="s">
        <v>524</v>
      </c>
      <c r="D65" s="275"/>
      <c r="E65" s="275">
        <v>800</v>
      </c>
      <c r="F65" s="266">
        <v>404</v>
      </c>
      <c r="G65" s="276">
        <v>800</v>
      </c>
    </row>
    <row r="66" spans="1:7" s="355" customFormat="1" ht="28">
      <c r="A66" s="278" t="s">
        <v>293</v>
      </c>
      <c r="B66" s="354"/>
      <c r="C66" s="280" t="s">
        <v>525</v>
      </c>
      <c r="D66" s="344"/>
      <c r="E66" s="344">
        <v>5</v>
      </c>
      <c r="F66" s="312">
        <v>24</v>
      </c>
      <c r="G66" s="321">
        <v>7</v>
      </c>
    </row>
    <row r="67" spans="1:7" s="260" customFormat="1">
      <c r="A67" s="536">
        <v>481</v>
      </c>
      <c r="B67" s="262"/>
      <c r="C67" s="263" t="s">
        <v>526</v>
      </c>
      <c r="D67" s="275"/>
      <c r="E67" s="275">
        <v>0</v>
      </c>
      <c r="F67" s="266">
        <v>0</v>
      </c>
      <c r="G67" s="276">
        <v>0</v>
      </c>
    </row>
    <row r="68" spans="1:7" s="260" customFormat="1">
      <c r="A68" s="536">
        <v>482</v>
      </c>
      <c r="B68" s="262"/>
      <c r="C68" s="263" t="s">
        <v>527</v>
      </c>
      <c r="D68" s="275"/>
      <c r="E68" s="275">
        <v>0</v>
      </c>
      <c r="F68" s="266">
        <v>0</v>
      </c>
      <c r="G68" s="276">
        <v>0</v>
      </c>
    </row>
    <row r="69" spans="1:7" s="260" customFormat="1">
      <c r="A69" s="536">
        <v>483</v>
      </c>
      <c r="B69" s="262"/>
      <c r="C69" s="263" t="s">
        <v>528</v>
      </c>
      <c r="D69" s="275"/>
      <c r="E69" s="275">
        <v>0</v>
      </c>
      <c r="F69" s="266">
        <v>0</v>
      </c>
      <c r="G69" s="276">
        <v>0</v>
      </c>
    </row>
    <row r="70" spans="1:7" s="260" customFormat="1">
      <c r="A70" s="536">
        <v>484</v>
      </c>
      <c r="B70" s="262"/>
      <c r="C70" s="263" t="s">
        <v>529</v>
      </c>
      <c r="D70" s="275"/>
      <c r="E70" s="275">
        <v>0</v>
      </c>
      <c r="F70" s="266">
        <v>0</v>
      </c>
      <c r="G70" s="276">
        <v>0</v>
      </c>
    </row>
    <row r="71" spans="1:7" s="260" customFormat="1">
      <c r="A71" s="536">
        <v>485</v>
      </c>
      <c r="B71" s="262"/>
      <c r="C71" s="263" t="s">
        <v>530</v>
      </c>
      <c r="D71" s="275"/>
      <c r="E71" s="275">
        <v>0</v>
      </c>
      <c r="F71" s="266">
        <v>0</v>
      </c>
      <c r="G71" s="276">
        <v>0</v>
      </c>
    </row>
    <row r="72" spans="1:7" s="260" customFormat="1">
      <c r="A72" s="536">
        <v>486</v>
      </c>
      <c r="B72" s="262"/>
      <c r="C72" s="263" t="s">
        <v>531</v>
      </c>
      <c r="D72" s="275"/>
      <c r="E72" s="275">
        <v>0</v>
      </c>
      <c r="F72" s="266">
        <v>0</v>
      </c>
      <c r="G72" s="276">
        <v>0</v>
      </c>
    </row>
    <row r="73" spans="1:7" s="285" customFormat="1" ht="28">
      <c r="A73" s="536">
        <v>487</v>
      </c>
      <c r="B73" s="542"/>
      <c r="C73" s="280" t="s">
        <v>532</v>
      </c>
      <c r="D73" s="275"/>
      <c r="E73" s="264">
        <v>0</v>
      </c>
      <c r="F73" s="345">
        <v>0</v>
      </c>
      <c r="G73" s="321">
        <v>0</v>
      </c>
    </row>
    <row r="74" spans="1:7" s="285" customFormat="1">
      <c r="A74" s="536">
        <v>489</v>
      </c>
      <c r="B74" s="356"/>
      <c r="C74" s="303" t="s">
        <v>175</v>
      </c>
      <c r="D74" s="275"/>
      <c r="E74" s="264">
        <v>0</v>
      </c>
      <c r="F74" s="345">
        <v>0</v>
      </c>
      <c r="G74" s="321">
        <v>0</v>
      </c>
    </row>
    <row r="75" spans="1:7" s="285" customFormat="1">
      <c r="A75" s="357" t="s">
        <v>533</v>
      </c>
      <c r="B75" s="356"/>
      <c r="C75" s="303" t="s">
        <v>534</v>
      </c>
      <c r="D75" s="275"/>
      <c r="E75" s="275">
        <v>0</v>
      </c>
      <c r="F75" s="266">
        <v>0</v>
      </c>
      <c r="G75" s="276">
        <v>0</v>
      </c>
    </row>
    <row r="76" spans="1:7">
      <c r="A76" s="309"/>
      <c r="B76" s="309"/>
      <c r="C76" s="310" t="s">
        <v>535</v>
      </c>
      <c r="D76" s="311">
        <f>SUM(D65:D74)-SUM(D57:D64)</f>
        <v>0</v>
      </c>
      <c r="E76" s="311">
        <f>SUM(E65:E74)-SUM(E57:E64)</f>
        <v>805</v>
      </c>
      <c r="F76" s="311">
        <f>SUM(F65:F74)-SUM(F57:F64)</f>
        <v>428</v>
      </c>
      <c r="G76" s="311">
        <f>SUM(G65:G74)-SUM(G57:G64)</f>
        <v>807</v>
      </c>
    </row>
    <row r="77" spans="1:7">
      <c r="A77" s="358"/>
      <c r="B77" s="358"/>
      <c r="C77" s="310" t="s">
        <v>536</v>
      </c>
      <c r="D77" s="311">
        <f>D56+D76</f>
        <v>0</v>
      </c>
      <c r="E77" s="311">
        <f>E56+E76</f>
        <v>-3180.6000000000458</v>
      </c>
      <c r="F77" s="311">
        <f>F56+F76</f>
        <v>-7142.9648099999104</v>
      </c>
      <c r="G77" s="311">
        <f>G56+G76</f>
        <v>727.10000000000036</v>
      </c>
    </row>
    <row r="78" spans="1:7">
      <c r="A78" s="359">
        <v>3</v>
      </c>
      <c r="B78" s="359"/>
      <c r="C78" s="360" t="s">
        <v>306</v>
      </c>
      <c r="D78" s="361">
        <f>D20+D21+SUM(D38:D43)+SUM(D57:D64)</f>
        <v>0</v>
      </c>
      <c r="E78" s="361">
        <f>E20+E21+SUM(E38:E43)+SUM(E57:E64)</f>
        <v>840466.3</v>
      </c>
      <c r="F78" s="361">
        <f>F20+F21+SUM(F38:F43)+SUM(F57:F64)</f>
        <v>848814.54435999994</v>
      </c>
      <c r="G78" s="361">
        <f>G20+G21+SUM(G38:G43)+SUM(G57:G64)</f>
        <v>866642.60000000009</v>
      </c>
    </row>
    <row r="79" spans="1:7">
      <c r="A79" s="359">
        <v>4</v>
      </c>
      <c r="B79" s="359"/>
      <c r="C79" s="360" t="s">
        <v>307</v>
      </c>
      <c r="D79" s="361">
        <f>D35+D36+SUM(D44:D53)+SUM(D65:D74)</f>
        <v>0</v>
      </c>
      <c r="E79" s="361">
        <f>E35+E36+SUM(E44:E53)+SUM(E65:E74)</f>
        <v>837285.7</v>
      </c>
      <c r="F79" s="361">
        <f>F35+F36+SUM(F44:F53)+SUM(F65:F74)</f>
        <v>841671.57955000002</v>
      </c>
      <c r="G79" s="361">
        <f>G35+G36+SUM(G44:G53)+SUM(G65:G74)</f>
        <v>867369.20000000007</v>
      </c>
    </row>
    <row r="80" spans="1:7">
      <c r="A80" s="362"/>
      <c r="B80" s="362"/>
      <c r="C80" s="363"/>
      <c r="D80" s="364"/>
      <c r="E80" s="364"/>
      <c r="F80" s="364"/>
      <c r="G80" s="364"/>
    </row>
    <row r="81" spans="1:7">
      <c r="A81" s="611" t="s">
        <v>537</v>
      </c>
      <c r="B81" s="612"/>
      <c r="C81" s="612"/>
      <c r="D81" s="366"/>
      <c r="E81" s="365"/>
      <c r="F81" s="366"/>
      <c r="G81" s="365"/>
    </row>
    <row r="82" spans="1:7" s="260" customFormat="1">
      <c r="A82" s="367">
        <v>50</v>
      </c>
      <c r="B82" s="368"/>
      <c r="C82" s="368" t="s">
        <v>538</v>
      </c>
      <c r="D82" s="316"/>
      <c r="E82" s="275">
        <v>33065</v>
      </c>
      <c r="F82" s="266">
        <v>31356.133259999999</v>
      </c>
      <c r="G82" s="276">
        <v>30616</v>
      </c>
    </row>
    <row r="83" spans="1:7" s="260" customFormat="1">
      <c r="A83" s="367">
        <v>51</v>
      </c>
      <c r="B83" s="368"/>
      <c r="C83" s="368" t="s">
        <v>539</v>
      </c>
      <c r="D83" s="316"/>
      <c r="E83" s="275">
        <v>0</v>
      </c>
      <c r="F83" s="266">
        <v>0</v>
      </c>
      <c r="G83" s="276">
        <v>0</v>
      </c>
    </row>
    <row r="84" spans="1:7" s="260" customFormat="1">
      <c r="A84" s="367">
        <v>52</v>
      </c>
      <c r="B84" s="368"/>
      <c r="C84" s="368" t="s">
        <v>540</v>
      </c>
      <c r="D84" s="316"/>
      <c r="E84" s="275">
        <v>0</v>
      </c>
      <c r="F84" s="266">
        <v>0</v>
      </c>
      <c r="G84" s="276">
        <v>0</v>
      </c>
    </row>
    <row r="85" spans="1:7" s="260" customFormat="1">
      <c r="A85" s="369">
        <v>54</v>
      </c>
      <c r="B85" s="370"/>
      <c r="C85" s="370" t="s">
        <v>541</v>
      </c>
      <c r="D85" s="316"/>
      <c r="E85" s="271">
        <v>1487</v>
      </c>
      <c r="F85" s="266">
        <v>1435.29</v>
      </c>
      <c r="G85" s="276">
        <v>1200</v>
      </c>
    </row>
    <row r="86" spans="1:7" s="260" customFormat="1">
      <c r="A86" s="369">
        <v>55</v>
      </c>
      <c r="B86" s="370"/>
      <c r="C86" s="370" t="s">
        <v>542</v>
      </c>
      <c r="D86" s="316"/>
      <c r="E86" s="275">
        <v>0</v>
      </c>
      <c r="F86" s="266">
        <v>30</v>
      </c>
      <c r="G86" s="276">
        <v>0</v>
      </c>
    </row>
    <row r="87" spans="1:7" s="260" customFormat="1">
      <c r="A87" s="369">
        <v>56</v>
      </c>
      <c r="B87" s="370"/>
      <c r="C87" s="370" t="s">
        <v>543</v>
      </c>
      <c r="D87" s="316"/>
      <c r="E87" s="275">
        <v>13495.5</v>
      </c>
      <c r="F87" s="266">
        <v>12033.582249999999</v>
      </c>
      <c r="G87" s="276">
        <v>12050.5</v>
      </c>
    </row>
    <row r="88" spans="1:7" s="260" customFormat="1">
      <c r="A88" s="367">
        <v>57</v>
      </c>
      <c r="B88" s="368"/>
      <c r="C88" s="368" t="s">
        <v>544</v>
      </c>
      <c r="D88" s="316"/>
      <c r="E88" s="275">
        <v>8215</v>
      </c>
      <c r="F88" s="266">
        <v>9530.5896499999999</v>
      </c>
      <c r="G88" s="276">
        <v>7908.7</v>
      </c>
    </row>
    <row r="89" spans="1:7" s="260" customFormat="1">
      <c r="A89" s="367">
        <v>580</v>
      </c>
      <c r="B89" s="368"/>
      <c r="C89" s="368" t="s">
        <v>545</v>
      </c>
      <c r="D89" s="275"/>
      <c r="E89" s="275">
        <v>0</v>
      </c>
      <c r="F89" s="266">
        <v>0</v>
      </c>
      <c r="G89" s="276">
        <v>0</v>
      </c>
    </row>
    <row r="90" spans="1:7" s="260" customFormat="1">
      <c r="A90" s="367">
        <v>582</v>
      </c>
      <c r="B90" s="368"/>
      <c r="C90" s="368" t="s">
        <v>546</v>
      </c>
      <c r="D90" s="275"/>
      <c r="E90" s="275">
        <v>0</v>
      </c>
      <c r="F90" s="266">
        <v>0</v>
      </c>
      <c r="G90" s="276">
        <v>0</v>
      </c>
    </row>
    <row r="91" spans="1:7" s="260" customFormat="1">
      <c r="A91" s="367">
        <v>584</v>
      </c>
      <c r="B91" s="368"/>
      <c r="C91" s="368" t="s">
        <v>547</v>
      </c>
      <c r="D91" s="275"/>
      <c r="E91" s="275">
        <v>0</v>
      </c>
      <c r="F91" s="266">
        <v>0</v>
      </c>
      <c r="G91" s="276">
        <v>0</v>
      </c>
    </row>
    <row r="92" spans="1:7" s="260" customFormat="1">
      <c r="A92" s="367">
        <v>585</v>
      </c>
      <c r="B92" s="368"/>
      <c r="C92" s="368" t="s">
        <v>548</v>
      </c>
      <c r="D92" s="275"/>
      <c r="E92" s="275">
        <v>0</v>
      </c>
      <c r="F92" s="266">
        <v>0</v>
      </c>
      <c r="G92" s="276">
        <v>0</v>
      </c>
    </row>
    <row r="93" spans="1:7" s="260" customFormat="1">
      <c r="A93" s="367">
        <v>586</v>
      </c>
      <c r="B93" s="368"/>
      <c r="C93" s="368" t="s">
        <v>549</v>
      </c>
      <c r="D93" s="275"/>
      <c r="E93" s="275">
        <v>0</v>
      </c>
      <c r="F93" s="266">
        <v>2.109</v>
      </c>
      <c r="G93" s="276">
        <v>0</v>
      </c>
    </row>
    <row r="94" spans="1:7" s="260" customFormat="1">
      <c r="A94" s="371">
        <v>589</v>
      </c>
      <c r="B94" s="372"/>
      <c r="C94" s="372" t="s">
        <v>550</v>
      </c>
      <c r="D94" s="306"/>
      <c r="E94" s="306">
        <v>0</v>
      </c>
      <c r="F94" s="373">
        <v>0</v>
      </c>
      <c r="G94" s="308">
        <v>0</v>
      </c>
    </row>
    <row r="95" spans="1:7">
      <c r="A95" s="374">
        <v>5</v>
      </c>
      <c r="B95" s="375"/>
      <c r="C95" s="375" t="s">
        <v>551</v>
      </c>
      <c r="D95" s="376">
        <f>SUM(D82:D94)</f>
        <v>0</v>
      </c>
      <c r="E95" s="376">
        <f>SUM(E82:E94)</f>
        <v>56262.5</v>
      </c>
      <c r="F95" s="376">
        <f>SUM(F82:F94)</f>
        <v>54387.704159999994</v>
      </c>
      <c r="G95" s="376">
        <f>SUM(G82:G94)</f>
        <v>51775.199999999997</v>
      </c>
    </row>
    <row r="96" spans="1:7" s="260" customFormat="1">
      <c r="A96" s="367">
        <v>60</v>
      </c>
      <c r="B96" s="368"/>
      <c r="C96" s="368" t="s">
        <v>552</v>
      </c>
      <c r="D96" s="316"/>
      <c r="E96" s="275">
        <v>0</v>
      </c>
      <c r="F96" s="266">
        <v>3.4209999999999998</v>
      </c>
      <c r="G96" s="276">
        <v>0</v>
      </c>
    </row>
    <row r="97" spans="1:7" s="260" customFormat="1">
      <c r="A97" s="367">
        <v>61</v>
      </c>
      <c r="B97" s="368"/>
      <c r="C97" s="368" t="s">
        <v>553</v>
      </c>
      <c r="D97" s="316"/>
      <c r="E97" s="275">
        <v>0</v>
      </c>
      <c r="F97" s="266">
        <v>0</v>
      </c>
      <c r="G97" s="276">
        <v>0</v>
      </c>
    </row>
    <row r="98" spans="1:7" s="260" customFormat="1">
      <c r="A98" s="367">
        <v>62</v>
      </c>
      <c r="B98" s="368"/>
      <c r="C98" s="368" t="s">
        <v>554</v>
      </c>
      <c r="D98" s="316"/>
      <c r="E98" s="275">
        <v>0</v>
      </c>
      <c r="F98" s="266">
        <v>0</v>
      </c>
      <c r="G98" s="276">
        <v>0</v>
      </c>
    </row>
    <row r="99" spans="1:7" s="260" customFormat="1">
      <c r="A99" s="367">
        <v>63</v>
      </c>
      <c r="B99" s="368"/>
      <c r="C99" s="368" t="s">
        <v>555</v>
      </c>
      <c r="D99" s="316"/>
      <c r="E99" s="275">
        <v>3833.4</v>
      </c>
      <c r="F99" s="266">
        <v>3575.9429</v>
      </c>
      <c r="G99" s="276">
        <v>2899.2</v>
      </c>
    </row>
    <row r="100" spans="1:7" s="260" customFormat="1">
      <c r="A100" s="367">
        <v>64</v>
      </c>
      <c r="B100" s="368"/>
      <c r="C100" s="368" t="s">
        <v>556</v>
      </c>
      <c r="D100" s="316"/>
      <c r="E100" s="271">
        <v>2732.1</v>
      </c>
      <c r="F100" s="266">
        <v>2880.1217499999998</v>
      </c>
      <c r="G100" s="276">
        <v>2548.6999999999998</v>
      </c>
    </row>
    <row r="101" spans="1:7" s="260" customFormat="1">
      <c r="A101" s="367">
        <v>65</v>
      </c>
      <c r="B101" s="368"/>
      <c r="C101" s="368" t="s">
        <v>557</v>
      </c>
      <c r="D101" s="316"/>
      <c r="E101" s="275">
        <v>0</v>
      </c>
      <c r="F101" s="266">
        <v>0</v>
      </c>
      <c r="G101" s="276">
        <v>0</v>
      </c>
    </row>
    <row r="102" spans="1:7" s="260" customFormat="1">
      <c r="A102" s="367">
        <v>66</v>
      </c>
      <c r="B102" s="368"/>
      <c r="C102" s="368" t="s">
        <v>558</v>
      </c>
      <c r="D102" s="316"/>
      <c r="E102" s="275">
        <v>10</v>
      </c>
      <c r="F102" s="266">
        <v>4.742</v>
      </c>
      <c r="G102" s="276">
        <v>25</v>
      </c>
    </row>
    <row r="103" spans="1:7" s="260" customFormat="1">
      <c r="A103" s="367">
        <v>67</v>
      </c>
      <c r="B103" s="368"/>
      <c r="C103" s="368" t="s">
        <v>544</v>
      </c>
      <c r="D103" s="316"/>
      <c r="E103" s="264">
        <v>8215</v>
      </c>
      <c r="F103" s="286">
        <v>9530.5896499999999</v>
      </c>
      <c r="G103" s="267">
        <v>7908.7</v>
      </c>
    </row>
    <row r="104" spans="1:7" s="260" customFormat="1" ht="42">
      <c r="A104" s="377" t="s">
        <v>330</v>
      </c>
      <c r="B104" s="368"/>
      <c r="C104" s="378" t="s">
        <v>559</v>
      </c>
      <c r="D104" s="264"/>
      <c r="E104" s="264">
        <v>0</v>
      </c>
      <c r="F104" s="286">
        <v>0</v>
      </c>
      <c r="G104" s="267">
        <v>0</v>
      </c>
    </row>
    <row r="105" spans="1:7" s="355" customFormat="1" ht="54" customHeight="1">
      <c r="A105" s="381" t="s">
        <v>560</v>
      </c>
      <c r="B105" s="543"/>
      <c r="C105" s="382" t="s">
        <v>561</v>
      </c>
      <c r="D105" s="383"/>
      <c r="E105" s="383">
        <v>190</v>
      </c>
      <c r="F105" s="384">
        <v>550</v>
      </c>
      <c r="G105" s="385">
        <v>15</v>
      </c>
    </row>
    <row r="106" spans="1:7">
      <c r="A106" s="374">
        <v>6</v>
      </c>
      <c r="B106" s="375"/>
      <c r="C106" s="375" t="s">
        <v>562</v>
      </c>
      <c r="D106" s="376">
        <f>SUM(D96:D105)</f>
        <v>0</v>
      </c>
      <c r="E106" s="376">
        <f>SUM(E96:E105)</f>
        <v>14980.5</v>
      </c>
      <c r="F106" s="376">
        <f>SUM(F96:F105)</f>
        <v>16544.817299999999</v>
      </c>
      <c r="G106" s="376">
        <f>SUM(G96:G105)</f>
        <v>13396.599999999999</v>
      </c>
    </row>
    <row r="107" spans="1:7">
      <c r="A107" s="386" t="s">
        <v>335</v>
      </c>
      <c r="B107" s="386"/>
      <c r="C107" s="375" t="s">
        <v>4</v>
      </c>
      <c r="D107" s="376">
        <f>(D95-D88)-(D106-D103)</f>
        <v>0</v>
      </c>
      <c r="E107" s="376">
        <f>(E95-E88)-(E106-E103)</f>
        <v>41282</v>
      </c>
      <c r="F107" s="376">
        <f>(F95-F88)-(F106-F103)</f>
        <v>37842.886859999991</v>
      </c>
      <c r="G107" s="376">
        <f>(G95-G88)-(G106-G103)</f>
        <v>38378.6</v>
      </c>
    </row>
    <row r="108" spans="1:7">
      <c r="A108" s="387" t="s">
        <v>336</v>
      </c>
      <c r="B108" s="387"/>
      <c r="C108" s="388" t="s">
        <v>563</v>
      </c>
      <c r="D108" s="389">
        <f>D107-D85-D86+D100+D101</f>
        <v>0</v>
      </c>
      <c r="E108" s="389">
        <f>E107-E85-E86+E100+E101</f>
        <v>42527.1</v>
      </c>
      <c r="F108" s="389">
        <f>F107-F85-F86+F100+F101</f>
        <v>39257.718609999989</v>
      </c>
      <c r="G108" s="389">
        <f>G107-G85-G86+G100+G101</f>
        <v>39727.299999999996</v>
      </c>
    </row>
    <row r="109" spans="1:7">
      <c r="A109" s="362"/>
      <c r="B109" s="362"/>
      <c r="C109" s="363"/>
      <c r="D109" s="364"/>
      <c r="E109" s="364"/>
      <c r="F109" s="364"/>
      <c r="G109" s="364"/>
    </row>
    <row r="110" spans="1:7" s="250" customFormat="1">
      <c r="A110" s="390" t="s">
        <v>338</v>
      </c>
      <c r="B110" s="391"/>
      <c r="C110" s="390"/>
      <c r="D110" s="364"/>
      <c r="E110" s="364"/>
      <c r="F110" s="364"/>
      <c r="G110" s="364"/>
    </row>
    <row r="111" spans="1:7" s="396" customFormat="1">
      <c r="A111" s="392">
        <v>10</v>
      </c>
      <c r="B111" s="393"/>
      <c r="C111" s="393" t="s">
        <v>564</v>
      </c>
      <c r="D111" s="394">
        <f>D112+D117</f>
        <v>0</v>
      </c>
      <c r="E111" s="493">
        <f>E112+E117</f>
        <v>0</v>
      </c>
      <c r="F111" s="394">
        <f>F112+F117</f>
        <v>231452.80030999999</v>
      </c>
      <c r="G111" s="395">
        <f>G112+G117</f>
        <v>0</v>
      </c>
    </row>
    <row r="112" spans="1:7" s="396" customFormat="1">
      <c r="A112" s="397" t="s">
        <v>340</v>
      </c>
      <c r="B112" s="398"/>
      <c r="C112" s="398" t="s">
        <v>565</v>
      </c>
      <c r="D112" s="394">
        <f>D113+D114+D115+D116</f>
        <v>0</v>
      </c>
      <c r="E112" s="493">
        <f>E113+E114+E115+E116</f>
        <v>0</v>
      </c>
      <c r="F112" s="394">
        <f>F113+F114+F115+F116</f>
        <v>222542.02661</v>
      </c>
      <c r="G112" s="395">
        <f>G113+G114+G115+G116</f>
        <v>0</v>
      </c>
    </row>
    <row r="113" spans="1:7" s="396" customFormat="1">
      <c r="A113" s="410" t="s">
        <v>342</v>
      </c>
      <c r="B113" s="411"/>
      <c r="C113" s="411" t="s">
        <v>566</v>
      </c>
      <c r="D113" s="275"/>
      <c r="E113" s="316"/>
      <c r="F113" s="275">
        <v>180778.76366999999</v>
      </c>
      <c r="G113" s="277"/>
    </row>
    <row r="114" spans="1:7" s="406" customFormat="1" ht="15" customHeight="1">
      <c r="A114" s="414">
        <v>102</v>
      </c>
      <c r="B114" s="494"/>
      <c r="C114" s="494" t="s">
        <v>567</v>
      </c>
      <c r="D114" s="344"/>
      <c r="E114" s="344"/>
      <c r="F114" s="344">
        <v>0</v>
      </c>
      <c r="G114" s="495"/>
    </row>
    <row r="115" spans="1:7" s="396" customFormat="1">
      <c r="A115" s="410">
        <v>104</v>
      </c>
      <c r="B115" s="411"/>
      <c r="C115" s="411" t="s">
        <v>568</v>
      </c>
      <c r="D115" s="275"/>
      <c r="E115" s="316"/>
      <c r="F115" s="275">
        <v>41613.833189999998</v>
      </c>
      <c r="G115" s="277"/>
    </row>
    <row r="116" spans="1:7" s="396" customFormat="1">
      <c r="A116" s="410">
        <v>106</v>
      </c>
      <c r="B116" s="411"/>
      <c r="C116" s="411" t="s">
        <v>569</v>
      </c>
      <c r="D116" s="275"/>
      <c r="E116" s="316"/>
      <c r="F116" s="275">
        <v>149.42975000000001</v>
      </c>
      <c r="G116" s="277"/>
    </row>
    <row r="117" spans="1:7" s="396" customFormat="1">
      <c r="A117" s="397" t="s">
        <v>347</v>
      </c>
      <c r="B117" s="398"/>
      <c r="C117" s="398" t="s">
        <v>570</v>
      </c>
      <c r="D117" s="394">
        <f>D118+D119+D120</f>
        <v>0</v>
      </c>
      <c r="E117" s="493">
        <f>E118+E119+E120</f>
        <v>0</v>
      </c>
      <c r="F117" s="394">
        <f>F118+F119+F120</f>
        <v>8910.7736999999997</v>
      </c>
      <c r="G117" s="395">
        <f>G118+G119+G120</f>
        <v>0</v>
      </c>
    </row>
    <row r="118" spans="1:7" s="396" customFormat="1">
      <c r="A118" s="410">
        <v>107</v>
      </c>
      <c r="B118" s="411"/>
      <c r="C118" s="411" t="s">
        <v>571</v>
      </c>
      <c r="D118" s="275"/>
      <c r="E118" s="316"/>
      <c r="F118" s="275">
        <v>2650.18345</v>
      </c>
      <c r="G118" s="277"/>
    </row>
    <row r="119" spans="1:7" s="396" customFormat="1">
      <c r="A119" s="410">
        <v>108</v>
      </c>
      <c r="B119" s="411"/>
      <c r="C119" s="411" t="s">
        <v>572</v>
      </c>
      <c r="D119" s="275"/>
      <c r="E119" s="316"/>
      <c r="F119" s="275">
        <v>6260.5902500000002</v>
      </c>
      <c r="G119" s="277"/>
    </row>
    <row r="120" spans="1:7" s="409" customFormat="1" ht="28">
      <c r="A120" s="414">
        <v>109</v>
      </c>
      <c r="B120" s="415"/>
      <c r="C120" s="415" t="s">
        <v>573</v>
      </c>
      <c r="D120" s="281"/>
      <c r="E120" s="281"/>
      <c r="F120" s="281">
        <v>0</v>
      </c>
      <c r="G120" s="496"/>
    </row>
    <row r="121" spans="1:7" s="396" customFormat="1">
      <c r="A121" s="397">
        <v>14</v>
      </c>
      <c r="B121" s="398"/>
      <c r="C121" s="398" t="s">
        <v>574</v>
      </c>
      <c r="D121" s="394">
        <f>SUM(D122:D130)</f>
        <v>0</v>
      </c>
      <c r="E121" s="394">
        <f>SUM(E122:E130)</f>
        <v>0</v>
      </c>
      <c r="F121" s="394">
        <f>SUM(F122:F130)</f>
        <v>470918.09308999998</v>
      </c>
      <c r="G121" s="394">
        <f>SUM(G122:G130)</f>
        <v>0</v>
      </c>
    </row>
    <row r="122" spans="1:7" s="396" customFormat="1">
      <c r="A122" s="410" t="s">
        <v>353</v>
      </c>
      <c r="B122" s="411"/>
      <c r="C122" s="411" t="s">
        <v>575</v>
      </c>
      <c r="D122" s="275"/>
      <c r="E122" s="316"/>
      <c r="F122" s="275">
        <v>217848.12938999999</v>
      </c>
      <c r="G122" s="277"/>
    </row>
    <row r="123" spans="1:7" s="396" customFormat="1">
      <c r="A123" s="410">
        <v>144</v>
      </c>
      <c r="B123" s="411"/>
      <c r="C123" s="411" t="s">
        <v>541</v>
      </c>
      <c r="D123" s="275"/>
      <c r="E123" s="316"/>
      <c r="F123" s="275">
        <v>95363.487999999998</v>
      </c>
      <c r="G123" s="277"/>
    </row>
    <row r="124" spans="1:7" s="396" customFormat="1">
      <c r="A124" s="410">
        <v>145</v>
      </c>
      <c r="B124" s="411"/>
      <c r="C124" s="411" t="s">
        <v>576</v>
      </c>
      <c r="D124" s="275"/>
      <c r="E124" s="316"/>
      <c r="F124" s="275">
        <v>22555.53</v>
      </c>
      <c r="G124" s="413"/>
    </row>
    <row r="125" spans="1:7" s="396" customFormat="1">
      <c r="A125" s="410">
        <v>146</v>
      </c>
      <c r="B125" s="411"/>
      <c r="C125" s="411" t="s">
        <v>577</v>
      </c>
      <c r="D125" s="275"/>
      <c r="E125" s="316"/>
      <c r="F125" s="275">
        <v>135150.94570000001</v>
      </c>
      <c r="G125" s="413"/>
    </row>
    <row r="126" spans="1:7" s="409" customFormat="1" ht="29.5" customHeight="1">
      <c r="A126" s="414" t="s">
        <v>357</v>
      </c>
      <c r="B126" s="415"/>
      <c r="C126" s="415" t="s">
        <v>578</v>
      </c>
      <c r="D126" s="281"/>
      <c r="E126" s="281"/>
      <c r="F126" s="281">
        <v>0</v>
      </c>
      <c r="G126" s="417"/>
    </row>
    <row r="127" spans="1:7" s="396" customFormat="1">
      <c r="A127" s="410">
        <v>1484</v>
      </c>
      <c r="B127" s="411"/>
      <c r="C127" s="411" t="s">
        <v>579</v>
      </c>
      <c r="D127" s="275"/>
      <c r="E127" s="316"/>
      <c r="F127" s="275">
        <v>0</v>
      </c>
      <c r="G127" s="413"/>
    </row>
    <row r="128" spans="1:7" s="409" customFormat="1" ht="14">
      <c r="A128" s="414">
        <v>1485</v>
      </c>
      <c r="B128" s="415"/>
      <c r="C128" s="415" t="s">
        <v>580</v>
      </c>
      <c r="D128" s="281"/>
      <c r="E128" s="281"/>
      <c r="F128" s="281">
        <v>0</v>
      </c>
      <c r="G128" s="417"/>
    </row>
    <row r="129" spans="1:7" s="409" customFormat="1" ht="28">
      <c r="A129" s="414">
        <v>1486</v>
      </c>
      <c r="B129" s="415"/>
      <c r="C129" s="415" t="s">
        <v>581</v>
      </c>
      <c r="D129" s="281"/>
      <c r="E129" s="281"/>
      <c r="F129" s="281">
        <v>0</v>
      </c>
      <c r="G129" s="417"/>
    </row>
    <row r="130" spans="1:7" s="409" customFormat="1" ht="14">
      <c r="A130" s="544">
        <v>1489</v>
      </c>
      <c r="B130" s="545"/>
      <c r="C130" s="545" t="s">
        <v>582</v>
      </c>
      <c r="D130" s="547"/>
      <c r="E130" s="547"/>
      <c r="F130" s="547">
        <v>0</v>
      </c>
      <c r="G130" s="548"/>
    </row>
    <row r="131" spans="1:7" s="250" customFormat="1">
      <c r="A131" s="422">
        <v>1</v>
      </c>
      <c r="B131" s="423"/>
      <c r="C131" s="422" t="s">
        <v>583</v>
      </c>
      <c r="D131" s="424">
        <f>D111+D121</f>
        <v>0</v>
      </c>
      <c r="E131" s="424">
        <f>E111+E121</f>
        <v>0</v>
      </c>
      <c r="F131" s="424">
        <f>F111+F121</f>
        <v>702370.89339999994</v>
      </c>
      <c r="G131" s="424">
        <f>G111+G121</f>
        <v>0</v>
      </c>
    </row>
    <row r="132" spans="1:7" s="250" customFormat="1">
      <c r="A132" s="362"/>
      <c r="B132" s="362"/>
      <c r="C132" s="363"/>
      <c r="D132" s="364"/>
      <c r="E132" s="364"/>
      <c r="F132" s="364"/>
      <c r="G132" s="364"/>
    </row>
    <row r="133" spans="1:7" s="396" customFormat="1">
      <c r="A133" s="392">
        <v>20</v>
      </c>
      <c r="B133" s="393"/>
      <c r="C133" s="393" t="s">
        <v>584</v>
      </c>
      <c r="D133" s="425">
        <f>D134+D140</f>
        <v>0</v>
      </c>
      <c r="E133" s="425">
        <f>E134+E140</f>
        <v>0</v>
      </c>
      <c r="F133" s="425">
        <f>F134+F140</f>
        <v>486016.86059</v>
      </c>
      <c r="G133" s="426">
        <f>G134+G140</f>
        <v>0</v>
      </c>
    </row>
    <row r="134" spans="1:7" s="396" customFormat="1">
      <c r="A134" s="427" t="s">
        <v>365</v>
      </c>
      <c r="B134" s="398"/>
      <c r="C134" s="398" t="s">
        <v>585</v>
      </c>
      <c r="D134" s="394">
        <f>D135+D136+D138+D139</f>
        <v>0</v>
      </c>
      <c r="E134" s="394">
        <f>E135+E136+E138+E139</f>
        <v>0</v>
      </c>
      <c r="F134" s="394">
        <f>F135+F136+F138+F139</f>
        <v>199697.49333999999</v>
      </c>
      <c r="G134" s="395">
        <f>G135+G136+G138+G139</f>
        <v>0</v>
      </c>
    </row>
    <row r="135" spans="1:7" s="429" customFormat="1">
      <c r="A135" s="428">
        <v>200</v>
      </c>
      <c r="B135" s="411"/>
      <c r="C135" s="411" t="s">
        <v>586</v>
      </c>
      <c r="D135" s="275"/>
      <c r="E135" s="275"/>
      <c r="F135" s="275">
        <v>67196.03976</v>
      </c>
      <c r="G135" s="277"/>
    </row>
    <row r="136" spans="1:7" s="429" customFormat="1">
      <c r="A136" s="428">
        <v>201</v>
      </c>
      <c r="B136" s="411"/>
      <c r="C136" s="411" t="s">
        <v>587</v>
      </c>
      <c r="D136" s="275"/>
      <c r="E136" s="275"/>
      <c r="F136" s="275">
        <v>91226.009659999996</v>
      </c>
      <c r="G136" s="277"/>
    </row>
    <row r="137" spans="1:7" s="429" customFormat="1">
      <c r="A137" s="430" t="s">
        <v>588</v>
      </c>
      <c r="B137" s="400"/>
      <c r="C137" s="400" t="s">
        <v>589</v>
      </c>
      <c r="D137" s="271"/>
      <c r="E137" s="271"/>
      <c r="F137" s="271">
        <v>0</v>
      </c>
      <c r="G137" s="432"/>
    </row>
    <row r="138" spans="1:7" s="429" customFormat="1">
      <c r="A138" s="428">
        <v>204</v>
      </c>
      <c r="B138" s="411"/>
      <c r="C138" s="411" t="s">
        <v>590</v>
      </c>
      <c r="D138" s="275"/>
      <c r="E138" s="275"/>
      <c r="F138" s="275">
        <v>32127.207719999999</v>
      </c>
      <c r="G138" s="413"/>
    </row>
    <row r="139" spans="1:7" s="429" customFormat="1">
      <c r="A139" s="428">
        <v>205</v>
      </c>
      <c r="B139" s="411"/>
      <c r="C139" s="411" t="s">
        <v>591</v>
      </c>
      <c r="D139" s="275"/>
      <c r="E139" s="275"/>
      <c r="F139" s="275">
        <v>9148.2361999999994</v>
      </c>
      <c r="G139" s="413"/>
    </row>
    <row r="140" spans="1:7" s="429" customFormat="1">
      <c r="A140" s="427" t="s">
        <v>373</v>
      </c>
      <c r="B140" s="398"/>
      <c r="C140" s="398" t="s">
        <v>592</v>
      </c>
      <c r="D140" s="394">
        <f>D141+D143+D144</f>
        <v>0</v>
      </c>
      <c r="E140" s="394">
        <f>E141+E143+E144</f>
        <v>0</v>
      </c>
      <c r="F140" s="394">
        <f>F141+F143+F144</f>
        <v>286319.36725000001</v>
      </c>
      <c r="G140" s="395">
        <f>G141+G143+G144</f>
        <v>0</v>
      </c>
    </row>
    <row r="141" spans="1:7" s="429" customFormat="1">
      <c r="A141" s="428">
        <v>206</v>
      </c>
      <c r="B141" s="411"/>
      <c r="C141" s="411" t="s">
        <v>593</v>
      </c>
      <c r="D141" s="275"/>
      <c r="E141" s="275"/>
      <c r="F141" s="275">
        <v>280915.87378999998</v>
      </c>
      <c r="G141" s="413"/>
    </row>
    <row r="142" spans="1:7" s="429" customFormat="1">
      <c r="A142" s="430" t="s">
        <v>594</v>
      </c>
      <c r="B142" s="400"/>
      <c r="C142" s="400" t="s">
        <v>595</v>
      </c>
      <c r="D142" s="271"/>
      <c r="E142" s="271"/>
      <c r="F142" s="271">
        <v>0</v>
      </c>
      <c r="G142" s="432"/>
    </row>
    <row r="143" spans="1:7" s="429" customFormat="1">
      <c r="A143" s="428">
        <v>208</v>
      </c>
      <c r="B143" s="411"/>
      <c r="C143" s="411" t="s">
        <v>596</v>
      </c>
      <c r="D143" s="275"/>
      <c r="E143" s="275"/>
      <c r="F143" s="275">
        <v>0</v>
      </c>
      <c r="G143" s="413"/>
    </row>
    <row r="144" spans="1:7" s="433" customFormat="1" ht="28">
      <c r="A144" s="414">
        <v>209</v>
      </c>
      <c r="B144" s="415"/>
      <c r="C144" s="415" t="s">
        <v>597</v>
      </c>
      <c r="D144" s="281"/>
      <c r="E144" s="281"/>
      <c r="F144" s="281">
        <v>5403.4934599999997</v>
      </c>
      <c r="G144" s="417"/>
    </row>
    <row r="145" spans="1:7" s="396" customFormat="1">
      <c r="A145" s="427">
        <v>29</v>
      </c>
      <c r="B145" s="398"/>
      <c r="C145" s="398" t="s">
        <v>598</v>
      </c>
      <c r="D145" s="412"/>
      <c r="E145" s="412"/>
      <c r="F145" s="412">
        <v>216354.03281</v>
      </c>
      <c r="G145" s="413"/>
    </row>
    <row r="146" spans="1:7" s="396" customFormat="1">
      <c r="A146" s="434" t="s">
        <v>599</v>
      </c>
      <c r="B146" s="435"/>
      <c r="C146" s="435" t="s">
        <v>600</v>
      </c>
      <c r="D146" s="306"/>
      <c r="E146" s="306"/>
      <c r="F146" s="332">
        <v>201432.01172000001</v>
      </c>
      <c r="G146" s="436"/>
    </row>
    <row r="147" spans="1:7" s="250" customFormat="1">
      <c r="A147" s="422">
        <v>2</v>
      </c>
      <c r="B147" s="423"/>
      <c r="C147" s="422" t="s">
        <v>601</v>
      </c>
      <c r="D147" s="424">
        <f>D133+D145</f>
        <v>0</v>
      </c>
      <c r="E147" s="424">
        <f>E133+E145</f>
        <v>0</v>
      </c>
      <c r="F147" s="424">
        <f>F133+F145</f>
        <v>702370.89339999994</v>
      </c>
      <c r="G147" s="424">
        <f>G133+G145</f>
        <v>0</v>
      </c>
    </row>
    <row r="148" spans="1:7" ht="7.5" customHeight="1">
      <c r="D148" s="250"/>
      <c r="F148" s="250"/>
    </row>
    <row r="149" spans="1:7" ht="13.5" customHeight="1">
      <c r="A149" s="437" t="s">
        <v>602</v>
      </c>
      <c r="B149" s="438"/>
      <c r="C149" s="439"/>
      <c r="D149" s="438"/>
      <c r="E149" s="438"/>
      <c r="F149" s="438"/>
      <c r="G149" s="438"/>
    </row>
    <row r="150" spans="1:7">
      <c r="A150" s="509" t="s">
        <v>603</v>
      </c>
      <c r="B150" s="509"/>
      <c r="C150" s="509" t="s">
        <v>156</v>
      </c>
      <c r="D150" s="442">
        <f>D77+SUM(D8:D12)-D30-D31+D16-D33+D59+D63-D73+D64-D74-D54+D20-D35</f>
        <v>0</v>
      </c>
      <c r="E150" s="442">
        <f>E77+SUM(E8:E12)-E30-E31+E16-E33+E59+E63-E73+E64-E74-E54+E20-E35</f>
        <v>39460.399999999951</v>
      </c>
      <c r="F150" s="442">
        <f>F77+SUM(F8:F12)-F30-F31+F16-F33+F59+F63-F73+F64-F74-F54+F20-F35</f>
        <v>36177.805490000086</v>
      </c>
      <c r="G150" s="442">
        <f>G77+SUM(G8:G12)-G30-G31+G16-G33+G59+G63-G73+G64-G74-G54+G20-G35</f>
        <v>38024.6</v>
      </c>
    </row>
    <row r="151" spans="1:7">
      <c r="A151" s="510" t="s">
        <v>604</v>
      </c>
      <c r="B151" s="510"/>
      <c r="C151" s="510" t="s">
        <v>605</v>
      </c>
      <c r="D151" s="445">
        <f>IF(D177=0,0,D150/D177)</f>
        <v>0</v>
      </c>
      <c r="E151" s="445">
        <f>IF(E177=0,0,E150/E177)</f>
        <v>5.3996227691546397E-2</v>
      </c>
      <c r="F151" s="445">
        <f>IF(F177=0,0,F150/F177)</f>
        <v>4.9149902663690466E-2</v>
      </c>
      <c r="G151" s="445">
        <f>IF(G177=0,0,G150/G177)</f>
        <v>4.9951702993310927E-2</v>
      </c>
    </row>
    <row r="152" spans="1:7" s="449" customFormat="1" ht="28">
      <c r="A152" s="511" t="s">
        <v>606</v>
      </c>
      <c r="B152" s="511"/>
      <c r="C152" s="511" t="s">
        <v>607</v>
      </c>
      <c r="D152" s="591">
        <f t="shared" ref="D152:G153" si="0">IF(IF(D107=0,0,D$150/D107)&lt;0,"negativ",(IF(D107=0,0,D$150/D107)))</f>
        <v>0</v>
      </c>
      <c r="E152" s="591">
        <f t="shared" si="0"/>
        <v>0.9558742308996645</v>
      </c>
      <c r="F152" s="591">
        <f t="shared" si="0"/>
        <v>0.95600014935013056</v>
      </c>
      <c r="G152" s="591">
        <f t="shared" si="0"/>
        <v>0.99077610960274731</v>
      </c>
    </row>
    <row r="153" spans="1:7" s="449" customFormat="1" ht="28">
      <c r="A153" s="512" t="s">
        <v>606</v>
      </c>
      <c r="B153" s="512"/>
      <c r="C153" s="512" t="s">
        <v>608</v>
      </c>
      <c r="D153" s="592">
        <f t="shared" si="0"/>
        <v>0</v>
      </c>
      <c r="E153" s="592">
        <f t="shared" si="0"/>
        <v>0.92788833473244003</v>
      </c>
      <c r="F153" s="592">
        <f t="shared" si="0"/>
        <v>0.92154630403776527</v>
      </c>
      <c r="G153" s="592">
        <f t="shared" si="0"/>
        <v>0.95714030402267469</v>
      </c>
    </row>
    <row r="154" spans="1:7" ht="28">
      <c r="A154" s="513" t="s">
        <v>609</v>
      </c>
      <c r="B154" s="513"/>
      <c r="C154" s="513" t="s">
        <v>610</v>
      </c>
      <c r="D154" s="455">
        <f>D150-D107</f>
        <v>0</v>
      </c>
      <c r="E154" s="455">
        <f>E150-E107</f>
        <v>-1821.6000000000495</v>
      </c>
      <c r="F154" s="455">
        <f>F150-F107</f>
        <v>-1665.0813699999053</v>
      </c>
      <c r="G154" s="455">
        <f>G150-G107</f>
        <v>-354</v>
      </c>
    </row>
    <row r="155" spans="1:7" ht="27.5" customHeight="1">
      <c r="A155" s="512" t="s">
        <v>611</v>
      </c>
      <c r="B155" s="512"/>
      <c r="C155" s="512" t="s">
        <v>612</v>
      </c>
      <c r="D155" s="456">
        <f>D150-D108</f>
        <v>0</v>
      </c>
      <c r="E155" s="456">
        <f>E150-E108</f>
        <v>-3066.700000000048</v>
      </c>
      <c r="F155" s="456">
        <f>F150-F108</f>
        <v>-3079.9131199999028</v>
      </c>
      <c r="G155" s="456">
        <f>G150-G108</f>
        <v>-1702.6999999999971</v>
      </c>
    </row>
    <row r="156" spans="1:7">
      <c r="A156" s="509" t="s">
        <v>613</v>
      </c>
      <c r="B156" s="509"/>
      <c r="C156" s="509" t="s">
        <v>614</v>
      </c>
      <c r="D156" s="457">
        <f>D135+D136-D137+D141-D142</f>
        <v>0</v>
      </c>
      <c r="E156" s="457">
        <f>E135+E136-E137+E141-E142</f>
        <v>0</v>
      </c>
      <c r="F156" s="457">
        <f>F135+F136-F137+F141-F142</f>
        <v>439337.92320999998</v>
      </c>
      <c r="G156" s="457">
        <f>G135+G136-G137+G141-G142</f>
        <v>0</v>
      </c>
    </row>
    <row r="157" spans="1:7">
      <c r="A157" s="514" t="s">
        <v>615</v>
      </c>
      <c r="B157" s="514"/>
      <c r="C157" s="514" t="s">
        <v>616</v>
      </c>
      <c r="D157" s="460">
        <f>IF(D177=0,0,D156/D177)</f>
        <v>0</v>
      </c>
      <c r="E157" s="460">
        <f>IF(E177=0,0,E156/E177)</f>
        <v>0</v>
      </c>
      <c r="F157" s="460">
        <f>IF(F177=0,0,F156/F177)</f>
        <v>0.5968691541616048</v>
      </c>
      <c r="G157" s="460">
        <f>IF(G177=0,0,G156/G177)</f>
        <v>0</v>
      </c>
    </row>
    <row r="158" spans="1:7">
      <c r="A158" s="509" t="s">
        <v>617</v>
      </c>
      <c r="B158" s="509"/>
      <c r="C158" s="509" t="s">
        <v>618</v>
      </c>
      <c r="D158" s="457">
        <f>D133-D142-D111</f>
        <v>0</v>
      </c>
      <c r="E158" s="457">
        <f>E133-E142-E111</f>
        <v>0</v>
      </c>
      <c r="F158" s="457">
        <f>F133-F142-F111</f>
        <v>254564.06028000001</v>
      </c>
      <c r="G158" s="457">
        <f>G133-G142-G111</f>
        <v>0</v>
      </c>
    </row>
    <row r="159" spans="1:7">
      <c r="A159" s="510" t="s">
        <v>619</v>
      </c>
      <c r="B159" s="510"/>
      <c r="C159" s="510" t="s">
        <v>620</v>
      </c>
      <c r="D159" s="461">
        <f>D121-D123-D124-D142-D145</f>
        <v>0</v>
      </c>
      <c r="E159" s="461">
        <f>E121-E123-E124-E142-E145</f>
        <v>0</v>
      </c>
      <c r="F159" s="461">
        <f>F121-F123-F124-F142-F145</f>
        <v>136645.04227999994</v>
      </c>
      <c r="G159" s="461">
        <f>G121-G123-G124-G142-G145</f>
        <v>0</v>
      </c>
    </row>
    <row r="160" spans="1:7">
      <c r="A160" s="510" t="s">
        <v>621</v>
      </c>
      <c r="B160" s="510"/>
      <c r="C160" s="510" t="s">
        <v>622</v>
      </c>
      <c r="D160" s="462" t="str">
        <f>IF(D175=0,"-",1000*D158/D175)</f>
        <v>-</v>
      </c>
      <c r="E160" s="462">
        <f>IF(E175=0,"-",1000*E158/E175)</f>
        <v>0</v>
      </c>
      <c r="F160" s="462">
        <f>IF(F175=0,"-",1000*F158/F175)</f>
        <v>3608.6878778599985</v>
      </c>
      <c r="G160" s="462">
        <f>IF(G175=0,"-",1000*G158/G175)</f>
        <v>0</v>
      </c>
    </row>
    <row r="161" spans="1:8">
      <c r="A161" s="510" t="s">
        <v>621</v>
      </c>
      <c r="B161" s="510"/>
      <c r="C161" s="510" t="s">
        <v>623</v>
      </c>
      <c r="D161" s="461">
        <f>IF(D175=0,0,1000*(D159/D175))</f>
        <v>0</v>
      </c>
      <c r="E161" s="461">
        <f>IF(E175=0,0,1000*(E159/E175))</f>
        <v>0</v>
      </c>
      <c r="F161" s="461">
        <f>IF(F175=0,0,1000*(F159/F175))</f>
        <v>1937.0735488078014</v>
      </c>
      <c r="G161" s="461">
        <f>IF(G175=0,0,1000*(G159/G175))</f>
        <v>0</v>
      </c>
    </row>
    <row r="162" spans="1:8">
      <c r="A162" s="514" t="s">
        <v>624</v>
      </c>
      <c r="B162" s="514"/>
      <c r="C162" s="514" t="s">
        <v>625</v>
      </c>
      <c r="D162" s="460">
        <f>IF((D22+D23+D65+D66)=0,0,D158/(D22+D23+D65+D66))</f>
        <v>0</v>
      </c>
      <c r="E162" s="460">
        <f>IF((E22+E23+E65+E66)=0,0,E158/(E22+E23+E65+E66))</f>
        <v>0</v>
      </c>
      <c r="F162" s="460">
        <f>IF((F22+F23+F65+F66)=0,0,F158/(F22+F23+F65+F66))</f>
        <v>0.81641973481035457</v>
      </c>
      <c r="G162" s="460">
        <f>IF((G22+G23+G65+G66)=0,0,G158/(G22+G23+G65+G66))</f>
        <v>0</v>
      </c>
    </row>
    <row r="163" spans="1:8">
      <c r="A163" s="510" t="s">
        <v>626</v>
      </c>
      <c r="B163" s="510"/>
      <c r="C163" s="510" t="s">
        <v>627</v>
      </c>
      <c r="D163" s="442">
        <f>D145</f>
        <v>0</v>
      </c>
      <c r="E163" s="442">
        <f>E145</f>
        <v>0</v>
      </c>
      <c r="F163" s="442">
        <f>F145</f>
        <v>216354.03281</v>
      </c>
      <c r="G163" s="442">
        <f>G145</f>
        <v>0</v>
      </c>
    </row>
    <row r="164" spans="1:8" ht="28">
      <c r="A164" s="512" t="s">
        <v>628</v>
      </c>
      <c r="B164" s="514"/>
      <c r="C164" s="514" t="s">
        <v>629</v>
      </c>
      <c r="D164" s="452">
        <f>IF(D178=0,0,D146/D178)</f>
        <v>0</v>
      </c>
      <c r="E164" s="452">
        <f>IF(E178=0,0,E146/E178)</f>
        <v>0</v>
      </c>
      <c r="F164" s="452">
        <f>IF(F178=0,0,F146/F178)</f>
        <v>0.2710283851775071</v>
      </c>
      <c r="G164" s="452">
        <f>IF(G178=0,0,G146/G178)</f>
        <v>0</v>
      </c>
    </row>
    <row r="165" spans="1:8">
      <c r="A165" s="515" t="s">
        <v>682</v>
      </c>
      <c r="B165" s="515"/>
      <c r="C165" s="515" t="s">
        <v>631</v>
      </c>
      <c r="D165" s="465">
        <f>IF(D177=0,0,D180/D177)</f>
        <v>0</v>
      </c>
      <c r="E165" s="465">
        <f>IF(E177=0,0,E180/E177)</f>
        <v>5.8724475888862503E-2</v>
      </c>
      <c r="F165" s="465">
        <f>IF(F177=0,0,F180/F177)</f>
        <v>5.6529295274991911E-2</v>
      </c>
      <c r="G165" s="465">
        <f>IF(G177=0,0,G180/G177)</f>
        <v>5.2509020630237511E-2</v>
      </c>
    </row>
    <row r="166" spans="1:8">
      <c r="A166" s="510" t="s">
        <v>632</v>
      </c>
      <c r="B166" s="510"/>
      <c r="C166" s="510" t="s">
        <v>633</v>
      </c>
      <c r="D166" s="442">
        <f>D55</f>
        <v>0</v>
      </c>
      <c r="E166" s="442">
        <f>E55</f>
        <v>2665.2000000000007</v>
      </c>
      <c r="F166" s="442">
        <f>F55</f>
        <v>3087.9383400000006</v>
      </c>
      <c r="G166" s="442">
        <f>G55</f>
        <v>4205.6000000000004</v>
      </c>
    </row>
    <row r="167" spans="1:8" s="449" customFormat="1" ht="28">
      <c r="A167" s="512" t="s">
        <v>634</v>
      </c>
      <c r="B167" s="514"/>
      <c r="C167" s="514" t="s">
        <v>635</v>
      </c>
      <c r="D167" s="452">
        <f>IF(0=D111,0,(D44+D45+D46+D47+D48)/D111)</f>
        <v>0</v>
      </c>
      <c r="E167" s="452">
        <f>IF(0=E111,0,(E44+E45+E46+E47+E48)/E111)</f>
        <v>0</v>
      </c>
      <c r="F167" s="452">
        <f>IF(0=F111,0,(F44+F45+F46+F47+F48)/F111)</f>
        <v>1.7978589001414705E-2</v>
      </c>
      <c r="G167" s="452">
        <f>IF(0=G111,0,(G44+G45+G46+G47+G48)/G111)</f>
        <v>0</v>
      </c>
    </row>
    <row r="168" spans="1:8">
      <c r="A168" s="510" t="s">
        <v>636</v>
      </c>
      <c r="B168" s="509"/>
      <c r="C168" s="509" t="s">
        <v>637</v>
      </c>
      <c r="D168" s="442">
        <f>D38-D44</f>
        <v>0</v>
      </c>
      <c r="E168" s="442">
        <f>E38-E44</f>
        <v>4128.8</v>
      </c>
      <c r="F168" s="442">
        <f>F38-F44</f>
        <v>3119.5145100000004</v>
      </c>
      <c r="G168" s="442">
        <f>G38-G44</f>
        <v>2265.3000000000002</v>
      </c>
    </row>
    <row r="169" spans="1:8">
      <c r="A169" s="514" t="s">
        <v>638</v>
      </c>
      <c r="B169" s="514"/>
      <c r="C169" s="514" t="s">
        <v>639</v>
      </c>
      <c r="D169" s="445">
        <f>IF(D177=0,0,D168/D177)</f>
        <v>0</v>
      </c>
      <c r="E169" s="445">
        <f>IF(E177=0,0,E168/E177)</f>
        <v>5.64970514472375E-3</v>
      </c>
      <c r="F169" s="445">
        <f>IF(F177=0,0,F168/F177)</f>
        <v>4.2380634327543812E-3</v>
      </c>
      <c r="G169" s="445">
        <f>IF(G177=0,0,G168/G177)</f>
        <v>2.9758522848563106E-3</v>
      </c>
    </row>
    <row r="170" spans="1:8">
      <c r="A170" s="510" t="s">
        <v>640</v>
      </c>
      <c r="B170" s="510"/>
      <c r="C170" s="510" t="s">
        <v>641</v>
      </c>
      <c r="D170" s="442">
        <f>SUM(D82:D87)+SUM(D89:D94)</f>
        <v>0</v>
      </c>
      <c r="E170" s="442">
        <f>SUM(E82:E87)+SUM(E89:E94)</f>
        <v>48047.5</v>
      </c>
      <c r="F170" s="442">
        <f>SUM(F82:F87)+SUM(F89:F94)</f>
        <v>44857.114509999992</v>
      </c>
      <c r="G170" s="442">
        <f>SUM(G82:G87)+SUM(G89:G94)</f>
        <v>43866.5</v>
      </c>
    </row>
    <row r="171" spans="1:8">
      <c r="A171" s="510" t="s">
        <v>642</v>
      </c>
      <c r="B171" s="510"/>
      <c r="C171" s="510" t="s">
        <v>643</v>
      </c>
      <c r="D171" s="461">
        <f>SUM(D96:D102)+SUM(D104:D105)</f>
        <v>0</v>
      </c>
      <c r="E171" s="461">
        <f>SUM(E96:E102)+SUM(E104:E105)</f>
        <v>6765.5</v>
      </c>
      <c r="F171" s="461">
        <f>SUM(F96:F102)+SUM(F104:F105)</f>
        <v>7014.2276499999998</v>
      </c>
      <c r="G171" s="461">
        <f>SUM(G96:G102)+SUM(G104:G105)</f>
        <v>5487.9</v>
      </c>
    </row>
    <row r="172" spans="1:8">
      <c r="A172" s="515" t="s">
        <v>630</v>
      </c>
      <c r="B172" s="515"/>
      <c r="C172" s="515" t="s">
        <v>644</v>
      </c>
      <c r="D172" s="465">
        <f>IF(D184=0,0,D170/D184)</f>
        <v>0</v>
      </c>
      <c r="E172" s="465">
        <f>IF(E184=0,0,E170/E184)</f>
        <v>6.5433716009978035E-2</v>
      </c>
      <c r="F172" s="465">
        <f>IF(F184=0,0,F170/F184)</f>
        <v>6.0597657329160191E-2</v>
      </c>
      <c r="G172" s="465">
        <f>IF(G184=0,0,G170/G184)</f>
        <v>5.7955055155498272E-2</v>
      </c>
    </row>
    <row r="174" spans="1:8">
      <c r="A174" s="467" t="s">
        <v>645</v>
      </c>
      <c r="B174" s="468"/>
      <c r="C174" s="467"/>
      <c r="D174" s="364"/>
      <c r="E174" s="364"/>
      <c r="F174" s="364"/>
      <c r="G174" s="364"/>
    </row>
    <row r="175" spans="1:8" s="260" customFormat="1">
      <c r="A175" s="468" t="s">
        <v>646</v>
      </c>
      <c r="B175" s="468"/>
      <c r="C175" s="468" t="s">
        <v>647</v>
      </c>
      <c r="D175" s="472"/>
      <c r="E175" s="472">
        <v>70500</v>
      </c>
      <c r="F175" s="472">
        <v>70542</v>
      </c>
      <c r="G175" s="472">
        <v>70926</v>
      </c>
      <c r="H175" s="252"/>
    </row>
    <row r="176" spans="1:8">
      <c r="A176" s="467" t="s">
        <v>648</v>
      </c>
      <c r="B176" s="468"/>
      <c r="C176" s="468"/>
      <c r="D176" s="468"/>
      <c r="E176" s="468"/>
      <c r="F176" s="468"/>
      <c r="G176" s="468"/>
    </row>
    <row r="177" spans="1:7">
      <c r="A177" s="468" t="s">
        <v>649</v>
      </c>
      <c r="B177" s="468"/>
      <c r="C177" s="468" t="s">
        <v>650</v>
      </c>
      <c r="D177" s="472">
        <f>SUM(D22:D32)+SUM(D44:D53)+SUM(D65:D72)+D75</f>
        <v>0</v>
      </c>
      <c r="E177" s="472">
        <f>SUM(E22:E32)+SUM(E44:E53)+SUM(E65:E72)+E75</f>
        <v>730799.2</v>
      </c>
      <c r="F177" s="472">
        <f>SUM(F22:F32)+SUM(F44:F53)+SUM(F65:F72)+F75</f>
        <v>736070.74540000001</v>
      </c>
      <c r="G177" s="472">
        <f>SUM(G22:G32)+SUM(G44:G53)+SUM(G65:G72)+G75</f>
        <v>761227.3</v>
      </c>
    </row>
    <row r="178" spans="1:7">
      <c r="A178" s="468" t="s">
        <v>651</v>
      </c>
      <c r="B178" s="468"/>
      <c r="C178" s="468" t="s">
        <v>652</v>
      </c>
      <c r="D178" s="472">
        <f>D78-D17-D20-D59-D63-D64</f>
        <v>0</v>
      </c>
      <c r="E178" s="472">
        <f>E78-E17-E20-E59-E63-E64</f>
        <v>733979.8</v>
      </c>
      <c r="F178" s="472">
        <f>F78-F17-F20-F59-F63-F64</f>
        <v>743213.71020999993</v>
      </c>
      <c r="G178" s="472">
        <f>G78-G17-G20-G59-G63-G64</f>
        <v>760500.20000000007</v>
      </c>
    </row>
    <row r="179" spans="1:7">
      <c r="A179" s="468"/>
      <c r="B179" s="468"/>
      <c r="C179" s="468" t="s">
        <v>653</v>
      </c>
      <c r="D179" s="472">
        <f>D178+D170</f>
        <v>0</v>
      </c>
      <c r="E179" s="472">
        <f>E178+E170</f>
        <v>782027.3</v>
      </c>
      <c r="F179" s="472">
        <f>F178+F170</f>
        <v>788070.82471999992</v>
      </c>
      <c r="G179" s="472">
        <f>G178+G170</f>
        <v>804366.70000000007</v>
      </c>
    </row>
    <row r="180" spans="1:7">
      <c r="A180" s="468" t="s">
        <v>654</v>
      </c>
      <c r="B180" s="468"/>
      <c r="C180" s="468" t="s">
        <v>655</v>
      </c>
      <c r="D180" s="472">
        <f>D38-D44+D8+D9+D10+D16-D33</f>
        <v>0</v>
      </c>
      <c r="E180" s="472">
        <f>E38-E44+E8+E9+E10+E16-E33</f>
        <v>42915.8</v>
      </c>
      <c r="F180" s="472">
        <f>F38-F44+F8+F9+F10+F16-F33</f>
        <v>41609.560509999996</v>
      </c>
      <c r="G180" s="472">
        <f>G38-G44+G8+G9+G10+G16-G33</f>
        <v>39971.300000000003</v>
      </c>
    </row>
    <row r="181" spans="1:7" ht="27.5" customHeight="1">
      <c r="A181" s="473" t="s">
        <v>656</v>
      </c>
      <c r="B181" s="474"/>
      <c r="C181" s="474" t="s">
        <v>657</v>
      </c>
      <c r="D181" s="475">
        <f>D22+D23+D24+D25+D26+D29+SUM(D44:D47)+SUM(D49:D53)-D54+D32-D33+SUM(D65:D70)+D72</f>
        <v>0</v>
      </c>
      <c r="E181" s="475">
        <f>E22+E23+E24+E25+E26+E29+SUM(E44:E47)+SUM(E49:E53)-E54+E32-E33+SUM(E65:E70)+E72</f>
        <v>725685.60000000009</v>
      </c>
      <c r="F181" s="475">
        <f>F22+F23+F24+F25+F26+F29+SUM(F44:F47)+SUM(F49:F53)-F54+F32-F33+SUM(F65:F70)+F72</f>
        <v>731424.13437999994</v>
      </c>
      <c r="G181" s="475">
        <f>G22+G23+G24+G25+G26+G29+SUM(G44:G47)+SUM(G49:G53)-G54+G32-G33+SUM(G65:G70)+G72</f>
        <v>751043.10000000009</v>
      </c>
    </row>
    <row r="182" spans="1:7">
      <c r="A182" s="474" t="s">
        <v>658</v>
      </c>
      <c r="B182" s="474"/>
      <c r="C182" s="474" t="s">
        <v>659</v>
      </c>
      <c r="D182" s="475">
        <f>D181+D171</f>
        <v>0</v>
      </c>
      <c r="E182" s="475">
        <f>E181+E171</f>
        <v>732451.10000000009</v>
      </c>
      <c r="F182" s="475">
        <f>F181+F171</f>
        <v>738438.36202999996</v>
      </c>
      <c r="G182" s="475">
        <f>G181+G171</f>
        <v>756531.00000000012</v>
      </c>
    </row>
    <row r="183" spans="1:7">
      <c r="A183" s="474" t="s">
        <v>660</v>
      </c>
      <c r="B183" s="474"/>
      <c r="C183" s="474" t="s">
        <v>683</v>
      </c>
      <c r="D183" s="475">
        <f>D4+D5-D7+D38+D39+D40+D41+D43+D13-D16+D57+D58+D60+D61+D62</f>
        <v>0</v>
      </c>
      <c r="E183" s="475">
        <f>E4+E5-E7+E38+E39+E40+E41+E43+E13-E16+E57+E58+E60+E61+E62</f>
        <v>686245.2</v>
      </c>
      <c r="F183" s="475">
        <f>F4+F5-F7+F38+F39+F40+F41+F43+F13-F16+F57+F58+F60+F61+F62</f>
        <v>695387.91288999992</v>
      </c>
      <c r="G183" s="475">
        <f>G4+G5-G7+G38+G39+G40+G41+G43+G13-G16+G57+G58+G60+G61+G62</f>
        <v>713039</v>
      </c>
    </row>
    <row r="184" spans="1:7">
      <c r="A184" s="474" t="s">
        <v>661</v>
      </c>
      <c r="B184" s="474"/>
      <c r="C184" s="474" t="s">
        <v>662</v>
      </c>
      <c r="D184" s="475">
        <f>D183+D170</f>
        <v>0</v>
      </c>
      <c r="E184" s="475">
        <f>E183+E170</f>
        <v>734292.7</v>
      </c>
      <c r="F184" s="475">
        <f>F183+F170</f>
        <v>740245.0273999999</v>
      </c>
      <c r="G184" s="475">
        <f>G183+G170</f>
        <v>756905.5</v>
      </c>
    </row>
    <row r="185" spans="1:7">
      <c r="A185" s="474"/>
      <c r="B185" s="474"/>
      <c r="C185" s="474" t="s">
        <v>663</v>
      </c>
      <c r="D185" s="475">
        <f t="shared" ref="D185:G186" si="1">D181-D183</f>
        <v>0</v>
      </c>
      <c r="E185" s="475">
        <f t="shared" si="1"/>
        <v>39440.40000000014</v>
      </c>
      <c r="F185" s="475">
        <f t="shared" si="1"/>
        <v>36036.221490000025</v>
      </c>
      <c r="G185" s="475">
        <f t="shared" si="1"/>
        <v>38004.100000000093</v>
      </c>
    </row>
    <row r="186" spans="1:7">
      <c r="A186" s="474"/>
      <c r="B186" s="474"/>
      <c r="C186" s="474" t="s">
        <v>664</v>
      </c>
      <c r="D186" s="475">
        <f t="shared" si="1"/>
        <v>0</v>
      </c>
      <c r="E186" s="475">
        <f t="shared" si="1"/>
        <v>-1841.5999999998603</v>
      </c>
      <c r="F186" s="475">
        <f t="shared" si="1"/>
        <v>-1806.6653699999442</v>
      </c>
      <c r="G186" s="475">
        <f t="shared" si="1"/>
        <v>-374.49999999988358</v>
      </c>
    </row>
  </sheetData>
  <sheetProtection selectLockedCells="1"/>
  <mergeCells count="2">
    <mergeCell ref="A3:C3"/>
    <mergeCell ref="A81:C81"/>
  </mergeCells>
  <pageMargins left="0.25" right="0.25" top="0.75" bottom="0.75" header="0.3" footer="0.3"/>
  <pageSetup paperSize="9" orientation="landscape"/>
  <headerFooter alignWithMargins="0">
    <oddHeader>&amp;LFachgruppe für kantonale Finanzfragen (FkF)
Groupe d'études pour les finances cantonales
&amp;CRechnung 2011 - Budget 2013
Compte 2011 - Budget 2013&amp;RZürich, 12.9.2013</oddHeader>
    <oddFooter>&amp;LQuelle/Source: FkF Sept. 2013</oddFooter>
  </headerFooter>
  <rowBreaks count="2" manualBreakCount="2">
    <brk id="79" max="6" man="1"/>
    <brk id="147" max="6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RowHeight="13"/>
  <cols>
    <col min="1" max="1" width="11.5" bestFit="1" customWidth="1"/>
    <col min="2" max="2" width="43.1640625" customWidth="1"/>
    <col min="3" max="3" width="13.33203125" bestFit="1" customWidth="1"/>
    <col min="4" max="4" width="9.1640625" customWidth="1"/>
    <col min="5" max="5" width="13.33203125" bestFit="1" customWidth="1"/>
    <col min="6" max="6" width="8.33203125" customWidth="1"/>
    <col min="7" max="7" width="10.6640625" customWidth="1"/>
    <col min="8" max="8" width="9.33203125" customWidth="1"/>
    <col min="9" max="9" width="10.5" customWidth="1"/>
  </cols>
  <sheetData>
    <row r="1" spans="1:9">
      <c r="A1" s="5" t="s">
        <v>113</v>
      </c>
      <c r="B1" s="6" t="s">
        <v>188</v>
      </c>
      <c r="C1" s="57" t="s">
        <v>115</v>
      </c>
      <c r="D1" s="7" t="s">
        <v>23</v>
      </c>
      <c r="E1" s="57" t="s">
        <v>105</v>
      </c>
      <c r="F1" s="7" t="s">
        <v>23</v>
      </c>
      <c r="G1" s="57" t="s">
        <v>115</v>
      </c>
      <c r="H1" s="7" t="s">
        <v>23</v>
      </c>
      <c r="I1" s="58" t="s">
        <v>105</v>
      </c>
    </row>
    <row r="2" spans="1:9">
      <c r="A2" s="131">
        <v>0</v>
      </c>
      <c r="B2" s="134">
        <v>0</v>
      </c>
      <c r="C2" s="603">
        <v>2011</v>
      </c>
      <c r="D2" s="3" t="s">
        <v>25</v>
      </c>
      <c r="E2" s="603">
        <v>2012</v>
      </c>
      <c r="F2" s="3" t="s">
        <v>25</v>
      </c>
      <c r="G2" s="604">
        <v>2012</v>
      </c>
      <c r="H2" s="3" t="s">
        <v>25</v>
      </c>
      <c r="I2" s="605">
        <v>2013</v>
      </c>
    </row>
    <row r="3" spans="1:9">
      <c r="A3" s="131">
        <v>0</v>
      </c>
      <c r="B3" s="2" t="s">
        <v>116</v>
      </c>
      <c r="C3" s="606">
        <v>0</v>
      </c>
      <c r="D3" s="132">
        <v>0</v>
      </c>
      <c r="E3" s="606" t="s">
        <v>102</v>
      </c>
      <c r="F3" s="134">
        <v>0</v>
      </c>
      <c r="G3" s="607">
        <v>0</v>
      </c>
      <c r="H3" s="134">
        <v>0</v>
      </c>
      <c r="I3" s="608" t="s">
        <v>102</v>
      </c>
    </row>
    <row r="4" spans="1:9">
      <c r="A4" s="5" t="s">
        <v>28</v>
      </c>
      <c r="B4" s="9" t="s">
        <v>117</v>
      </c>
      <c r="C4" s="10">
        <v>26971260.830670465</v>
      </c>
      <c r="D4" s="11">
        <v>-0.12477777667825882</v>
      </c>
      <c r="E4" s="10">
        <v>23605846.870009996</v>
      </c>
      <c r="F4" s="11">
        <v>1.4442004257984007E-2</v>
      </c>
      <c r="G4" s="10">
        <v>23946762.611019999</v>
      </c>
      <c r="H4" s="11">
        <v>-1.7738064469312587E-2</v>
      </c>
      <c r="I4" s="12">
        <v>23521993.391994402</v>
      </c>
    </row>
    <row r="5" spans="1:9">
      <c r="A5" s="13" t="s">
        <v>30</v>
      </c>
      <c r="B5" s="14" t="s">
        <v>118</v>
      </c>
      <c r="C5" s="15">
        <v>8611461.831219973</v>
      </c>
      <c r="D5" s="16">
        <v>-3.5339947551838495E-2</v>
      </c>
      <c r="E5" s="15">
        <v>8307133.2217600001</v>
      </c>
      <c r="F5" s="16">
        <v>-8.5067449592469892E-3</v>
      </c>
      <c r="G5" s="15">
        <v>8236466.5581</v>
      </c>
      <c r="H5" s="16">
        <v>2.5310496484076055E-2</v>
      </c>
      <c r="I5" s="17">
        <v>8444935.6159600001</v>
      </c>
    </row>
    <row r="6" spans="1:9">
      <c r="A6" s="13" t="s">
        <v>119</v>
      </c>
      <c r="B6" s="14" t="s">
        <v>120</v>
      </c>
      <c r="C6" s="15">
        <v>1080928.4081799998</v>
      </c>
      <c r="D6" s="16">
        <v>-1.3192985837064759E-2</v>
      </c>
      <c r="E6" s="15">
        <v>1066667.7350000001</v>
      </c>
      <c r="F6" s="16">
        <v>2.0669720810482718E-2</v>
      </c>
      <c r="G6" s="15">
        <v>1088715.4592800001</v>
      </c>
      <c r="H6" s="16">
        <v>-2.2750198932951861E-2</v>
      </c>
      <c r="I6" s="17">
        <v>1063946.966</v>
      </c>
    </row>
    <row r="7" spans="1:9">
      <c r="A7" s="13" t="s">
        <v>34</v>
      </c>
      <c r="B7" s="14" t="s">
        <v>121</v>
      </c>
      <c r="C7" s="15">
        <v>1064260.5259400001</v>
      </c>
      <c r="D7" s="16">
        <v>2.6089272676421148E-2</v>
      </c>
      <c r="E7" s="15">
        <v>1092026.3090000001</v>
      </c>
      <c r="F7" s="16">
        <v>-0.11320327505955734</v>
      </c>
      <c r="G7" s="15">
        <v>968405.35436999996</v>
      </c>
      <c r="H7" s="16">
        <v>6.3489129167401431E-2</v>
      </c>
      <c r="I7" s="17">
        <v>1029888.567</v>
      </c>
    </row>
    <row r="8" spans="1:9">
      <c r="A8" s="13" t="s">
        <v>36</v>
      </c>
      <c r="B8" s="14" t="s">
        <v>122</v>
      </c>
      <c r="C8" s="15">
        <v>826862.54722000007</v>
      </c>
      <c r="D8" s="16">
        <v>-0.38193361675622567</v>
      </c>
      <c r="E8" s="15">
        <v>511055.94400000002</v>
      </c>
      <c r="F8" s="16">
        <v>0.50815804083476235</v>
      </c>
      <c r="G8" s="15">
        <v>770753.13126000005</v>
      </c>
      <c r="H8" s="16">
        <v>0.32257624089512776</v>
      </c>
      <c r="I8" s="17">
        <v>1019379.7789999999</v>
      </c>
    </row>
    <row r="9" spans="1:9">
      <c r="A9" s="13" t="s">
        <v>38</v>
      </c>
      <c r="B9" s="14" t="s">
        <v>123</v>
      </c>
      <c r="C9" s="15">
        <v>4187013.5076999995</v>
      </c>
      <c r="D9" s="16">
        <v>-5.7143764938898195E-2</v>
      </c>
      <c r="E9" s="15">
        <v>3947751.7920199991</v>
      </c>
      <c r="F9" s="16">
        <v>0.18353699244836691</v>
      </c>
      <c r="G9" s="15">
        <v>4672310.2828600006</v>
      </c>
      <c r="H9" s="16">
        <v>-0.16659006049220532</v>
      </c>
      <c r="I9" s="17">
        <v>3893949.8302000002</v>
      </c>
    </row>
    <row r="10" spans="1:9">
      <c r="A10" s="13" t="s">
        <v>40</v>
      </c>
      <c r="B10" s="14" t="s">
        <v>124</v>
      </c>
      <c r="C10" s="15">
        <v>40488313.842699997</v>
      </c>
      <c r="D10" s="16">
        <v>7.0006296466481432E-2</v>
      </c>
      <c r="E10" s="15">
        <v>43322750.744999997</v>
      </c>
      <c r="F10" s="16">
        <v>1.9742248344161772E-2</v>
      </c>
      <c r="G10" s="15">
        <v>44178039.249160007</v>
      </c>
      <c r="H10" s="16">
        <v>1.9524379673694844E-2</v>
      </c>
      <c r="I10" s="17">
        <v>45040588.060699999</v>
      </c>
    </row>
    <row r="11" spans="1:9">
      <c r="A11" s="13" t="s">
        <v>125</v>
      </c>
      <c r="B11" s="14" t="s">
        <v>126</v>
      </c>
      <c r="C11" s="15">
        <v>5278946.2348699998</v>
      </c>
      <c r="D11" s="43">
        <v>0.4512931793836823</v>
      </c>
      <c r="E11" s="15">
        <v>7661298.665000001</v>
      </c>
      <c r="F11" s="16">
        <v>-9.1806042085686018E-2</v>
      </c>
      <c r="G11" s="15">
        <v>6957945.1573300008</v>
      </c>
      <c r="H11" s="16">
        <v>8.4622285654223445E-2</v>
      </c>
      <c r="I11" s="17">
        <v>7546742.3800000008</v>
      </c>
    </row>
    <row r="12" spans="1:9">
      <c r="A12" s="13" t="s">
        <v>127</v>
      </c>
      <c r="B12" s="14" t="s">
        <v>128</v>
      </c>
      <c r="C12" s="15">
        <v>3009713.4686500002</v>
      </c>
      <c r="D12" s="43">
        <v>1.0567586808941628E-2</v>
      </c>
      <c r="E12" s="15">
        <v>3041518.8769999999</v>
      </c>
      <c r="F12" s="16">
        <v>-1.0147488645686832E-2</v>
      </c>
      <c r="G12" s="15">
        <v>3010655.0987300002</v>
      </c>
      <c r="H12" s="16">
        <v>8.4590583317706941E-2</v>
      </c>
      <c r="I12" s="17">
        <v>3265328.1696999995</v>
      </c>
    </row>
    <row r="13" spans="1:9">
      <c r="A13" s="13" t="s">
        <v>129</v>
      </c>
      <c r="B13" s="14" t="s">
        <v>130</v>
      </c>
      <c r="C13" s="15">
        <v>6677037.8865800006</v>
      </c>
      <c r="D13" s="43">
        <v>-5.2552091442411825E-2</v>
      </c>
      <c r="E13" s="15">
        <v>6326145.5810000002</v>
      </c>
      <c r="F13" s="43">
        <v>5.8760663013581814E-2</v>
      </c>
      <c r="G13" s="15">
        <v>6697874.089660001</v>
      </c>
      <c r="H13" s="43">
        <v>-0.1159277248670133</v>
      </c>
      <c r="I13" s="17">
        <v>5921404.7849999992</v>
      </c>
    </row>
    <row r="14" spans="1:9">
      <c r="A14" s="13" t="s">
        <v>131</v>
      </c>
      <c r="B14" s="14" t="s">
        <v>132</v>
      </c>
      <c r="C14" s="15">
        <v>687965.82141999993</v>
      </c>
      <c r="D14" s="43">
        <v>-0.30485471064115699</v>
      </c>
      <c r="E14" s="15">
        <v>478236.19999999995</v>
      </c>
      <c r="F14" s="16">
        <v>0.56292860341814388</v>
      </c>
      <c r="G14" s="15">
        <v>747449.03617000009</v>
      </c>
      <c r="H14" s="16">
        <v>-0.10101670149565527</v>
      </c>
      <c r="I14" s="17">
        <v>671944.2</v>
      </c>
    </row>
    <row r="15" spans="1:9">
      <c r="A15" s="13" t="s">
        <v>133</v>
      </c>
      <c r="B15" s="14" t="s">
        <v>134</v>
      </c>
      <c r="C15" s="15">
        <v>444554.29739999998</v>
      </c>
      <c r="D15" s="43">
        <v>0.4938438428871208</v>
      </c>
      <c r="E15" s="15">
        <v>664094.69999999995</v>
      </c>
      <c r="F15" s="16">
        <v>1.427323295909471E-2</v>
      </c>
      <c r="G15" s="15">
        <v>673573.47836000007</v>
      </c>
      <c r="H15" s="16">
        <v>5.9031373587943782E-2</v>
      </c>
      <c r="I15" s="17">
        <v>713335.446</v>
      </c>
    </row>
    <row r="16" spans="1:9">
      <c r="A16" s="13" t="s">
        <v>135</v>
      </c>
      <c r="B16" s="14" t="s">
        <v>136</v>
      </c>
      <c r="C16" s="15">
        <v>920675.44906000013</v>
      </c>
      <c r="D16" s="43">
        <v>-0.29187283025126881</v>
      </c>
      <c r="E16" s="15">
        <v>651955.30000000005</v>
      </c>
      <c r="F16" s="43">
        <v>9.7171340627186034E-3</v>
      </c>
      <c r="G16" s="15">
        <v>658290.43705299997</v>
      </c>
      <c r="H16" s="43">
        <v>-0.34583418539721356</v>
      </c>
      <c r="I16" s="17">
        <v>430631.10000000003</v>
      </c>
    </row>
    <row r="17" spans="1:9">
      <c r="A17" s="13" t="s">
        <v>55</v>
      </c>
      <c r="B17" s="14" t="s">
        <v>137</v>
      </c>
      <c r="C17" s="15">
        <v>1115934.9281500001</v>
      </c>
      <c r="D17" s="16">
        <v>-0.68628806199267645</v>
      </c>
      <c r="E17" s="15">
        <v>350082.109</v>
      </c>
      <c r="F17" s="16">
        <v>0.98426024321625682</v>
      </c>
      <c r="G17" s="15">
        <v>694654.01075000013</v>
      </c>
      <c r="H17" s="16">
        <v>-0.52678819539947508</v>
      </c>
      <c r="I17" s="17">
        <v>328718.478</v>
      </c>
    </row>
    <row r="18" spans="1:9">
      <c r="A18" s="13">
        <v>389</v>
      </c>
      <c r="B18" s="14" t="s">
        <v>138</v>
      </c>
      <c r="C18" s="15">
        <v>124414.09999999999</v>
      </c>
      <c r="D18" s="43">
        <v>-0.99644011410282285</v>
      </c>
      <c r="E18" s="15">
        <v>442.9</v>
      </c>
      <c r="F18" s="43">
        <v>4.3321968841724994</v>
      </c>
      <c r="G18" s="15">
        <v>2361.63</v>
      </c>
      <c r="H18" s="43">
        <v>-0.70236658579032274</v>
      </c>
      <c r="I18" s="17">
        <v>702.9</v>
      </c>
    </row>
    <row r="19" spans="1:9">
      <c r="A19" s="18" t="s">
        <v>58</v>
      </c>
      <c r="B19" s="19" t="s">
        <v>139</v>
      </c>
      <c r="C19" s="20">
        <v>2672933.8764999993</v>
      </c>
      <c r="D19" s="43">
        <v>-2.9557040559283075E-3</v>
      </c>
      <c r="E19" s="20">
        <v>2665033.4750000001</v>
      </c>
      <c r="F19" s="43">
        <v>-8.0202053495782008E-2</v>
      </c>
      <c r="G19" s="20">
        <v>2451292.3176700003</v>
      </c>
      <c r="H19" s="43">
        <v>-3.7135558665857521E-2</v>
      </c>
      <c r="I19" s="21">
        <v>2360262.2080000001</v>
      </c>
    </row>
    <row r="20" spans="1:9">
      <c r="A20" s="22" t="s">
        <v>60</v>
      </c>
      <c r="B20" s="23" t="s">
        <v>140</v>
      </c>
      <c r="C20" s="24">
        <v>86062455.990100428</v>
      </c>
      <c r="D20" s="25">
        <v>-2.6263863821994981E-2</v>
      </c>
      <c r="E20" s="24">
        <v>83802123.365789995</v>
      </c>
      <c r="F20" s="25">
        <v>2.5284822082025968E-2</v>
      </c>
      <c r="G20" s="24">
        <v>85921045.145189986</v>
      </c>
      <c r="H20" s="25">
        <v>-3.2660952140582127E-3</v>
      </c>
      <c r="I20" s="26">
        <v>85640418.830854401</v>
      </c>
    </row>
    <row r="21" spans="1:9">
      <c r="A21" s="27" t="s">
        <v>62</v>
      </c>
      <c r="B21" s="28" t="s">
        <v>141</v>
      </c>
      <c r="C21" s="10">
        <v>37646923.176599987</v>
      </c>
      <c r="D21" s="16">
        <v>-1.3783364822825994E-2</v>
      </c>
      <c r="E21" s="10">
        <v>37128021.900000006</v>
      </c>
      <c r="F21" s="16">
        <v>2.0359823431368676E-2</v>
      </c>
      <c r="G21" s="10">
        <v>37883941.870239995</v>
      </c>
      <c r="H21" s="16">
        <v>1.5654548294667121E-3</v>
      </c>
      <c r="I21" s="12">
        <v>37943247.469999999</v>
      </c>
    </row>
    <row r="22" spans="1:9">
      <c r="A22" s="8" t="s">
        <v>64</v>
      </c>
      <c r="B22" s="29" t="s">
        <v>142</v>
      </c>
      <c r="C22" s="15">
        <v>3233448.5451700008</v>
      </c>
      <c r="D22" s="16">
        <v>6.3666955559726068E-2</v>
      </c>
      <c r="E22" s="15">
        <v>3439312.37</v>
      </c>
      <c r="F22" s="16">
        <v>5.2514449727053984E-2</v>
      </c>
      <c r="G22" s="15">
        <v>3619925.96655</v>
      </c>
      <c r="H22" s="16">
        <v>-2.6390861976950453E-2</v>
      </c>
      <c r="I22" s="17">
        <v>3524393</v>
      </c>
    </row>
    <row r="23" spans="1:9">
      <c r="A23" s="8" t="s">
        <v>66</v>
      </c>
      <c r="B23" s="29" t="s">
        <v>143</v>
      </c>
      <c r="C23" s="15">
        <v>3914342.2751599993</v>
      </c>
      <c r="D23" s="16">
        <v>-0.2614185827983509</v>
      </c>
      <c r="E23" s="15">
        <v>2891060.4649999999</v>
      </c>
      <c r="F23" s="16">
        <v>0.15705300690762308</v>
      </c>
      <c r="G23" s="15">
        <v>3345110.2041800008</v>
      </c>
      <c r="H23" s="16">
        <v>-7.9466443840274903E-2</v>
      </c>
      <c r="I23" s="17">
        <v>3079286.1920000003</v>
      </c>
    </row>
    <row r="24" spans="1:9">
      <c r="A24" s="8" t="s">
        <v>68</v>
      </c>
      <c r="B24" s="29" t="s">
        <v>144</v>
      </c>
      <c r="C24" s="15">
        <v>10805182.066570003</v>
      </c>
      <c r="D24" s="16">
        <v>-0.18971014816696249</v>
      </c>
      <c r="E24" s="15">
        <v>8755329.3757500015</v>
      </c>
      <c r="F24" s="16">
        <v>7.2022436402740225E-2</v>
      </c>
      <c r="G24" s="15">
        <v>9385909.5288999993</v>
      </c>
      <c r="H24" s="16">
        <v>5.1486774671333779E-3</v>
      </c>
      <c r="I24" s="17">
        <v>9434234.5497999992</v>
      </c>
    </row>
    <row r="25" spans="1:9">
      <c r="A25" s="8" t="s">
        <v>70</v>
      </c>
      <c r="B25" s="29" t="s">
        <v>124</v>
      </c>
      <c r="C25" s="15">
        <v>26260960.69686</v>
      </c>
      <c r="D25" s="16">
        <v>1.0425232199244681E-2</v>
      </c>
      <c r="E25" s="15">
        <v>26534737.309900004</v>
      </c>
      <c r="F25" s="16">
        <v>2.7462791686206415E-2</v>
      </c>
      <c r="G25" s="15">
        <v>27263455.273089997</v>
      </c>
      <c r="H25" s="16">
        <v>8.2110210590572649E-3</v>
      </c>
      <c r="I25" s="17">
        <v>27487316.078480005</v>
      </c>
    </row>
    <row r="26" spans="1:9">
      <c r="A26" s="59" t="s">
        <v>72</v>
      </c>
      <c r="B26" s="29" t="s">
        <v>145</v>
      </c>
      <c r="C26" s="15">
        <v>749625.95145000005</v>
      </c>
      <c r="D26" s="16">
        <v>0.57721672083661979</v>
      </c>
      <c r="E26" s="15">
        <v>1182322.5850000002</v>
      </c>
      <c r="F26" s="16">
        <v>-0.13180654821881804</v>
      </c>
      <c r="G26" s="15">
        <v>1026484.7261900001</v>
      </c>
      <c r="H26" s="16">
        <v>3.285045230547181E-2</v>
      </c>
      <c r="I26" s="17">
        <v>1060205.21373</v>
      </c>
    </row>
    <row r="27" spans="1:9">
      <c r="A27" s="195">
        <v>489</v>
      </c>
      <c r="B27" s="29" t="s">
        <v>175</v>
      </c>
      <c r="C27" s="15">
        <v>67319.7</v>
      </c>
      <c r="D27" s="16">
        <v>2.2006322072142335</v>
      </c>
      <c r="E27" s="15">
        <v>215465.60000000001</v>
      </c>
      <c r="F27" s="16">
        <v>-0.24311321886185083</v>
      </c>
      <c r="G27" s="15">
        <v>163083.06443</v>
      </c>
      <c r="H27" s="16">
        <v>-0.14250057405546881</v>
      </c>
      <c r="I27" s="17">
        <v>139843.63412999999</v>
      </c>
    </row>
    <row r="28" spans="1:9">
      <c r="A28" s="30" t="s">
        <v>75</v>
      </c>
      <c r="B28" s="31" t="s">
        <v>139</v>
      </c>
      <c r="C28" s="20">
        <v>2672942.9030199996</v>
      </c>
      <c r="D28" s="16">
        <v>-3.2265910020955737E-3</v>
      </c>
      <c r="E28" s="20">
        <v>2664318.4095000001</v>
      </c>
      <c r="F28" s="16">
        <v>-7.9955569901263221E-2</v>
      </c>
      <c r="G28" s="20">
        <v>2451291.3126700004</v>
      </c>
      <c r="H28" s="16">
        <v>-3.7400394884172808E-2</v>
      </c>
      <c r="I28" s="21">
        <v>2359612.0496</v>
      </c>
    </row>
    <row r="29" spans="1:9">
      <c r="A29" s="51" t="s">
        <v>77</v>
      </c>
      <c r="B29" s="52" t="s">
        <v>146</v>
      </c>
      <c r="C29" s="24">
        <v>85350745.31482999</v>
      </c>
      <c r="D29" s="53">
        <v>-2.9761629969488151E-2</v>
      </c>
      <c r="E29" s="24">
        <v>82810568.015149996</v>
      </c>
      <c r="F29" s="53">
        <v>2.8120009159627944E-2</v>
      </c>
      <c r="G29" s="24">
        <v>85139201.946250007</v>
      </c>
      <c r="H29" s="54">
        <v>-1.3044961189571662E-3</v>
      </c>
      <c r="I29" s="26">
        <v>85028138.187740013</v>
      </c>
    </row>
    <row r="30" spans="1:9">
      <c r="A30" s="50" t="s">
        <v>79</v>
      </c>
      <c r="B30" s="32" t="s">
        <v>147</v>
      </c>
      <c r="C30" s="33">
        <v>-711710.67527044518</v>
      </c>
      <c r="D30" s="136">
        <v>0</v>
      </c>
      <c r="E30" s="33">
        <v>-991555.35063999973</v>
      </c>
      <c r="F30" s="136">
        <v>0</v>
      </c>
      <c r="G30" s="34">
        <v>-781843.19893999677</v>
      </c>
      <c r="H30" s="137">
        <v>0</v>
      </c>
      <c r="I30" s="35">
        <v>-612280.64311440487</v>
      </c>
    </row>
    <row r="31" spans="1:9">
      <c r="A31" s="140">
        <v>0</v>
      </c>
      <c r="B31" s="28" t="s">
        <v>148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149</v>
      </c>
      <c r="C32" s="15">
        <v>5067319.2410899987</v>
      </c>
      <c r="D32" s="16">
        <v>-1.8212727420376093E-2</v>
      </c>
      <c r="E32" s="15">
        <v>4975029.5369999995</v>
      </c>
      <c r="F32" s="16">
        <v>-4.8165360361758926E-2</v>
      </c>
      <c r="G32" s="15">
        <v>4735405.4465399999</v>
      </c>
      <c r="H32" s="16">
        <v>1.3226027909765516E-3</v>
      </c>
      <c r="I32" s="17">
        <v>4741668.5069999993</v>
      </c>
    </row>
    <row r="33" spans="1:9">
      <c r="A33" s="59" t="s">
        <v>84</v>
      </c>
      <c r="B33" s="29" t="s">
        <v>150</v>
      </c>
      <c r="C33" s="15">
        <v>433632.43453000009</v>
      </c>
      <c r="D33" s="16">
        <v>0.23321692859440235</v>
      </c>
      <c r="E33" s="15">
        <v>534762.85904999997</v>
      </c>
      <c r="F33" s="16">
        <v>0.31155558240521392</v>
      </c>
      <c r="G33" s="15">
        <v>701371.21305000002</v>
      </c>
      <c r="H33" s="16">
        <v>-0.16015044666795078</v>
      </c>
      <c r="I33" s="17">
        <v>589046.30000000005</v>
      </c>
    </row>
    <row r="34" spans="1:9">
      <c r="A34" s="8" t="s">
        <v>86</v>
      </c>
      <c r="B34" s="29" t="s">
        <v>151</v>
      </c>
      <c r="C34" s="15">
        <v>1834060.5031999999</v>
      </c>
      <c r="D34" s="16">
        <v>-2.2614081502564953E-2</v>
      </c>
      <c r="E34" s="15">
        <v>1792584.9094999998</v>
      </c>
      <c r="F34" s="16">
        <v>-5.7460527121546666E-2</v>
      </c>
      <c r="G34" s="15">
        <v>1689582.0356899998</v>
      </c>
      <c r="H34" s="16">
        <v>8.8276347498622287E-2</v>
      </c>
      <c r="I34" s="17">
        <v>1838732.1665999999</v>
      </c>
    </row>
    <row r="35" spans="1:9">
      <c r="A35" s="51" t="s">
        <v>88</v>
      </c>
      <c r="B35" s="52" t="s">
        <v>152</v>
      </c>
      <c r="C35" s="24">
        <v>7335012.17882</v>
      </c>
      <c r="D35" s="54">
        <v>-4.4491914225083641E-3</v>
      </c>
      <c r="E35" s="24">
        <v>7302377.3055499997</v>
      </c>
      <c r="F35" s="54">
        <v>-2.3436129100030026E-2</v>
      </c>
      <c r="G35" s="24">
        <v>7131237.8482800005</v>
      </c>
      <c r="H35" s="54">
        <v>5.3579933993108068E-3</v>
      </c>
      <c r="I35" s="26">
        <v>7169446.9736000001</v>
      </c>
    </row>
    <row r="36" spans="1:9">
      <c r="A36" s="8" t="s">
        <v>90</v>
      </c>
      <c r="B36" s="29" t="s">
        <v>153</v>
      </c>
      <c r="C36" s="15">
        <v>100648.32106</v>
      </c>
      <c r="D36" s="16">
        <v>-0.64492303871919154</v>
      </c>
      <c r="E36" s="15">
        <v>35737.9</v>
      </c>
      <c r="F36" s="16">
        <v>2.3040262561594274</v>
      </c>
      <c r="G36" s="15">
        <v>118078.95994</v>
      </c>
      <c r="H36" s="16">
        <v>1.1418122760270617E-2</v>
      </c>
      <c r="I36" s="17">
        <v>119427.2</v>
      </c>
    </row>
    <row r="37" spans="1:9">
      <c r="A37" s="8" t="s">
        <v>92</v>
      </c>
      <c r="B37" s="29" t="s">
        <v>154</v>
      </c>
      <c r="C37" s="15">
        <v>2463107.42245</v>
      </c>
      <c r="D37" s="16">
        <v>-0.14481210896405416</v>
      </c>
      <c r="E37" s="15">
        <v>2106419.642</v>
      </c>
      <c r="F37" s="16">
        <v>6.6854539286526446E-2</v>
      </c>
      <c r="G37" s="15">
        <v>2247243.35671</v>
      </c>
      <c r="H37" s="16">
        <v>-6.007517090078178E-2</v>
      </c>
      <c r="I37" s="17">
        <v>2112239.8280000002</v>
      </c>
    </row>
    <row r="38" spans="1:9">
      <c r="A38" s="51" t="s">
        <v>94</v>
      </c>
      <c r="B38" s="52" t="s">
        <v>155</v>
      </c>
      <c r="C38" s="24">
        <v>2563755.7435100004</v>
      </c>
      <c r="D38" s="54">
        <v>-0.1632625114812806</v>
      </c>
      <c r="E38" s="24">
        <v>2145190.5419999999</v>
      </c>
      <c r="F38" s="54">
        <v>0.10845554839762084</v>
      </c>
      <c r="G38" s="24">
        <v>2377848.3586499994</v>
      </c>
      <c r="H38" s="54">
        <v>-6.1476304877991668E-2</v>
      </c>
      <c r="I38" s="26">
        <v>2231667.0279999999</v>
      </c>
    </row>
    <row r="39" spans="1:9">
      <c r="A39" s="36" t="s">
        <v>96</v>
      </c>
      <c r="B39" s="37" t="s">
        <v>4</v>
      </c>
      <c r="C39" s="38">
        <v>4771256.4353100006</v>
      </c>
      <c r="D39" s="39">
        <v>8.0886519823980707E-2</v>
      </c>
      <c r="E39" s="38">
        <v>5157186.7635499984</v>
      </c>
      <c r="F39" s="39">
        <v>-7.829797376623239E-2</v>
      </c>
      <c r="G39" s="38">
        <v>4753389.4896299997</v>
      </c>
      <c r="H39" s="39">
        <v>3.8791362746996849E-2</v>
      </c>
      <c r="I39" s="40">
        <v>4937779.9455999993</v>
      </c>
    </row>
    <row r="40" spans="1:9">
      <c r="A40" s="131">
        <v>0</v>
      </c>
      <c r="B40" s="29" t="s">
        <v>156</v>
      </c>
      <c r="C40" s="15">
        <v>3532397.2324295556</v>
      </c>
      <c r="D40" s="16">
        <v>-0.27410310741966204</v>
      </c>
      <c r="E40" s="15">
        <v>2564156.1743800002</v>
      </c>
      <c r="F40" s="16">
        <v>0.43697082128038667</v>
      </c>
      <c r="G40" s="15">
        <v>3684617.6037900033</v>
      </c>
      <c r="H40" s="16">
        <v>-0.15744161980983956</v>
      </c>
      <c r="I40" s="17">
        <v>3142528.4529555952</v>
      </c>
    </row>
    <row r="41" spans="1:9">
      <c r="A41" s="131">
        <v>0</v>
      </c>
      <c r="B41" s="29" t="s">
        <v>157</v>
      </c>
      <c r="C41" s="15">
        <v>-1193645.0529504414</v>
      </c>
      <c r="D41" s="16">
        <v>-1.0112159944332069</v>
      </c>
      <c r="E41" s="15">
        <v>-2400678.0221699998</v>
      </c>
      <c r="F41" s="16">
        <v>0.55480411118442208</v>
      </c>
      <c r="G41" s="15">
        <v>-1068771.9858399967</v>
      </c>
      <c r="H41" s="16">
        <v>0.75378527398639106</v>
      </c>
      <c r="I41" s="17">
        <v>-1795251.492644405</v>
      </c>
    </row>
    <row r="42" spans="1:9">
      <c r="A42" s="141">
        <v>0</v>
      </c>
      <c r="B42" s="31" t="s">
        <v>158</v>
      </c>
      <c r="C42" s="20">
        <v>84470309.209350422</v>
      </c>
      <c r="D42" s="129">
        <v>-9.9463914113078287E-3</v>
      </c>
      <c r="E42" s="20">
        <v>83630134.451320022</v>
      </c>
      <c r="F42" s="129">
        <v>9.9339451629551438E-3</v>
      </c>
      <c r="G42" s="20">
        <v>84460911.620930001</v>
      </c>
      <c r="H42" s="129">
        <v>8.8317894515779708E-3</v>
      </c>
      <c r="I42" s="21">
        <v>85206852.60925439</v>
      </c>
    </row>
    <row r="43" spans="1:9">
      <c r="A43" s="141">
        <v>0</v>
      </c>
      <c r="B43" s="31" t="s">
        <v>6</v>
      </c>
      <c r="C43" s="66">
        <v>0.74034948243146503</v>
      </c>
      <c r="D43" s="142">
        <v>0</v>
      </c>
      <c r="E43" s="41">
        <v>0.53449852948170729</v>
      </c>
      <c r="F43" s="142">
        <v>0</v>
      </c>
      <c r="G43" s="41">
        <v>0.78464970262311162</v>
      </c>
      <c r="H43" s="142">
        <v>0</v>
      </c>
      <c r="I43" s="42">
        <v>0.63642537488043938</v>
      </c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Normal="100" workbookViewId="0"/>
  </sheetViews>
  <sheetFormatPr baseColWidth="10" defaultRowHeight="13"/>
  <cols>
    <col min="1" max="1" width="11.5" bestFit="1" customWidth="1"/>
    <col min="2" max="2" width="45.5" customWidth="1"/>
    <col min="3" max="3" width="12.1640625" customWidth="1"/>
    <col min="4" max="4" width="8.5" customWidth="1"/>
    <col min="5" max="5" width="12.33203125" customWidth="1"/>
    <col min="6" max="6" width="9.1640625" customWidth="1"/>
    <col min="7" max="7" width="12.1640625" customWidth="1"/>
    <col min="8" max="8" width="8.6640625" customWidth="1"/>
    <col min="9" max="9" width="11.1640625" customWidth="1"/>
  </cols>
  <sheetData>
    <row r="1" spans="1:9">
      <c r="A1" s="5" t="s">
        <v>20</v>
      </c>
      <c r="B1" s="6" t="s">
        <v>189</v>
      </c>
      <c r="C1" s="57" t="s">
        <v>22</v>
      </c>
      <c r="D1" s="7" t="s">
        <v>23</v>
      </c>
      <c r="E1" s="57" t="s">
        <v>24</v>
      </c>
      <c r="F1" s="7" t="s">
        <v>23</v>
      </c>
      <c r="G1" s="57" t="s">
        <v>22</v>
      </c>
      <c r="H1" s="7" t="s">
        <v>23</v>
      </c>
      <c r="I1" s="58" t="s">
        <v>24</v>
      </c>
    </row>
    <row r="2" spans="1:9">
      <c r="A2" s="131">
        <v>0</v>
      </c>
      <c r="B2" s="134">
        <v>0</v>
      </c>
      <c r="C2" s="68">
        <v>2011</v>
      </c>
      <c r="D2" s="3" t="s">
        <v>25</v>
      </c>
      <c r="E2" s="68">
        <v>2012</v>
      </c>
      <c r="F2" s="3" t="s">
        <v>25</v>
      </c>
      <c r="G2" s="69">
        <v>2012</v>
      </c>
      <c r="H2" s="3" t="s">
        <v>25</v>
      </c>
      <c r="I2" s="70">
        <v>2013</v>
      </c>
    </row>
    <row r="3" spans="1:9">
      <c r="A3" s="131">
        <v>0</v>
      </c>
      <c r="B3" s="2" t="s">
        <v>190</v>
      </c>
      <c r="C3" s="133" t="s">
        <v>0</v>
      </c>
      <c r="D3" s="132">
        <v>0</v>
      </c>
      <c r="E3" s="133">
        <v>0</v>
      </c>
      <c r="F3" s="134">
        <v>0</v>
      </c>
      <c r="G3" s="135">
        <v>0</v>
      </c>
      <c r="H3" s="134">
        <v>0</v>
      </c>
      <c r="I3" s="115" t="s">
        <v>103</v>
      </c>
    </row>
    <row r="4" spans="1:9">
      <c r="A4" s="5" t="s">
        <v>28</v>
      </c>
      <c r="B4" s="9" t="s">
        <v>29</v>
      </c>
      <c r="C4" s="10">
        <v>26971260.830670465</v>
      </c>
      <c r="D4" s="11">
        <v>-0.12477777667825882</v>
      </c>
      <c r="E4" s="10">
        <v>23605846.870009996</v>
      </c>
      <c r="F4" s="11">
        <v>1.4442004257984007E-2</v>
      </c>
      <c r="G4" s="10">
        <v>23946762.611019999</v>
      </c>
      <c r="H4" s="11">
        <v>-1.7738064469312587E-2</v>
      </c>
      <c r="I4" s="12">
        <v>23521993.391994402</v>
      </c>
    </row>
    <row r="5" spans="1:9">
      <c r="A5" s="13" t="s">
        <v>30</v>
      </c>
      <c r="B5" s="14" t="s">
        <v>31</v>
      </c>
      <c r="C5" s="15">
        <v>8611461.831219973</v>
      </c>
      <c r="D5" s="16">
        <v>-3.5339947551838495E-2</v>
      </c>
      <c r="E5" s="15">
        <v>8307133.2217600001</v>
      </c>
      <c r="F5" s="16">
        <v>-8.5067449592469892E-3</v>
      </c>
      <c r="G5" s="15">
        <v>8236466.5581</v>
      </c>
      <c r="H5" s="16">
        <v>2.5310496484076055E-2</v>
      </c>
      <c r="I5" s="17">
        <v>8444935.6159600001</v>
      </c>
    </row>
    <row r="6" spans="1:9">
      <c r="A6" s="13" t="s">
        <v>32</v>
      </c>
      <c r="B6" s="14" t="s">
        <v>33</v>
      </c>
      <c r="C6" s="15">
        <v>1080928.4081799998</v>
      </c>
      <c r="D6" s="16">
        <v>-1.3192985837064759E-2</v>
      </c>
      <c r="E6" s="15">
        <v>1066667.7350000001</v>
      </c>
      <c r="F6" s="16">
        <v>2.0669720810482718E-2</v>
      </c>
      <c r="G6" s="15">
        <v>1088715.4592800001</v>
      </c>
      <c r="H6" s="16">
        <v>-2.2750198932951861E-2</v>
      </c>
      <c r="I6" s="17">
        <v>1063946.966</v>
      </c>
    </row>
    <row r="7" spans="1:9">
      <c r="A7" s="13" t="s">
        <v>34</v>
      </c>
      <c r="B7" s="14" t="s">
        <v>35</v>
      </c>
      <c r="C7" s="15">
        <v>1064260.5259400001</v>
      </c>
      <c r="D7" s="16">
        <v>2.6089272676421148E-2</v>
      </c>
      <c r="E7" s="15">
        <v>1092026.3090000001</v>
      </c>
      <c r="F7" s="16">
        <v>-0.11320327505955734</v>
      </c>
      <c r="G7" s="15">
        <v>968405.35436999996</v>
      </c>
      <c r="H7" s="16">
        <v>6.3489129167401431E-2</v>
      </c>
      <c r="I7" s="17">
        <v>1029888.567</v>
      </c>
    </row>
    <row r="8" spans="1:9">
      <c r="A8" s="13" t="s">
        <v>36</v>
      </c>
      <c r="B8" s="14" t="s">
        <v>37</v>
      </c>
      <c r="C8" s="15">
        <v>826862.54722000007</v>
      </c>
      <c r="D8" s="16">
        <v>-0.38193361675622567</v>
      </c>
      <c r="E8" s="15">
        <v>511055.94400000002</v>
      </c>
      <c r="F8" s="16">
        <v>0.50815804083476235</v>
      </c>
      <c r="G8" s="15">
        <v>770753.13126000005</v>
      </c>
      <c r="H8" s="16">
        <v>0.32257624089512776</v>
      </c>
      <c r="I8" s="17">
        <v>1019379.7789999999</v>
      </c>
    </row>
    <row r="9" spans="1:9">
      <c r="A9" s="13" t="s">
        <v>38</v>
      </c>
      <c r="B9" s="14" t="s">
        <v>39</v>
      </c>
      <c r="C9" s="15">
        <v>4187013.5076999995</v>
      </c>
      <c r="D9" s="16">
        <v>-5.7143764938898195E-2</v>
      </c>
      <c r="E9" s="15">
        <v>3947751.7920199991</v>
      </c>
      <c r="F9" s="16">
        <v>0.18353699244836691</v>
      </c>
      <c r="G9" s="15">
        <v>4672310.2828600006</v>
      </c>
      <c r="H9" s="16">
        <v>-0.16659006049220532</v>
      </c>
      <c r="I9" s="17">
        <v>3893949.8302000002</v>
      </c>
    </row>
    <row r="10" spans="1:9">
      <c r="A10" s="13" t="s">
        <v>40</v>
      </c>
      <c r="B10" s="14" t="s">
        <v>41</v>
      </c>
      <c r="C10" s="15">
        <v>40488313.842699997</v>
      </c>
      <c r="D10" s="16">
        <v>7.0006296466481432E-2</v>
      </c>
      <c r="E10" s="15">
        <v>43322750.744999997</v>
      </c>
      <c r="F10" s="16">
        <v>1.9742248344161772E-2</v>
      </c>
      <c r="G10" s="15">
        <v>44178039.249160007</v>
      </c>
      <c r="H10" s="16">
        <v>1.9524379673694844E-2</v>
      </c>
      <c r="I10" s="17">
        <v>45040588.060699999</v>
      </c>
    </row>
    <row r="11" spans="1:9">
      <c r="A11" s="13" t="s">
        <v>42</v>
      </c>
      <c r="B11" s="14" t="s">
        <v>43</v>
      </c>
      <c r="C11" s="15">
        <v>5278946.2348699998</v>
      </c>
      <c r="D11" s="43">
        <v>0.4512931793836823</v>
      </c>
      <c r="E11" s="15">
        <v>7661298.665000001</v>
      </c>
      <c r="F11" s="16">
        <v>-9.1806042085686018E-2</v>
      </c>
      <c r="G11" s="15">
        <v>6957945.1573300008</v>
      </c>
      <c r="H11" s="16">
        <v>8.4622285654223445E-2</v>
      </c>
      <c r="I11" s="17">
        <v>7546742.3800000008</v>
      </c>
    </row>
    <row r="12" spans="1:9">
      <c r="A12" s="13" t="s">
        <v>44</v>
      </c>
      <c r="B12" s="14" t="s">
        <v>45</v>
      </c>
      <c r="C12" s="15">
        <v>3009713.4686500002</v>
      </c>
      <c r="D12" s="43">
        <v>1.0567586808941628E-2</v>
      </c>
      <c r="E12" s="15">
        <v>3041518.8769999999</v>
      </c>
      <c r="F12" s="16">
        <v>-1.0147488645686832E-2</v>
      </c>
      <c r="G12" s="15">
        <v>3010655.0987300002</v>
      </c>
      <c r="H12" s="16">
        <v>8.4590583317706941E-2</v>
      </c>
      <c r="I12" s="17">
        <v>3265328.1696999995</v>
      </c>
    </row>
    <row r="13" spans="1:9">
      <c r="A13" s="13" t="s">
        <v>46</v>
      </c>
      <c r="B13" s="14" t="s">
        <v>47</v>
      </c>
      <c r="C13" s="15">
        <v>6677037.8865800006</v>
      </c>
      <c r="D13" s="43">
        <v>-5.2552091442411825E-2</v>
      </c>
      <c r="E13" s="15">
        <v>6326145.5810000002</v>
      </c>
      <c r="F13" s="43">
        <v>5.8760663013581814E-2</v>
      </c>
      <c r="G13" s="15">
        <v>6697874.089660001</v>
      </c>
      <c r="H13" s="43">
        <v>-0.1159277248670133</v>
      </c>
      <c r="I13" s="17">
        <v>5921404.7849999992</v>
      </c>
    </row>
    <row r="14" spans="1:9">
      <c r="A14" s="13" t="s">
        <v>49</v>
      </c>
      <c r="B14" s="14" t="s">
        <v>50</v>
      </c>
      <c r="C14" s="15">
        <v>687965.82141999993</v>
      </c>
      <c r="D14" s="43">
        <v>-0.30485471064115699</v>
      </c>
      <c r="E14" s="15">
        <v>478236.19999999995</v>
      </c>
      <c r="F14" s="16">
        <v>0.56292860341814388</v>
      </c>
      <c r="G14" s="15">
        <v>747449.03617000009</v>
      </c>
      <c r="H14" s="16">
        <v>-0.10101670149565527</v>
      </c>
      <c r="I14" s="17">
        <v>671944.2</v>
      </c>
    </row>
    <row r="15" spans="1:9">
      <c r="A15" s="13" t="s">
        <v>51</v>
      </c>
      <c r="B15" s="14" t="s">
        <v>52</v>
      </c>
      <c r="C15" s="15">
        <v>444554.29739999998</v>
      </c>
      <c r="D15" s="43">
        <v>0.4938438428871208</v>
      </c>
      <c r="E15" s="15">
        <v>664094.69999999995</v>
      </c>
      <c r="F15" s="16">
        <v>1.427323295909471E-2</v>
      </c>
      <c r="G15" s="15">
        <v>673573.47836000007</v>
      </c>
      <c r="H15" s="16">
        <v>5.9031373587943782E-2</v>
      </c>
      <c r="I15" s="17">
        <v>713335.446</v>
      </c>
    </row>
    <row r="16" spans="1:9">
      <c r="A16" s="13" t="s">
        <v>53</v>
      </c>
      <c r="B16" s="14" t="s">
        <v>54</v>
      </c>
      <c r="C16" s="15">
        <v>920675.44906000013</v>
      </c>
      <c r="D16" s="43">
        <v>-0.29187283025126881</v>
      </c>
      <c r="E16" s="15">
        <v>651955.30000000005</v>
      </c>
      <c r="F16" s="43">
        <v>9.7171340627186034E-3</v>
      </c>
      <c r="G16" s="15">
        <v>658290.43705299997</v>
      </c>
      <c r="H16" s="43">
        <v>-0.34583418539721356</v>
      </c>
      <c r="I16" s="17">
        <v>430631.10000000003</v>
      </c>
    </row>
    <row r="17" spans="1:9">
      <c r="A17" s="13" t="s">
        <v>55</v>
      </c>
      <c r="B17" s="14" t="s">
        <v>56</v>
      </c>
      <c r="C17" s="15">
        <v>1115934.9281500001</v>
      </c>
      <c r="D17" s="16">
        <v>-0.68628806199267645</v>
      </c>
      <c r="E17" s="15">
        <v>350082.109</v>
      </c>
      <c r="F17" s="16">
        <v>0.98426024321625682</v>
      </c>
      <c r="G17" s="15">
        <v>694654.01075000013</v>
      </c>
      <c r="H17" s="16">
        <v>-0.52678819539947508</v>
      </c>
      <c r="I17" s="17">
        <v>328718.478</v>
      </c>
    </row>
    <row r="18" spans="1:9">
      <c r="A18" s="13">
        <v>389</v>
      </c>
      <c r="B18" s="14" t="s">
        <v>57</v>
      </c>
      <c r="C18" s="15">
        <v>124414.09999999999</v>
      </c>
      <c r="D18" s="43">
        <v>-0.99644011410282285</v>
      </c>
      <c r="E18" s="15">
        <v>442.9</v>
      </c>
      <c r="F18" s="43">
        <v>4.3321968841724994</v>
      </c>
      <c r="G18" s="15">
        <v>2361.63</v>
      </c>
      <c r="H18" s="43">
        <v>-0.70236658579032274</v>
      </c>
      <c r="I18" s="17">
        <v>702.9</v>
      </c>
    </row>
    <row r="19" spans="1:9">
      <c r="A19" s="18" t="s">
        <v>58</v>
      </c>
      <c r="B19" s="19" t="s">
        <v>59</v>
      </c>
      <c r="C19" s="20">
        <v>2672933.8764999993</v>
      </c>
      <c r="D19" s="43">
        <v>-2.9557040559283075E-3</v>
      </c>
      <c r="E19" s="20">
        <v>2665033.4750000001</v>
      </c>
      <c r="F19" s="43">
        <v>-8.0202053495782008E-2</v>
      </c>
      <c r="G19" s="20">
        <v>2451292.3176700003</v>
      </c>
      <c r="H19" s="43">
        <v>-3.7135558665857521E-2</v>
      </c>
      <c r="I19" s="21">
        <v>2360262.2080000001</v>
      </c>
    </row>
    <row r="20" spans="1:9">
      <c r="A20" s="22" t="s">
        <v>60</v>
      </c>
      <c r="B20" s="23" t="s">
        <v>61</v>
      </c>
      <c r="C20" s="24">
        <v>86062455.990100428</v>
      </c>
      <c r="D20" s="25">
        <v>-2.6263863821994981E-2</v>
      </c>
      <c r="E20" s="24">
        <v>83802123.365789995</v>
      </c>
      <c r="F20" s="25">
        <v>2.5284822082025968E-2</v>
      </c>
      <c r="G20" s="24">
        <v>85921045.145189986</v>
      </c>
      <c r="H20" s="25">
        <v>-3.2660952140582127E-3</v>
      </c>
      <c r="I20" s="26">
        <v>85640418.830854401</v>
      </c>
    </row>
    <row r="21" spans="1:9">
      <c r="A21" s="27" t="s">
        <v>62</v>
      </c>
      <c r="B21" s="28" t="s">
        <v>63</v>
      </c>
      <c r="C21" s="10">
        <v>37646923.176599987</v>
      </c>
      <c r="D21" s="16">
        <v>-1.3783364822825994E-2</v>
      </c>
      <c r="E21" s="10">
        <v>37128021.900000006</v>
      </c>
      <c r="F21" s="16">
        <v>2.0359823431368676E-2</v>
      </c>
      <c r="G21" s="10">
        <v>37883941.870239995</v>
      </c>
      <c r="H21" s="16">
        <v>1.5654548294667121E-3</v>
      </c>
      <c r="I21" s="12">
        <v>37943247.469999999</v>
      </c>
    </row>
    <row r="22" spans="1:9">
      <c r="A22" s="8" t="s">
        <v>64</v>
      </c>
      <c r="B22" s="29" t="s">
        <v>65</v>
      </c>
      <c r="C22" s="15">
        <v>3233448.5451700008</v>
      </c>
      <c r="D22" s="16">
        <v>6.3666955559726068E-2</v>
      </c>
      <c r="E22" s="15">
        <v>3439312.37</v>
      </c>
      <c r="F22" s="16">
        <v>5.2514449727053984E-2</v>
      </c>
      <c r="G22" s="15">
        <v>3619925.96655</v>
      </c>
      <c r="H22" s="16">
        <v>-2.6390861976950453E-2</v>
      </c>
      <c r="I22" s="17">
        <v>3524393</v>
      </c>
    </row>
    <row r="23" spans="1:9">
      <c r="A23" s="8" t="s">
        <v>66</v>
      </c>
      <c r="B23" s="29" t="s">
        <v>67</v>
      </c>
      <c r="C23" s="15">
        <v>3914342.2751599993</v>
      </c>
      <c r="D23" s="16">
        <v>-0.2614185827983509</v>
      </c>
      <c r="E23" s="15">
        <v>2891060.4649999999</v>
      </c>
      <c r="F23" s="16">
        <v>0.15705300690762308</v>
      </c>
      <c r="G23" s="15">
        <v>3345110.2041800008</v>
      </c>
      <c r="H23" s="16">
        <v>-7.9466443840274903E-2</v>
      </c>
      <c r="I23" s="17">
        <v>3079286.1920000003</v>
      </c>
    </row>
    <row r="24" spans="1:9">
      <c r="A24" s="8" t="s">
        <v>68</v>
      </c>
      <c r="B24" s="29" t="s">
        <v>69</v>
      </c>
      <c r="C24" s="15">
        <v>10805182.066570003</v>
      </c>
      <c r="D24" s="16">
        <v>-0.18971014816696249</v>
      </c>
      <c r="E24" s="15">
        <v>8755329.3757500015</v>
      </c>
      <c r="F24" s="16">
        <v>7.2022436402740225E-2</v>
      </c>
      <c r="G24" s="15">
        <v>9385909.5288999993</v>
      </c>
      <c r="H24" s="16">
        <v>5.1486774671333779E-3</v>
      </c>
      <c r="I24" s="17">
        <v>9434234.5497999992</v>
      </c>
    </row>
    <row r="25" spans="1:9">
      <c r="A25" s="8" t="s">
        <v>70</v>
      </c>
      <c r="B25" s="29" t="s">
        <v>71</v>
      </c>
      <c r="C25" s="15">
        <v>26260960.69686</v>
      </c>
      <c r="D25" s="16">
        <v>1.0425232199244681E-2</v>
      </c>
      <c r="E25" s="15">
        <v>26534737.309900004</v>
      </c>
      <c r="F25" s="16">
        <v>2.7462791686206415E-2</v>
      </c>
      <c r="G25" s="15">
        <v>27263455.273089997</v>
      </c>
      <c r="H25" s="16">
        <v>8.2110210590572649E-3</v>
      </c>
      <c r="I25" s="17">
        <v>27487316.078480005</v>
      </c>
    </row>
    <row r="26" spans="1:9">
      <c r="A26" s="59" t="s">
        <v>72</v>
      </c>
      <c r="B26" s="29" t="s">
        <v>73</v>
      </c>
      <c r="C26" s="15">
        <v>749625.95145000005</v>
      </c>
      <c r="D26" s="16">
        <v>0.57721672083661979</v>
      </c>
      <c r="E26" s="15">
        <v>1182322.5850000002</v>
      </c>
      <c r="F26" s="16">
        <v>-0.13180654821881804</v>
      </c>
      <c r="G26" s="15">
        <v>1026484.7261900001</v>
      </c>
      <c r="H26" s="16">
        <v>3.285045230547181E-2</v>
      </c>
      <c r="I26" s="17">
        <v>1060205.21373</v>
      </c>
    </row>
    <row r="27" spans="1:9">
      <c r="A27" s="195">
        <v>489</v>
      </c>
      <c r="B27" s="29" t="s">
        <v>74</v>
      </c>
      <c r="C27" s="15">
        <v>67319.7</v>
      </c>
      <c r="D27" s="16">
        <v>2.2006322072142335</v>
      </c>
      <c r="E27" s="15">
        <v>215465.60000000001</v>
      </c>
      <c r="F27" s="16">
        <v>-0.24311321886185083</v>
      </c>
      <c r="G27" s="15">
        <v>163083.06443</v>
      </c>
      <c r="H27" s="16">
        <v>-0.14250057405546881</v>
      </c>
      <c r="I27" s="17">
        <v>139843.63412999999</v>
      </c>
    </row>
    <row r="28" spans="1:9">
      <c r="A28" s="30" t="s">
        <v>75</v>
      </c>
      <c r="B28" s="31" t="s">
        <v>76</v>
      </c>
      <c r="C28" s="20">
        <v>2672942.9030199996</v>
      </c>
      <c r="D28" s="16">
        <v>-3.2265910020955737E-3</v>
      </c>
      <c r="E28" s="20">
        <v>2664318.4095000001</v>
      </c>
      <c r="F28" s="16">
        <v>-7.9955569901263221E-2</v>
      </c>
      <c r="G28" s="20">
        <v>2451291.3126700004</v>
      </c>
      <c r="H28" s="16">
        <v>-3.7400394884172808E-2</v>
      </c>
      <c r="I28" s="21">
        <v>2359612.0496</v>
      </c>
    </row>
    <row r="29" spans="1:9">
      <c r="A29" s="51" t="s">
        <v>77</v>
      </c>
      <c r="B29" s="52" t="s">
        <v>78</v>
      </c>
      <c r="C29" s="24">
        <v>85350745.31482999</v>
      </c>
      <c r="D29" s="53">
        <v>-2.9761629969488151E-2</v>
      </c>
      <c r="E29" s="24">
        <v>82810568.015149996</v>
      </c>
      <c r="F29" s="53">
        <v>2.8120009159627944E-2</v>
      </c>
      <c r="G29" s="24">
        <v>85139201.946250007</v>
      </c>
      <c r="H29" s="54">
        <v>-1.3044961189571662E-3</v>
      </c>
      <c r="I29" s="26">
        <v>85028138.187740013</v>
      </c>
    </row>
    <row r="30" spans="1:9">
      <c r="A30" s="50" t="s">
        <v>79</v>
      </c>
      <c r="B30" s="32" t="s">
        <v>80</v>
      </c>
      <c r="C30" s="33">
        <v>-711710.67527044518</v>
      </c>
      <c r="D30" s="136">
        <v>0</v>
      </c>
      <c r="E30" s="33">
        <v>-991555.35063999973</v>
      </c>
      <c r="F30" s="136">
        <v>0</v>
      </c>
      <c r="G30" s="34">
        <v>-781843.19893999677</v>
      </c>
      <c r="H30" s="137">
        <v>0</v>
      </c>
      <c r="I30" s="35">
        <v>-612280.64311440487</v>
      </c>
    </row>
    <row r="31" spans="1:9">
      <c r="A31" s="140">
        <v>0</v>
      </c>
      <c r="B31" s="28" t="s">
        <v>81</v>
      </c>
      <c r="C31" s="138">
        <v>0</v>
      </c>
      <c r="D31" s="143">
        <v>0</v>
      </c>
      <c r="E31" s="138">
        <v>0</v>
      </c>
      <c r="F31" s="143">
        <v>0</v>
      </c>
      <c r="G31" s="138">
        <v>0</v>
      </c>
      <c r="H31" s="138">
        <v>0</v>
      </c>
      <c r="I31" s="139">
        <v>0</v>
      </c>
    </row>
    <row r="32" spans="1:9">
      <c r="A32" s="59" t="s">
        <v>82</v>
      </c>
      <c r="B32" s="29" t="s">
        <v>83</v>
      </c>
      <c r="C32" s="15">
        <v>5067319.2410899987</v>
      </c>
      <c r="D32" s="16">
        <v>-1.8212727420376093E-2</v>
      </c>
      <c r="E32" s="15">
        <v>4975029.5369999995</v>
      </c>
      <c r="F32" s="16">
        <v>-4.8165360361758926E-2</v>
      </c>
      <c r="G32" s="15">
        <v>4735405.4465399999</v>
      </c>
      <c r="H32" s="16">
        <v>1.3226027909765516E-3</v>
      </c>
      <c r="I32" s="17">
        <v>4741668.5069999993</v>
      </c>
    </row>
    <row r="33" spans="1:9">
      <c r="A33" s="59" t="s">
        <v>84</v>
      </c>
      <c r="B33" s="29" t="s">
        <v>85</v>
      </c>
      <c r="C33" s="15">
        <v>433632.43453000009</v>
      </c>
      <c r="D33" s="16">
        <v>0.23321692859440235</v>
      </c>
      <c r="E33" s="15">
        <v>534762.85904999997</v>
      </c>
      <c r="F33" s="16">
        <v>0.31155558240521392</v>
      </c>
      <c r="G33" s="15">
        <v>701371.21305000002</v>
      </c>
      <c r="H33" s="16">
        <v>-0.16015044666795078</v>
      </c>
      <c r="I33" s="17">
        <v>589046.30000000005</v>
      </c>
    </row>
    <row r="34" spans="1:9">
      <c r="A34" s="8" t="s">
        <v>86</v>
      </c>
      <c r="B34" s="29" t="s">
        <v>87</v>
      </c>
      <c r="C34" s="15">
        <v>1834060.5031999999</v>
      </c>
      <c r="D34" s="16">
        <v>-2.2614081502564953E-2</v>
      </c>
      <c r="E34" s="15">
        <v>1792584.9094999998</v>
      </c>
      <c r="F34" s="16">
        <v>-5.7460527121546666E-2</v>
      </c>
      <c r="G34" s="15">
        <v>1689582.0356899998</v>
      </c>
      <c r="H34" s="16">
        <v>8.8276347498622287E-2</v>
      </c>
      <c r="I34" s="17">
        <v>1838732.1665999999</v>
      </c>
    </row>
    <row r="35" spans="1:9">
      <c r="A35" s="51" t="s">
        <v>88</v>
      </c>
      <c r="B35" s="52" t="s">
        <v>89</v>
      </c>
      <c r="C35" s="24">
        <v>7335012.17882</v>
      </c>
      <c r="D35" s="54">
        <v>-4.4491914225083641E-3</v>
      </c>
      <c r="E35" s="24">
        <v>7302377.3055499997</v>
      </c>
      <c r="F35" s="54">
        <v>-2.3436129100030026E-2</v>
      </c>
      <c r="G35" s="24">
        <v>7131237.8482800005</v>
      </c>
      <c r="H35" s="54">
        <v>5.3579933993108068E-3</v>
      </c>
      <c r="I35" s="26">
        <v>7169446.9736000001</v>
      </c>
    </row>
    <row r="36" spans="1:9">
      <c r="A36" s="8" t="s">
        <v>90</v>
      </c>
      <c r="B36" s="29" t="s">
        <v>91</v>
      </c>
      <c r="C36" s="15">
        <v>100648.32106</v>
      </c>
      <c r="D36" s="16">
        <v>-0.64492303871919154</v>
      </c>
      <c r="E36" s="15">
        <v>35737.9</v>
      </c>
      <c r="F36" s="16">
        <v>2.3040262561594274</v>
      </c>
      <c r="G36" s="15">
        <v>118078.95994</v>
      </c>
      <c r="H36" s="16">
        <v>1.1418122760270617E-2</v>
      </c>
      <c r="I36" s="17">
        <v>119427.2</v>
      </c>
    </row>
    <row r="37" spans="1:9">
      <c r="A37" s="8" t="s">
        <v>92</v>
      </c>
      <c r="B37" s="29" t="s">
        <v>93</v>
      </c>
      <c r="C37" s="15">
        <v>2463107.42245</v>
      </c>
      <c r="D37" s="16">
        <v>-0.14481210896405416</v>
      </c>
      <c r="E37" s="15">
        <v>2106419.642</v>
      </c>
      <c r="F37" s="16">
        <v>6.6854539286526446E-2</v>
      </c>
      <c r="G37" s="15">
        <v>2247243.35671</v>
      </c>
      <c r="H37" s="16">
        <v>-6.007517090078178E-2</v>
      </c>
      <c r="I37" s="17">
        <v>2112239.8280000002</v>
      </c>
    </row>
    <row r="38" spans="1:9">
      <c r="A38" s="51" t="s">
        <v>94</v>
      </c>
      <c r="B38" s="52" t="s">
        <v>95</v>
      </c>
      <c r="C38" s="24">
        <v>2563755.7435100004</v>
      </c>
      <c r="D38" s="54">
        <v>-0.1632625114812806</v>
      </c>
      <c r="E38" s="24">
        <v>2145190.5419999999</v>
      </c>
      <c r="F38" s="54">
        <v>0.10845554839762084</v>
      </c>
      <c r="G38" s="24">
        <v>2377848.3586499994</v>
      </c>
      <c r="H38" s="54">
        <v>-6.1476304877991668E-2</v>
      </c>
      <c r="I38" s="26">
        <v>2231667.0279999999</v>
      </c>
    </row>
    <row r="39" spans="1:9">
      <c r="A39" s="36" t="s">
        <v>96</v>
      </c>
      <c r="B39" s="37" t="s">
        <v>3</v>
      </c>
      <c r="C39" s="38">
        <v>4771256.4353100006</v>
      </c>
      <c r="D39" s="39">
        <v>8.0886519823980707E-2</v>
      </c>
      <c r="E39" s="38">
        <v>5157186.7635499984</v>
      </c>
      <c r="F39" s="39">
        <v>-7.829797376623239E-2</v>
      </c>
      <c r="G39" s="38">
        <v>4753389.4896299997</v>
      </c>
      <c r="H39" s="39">
        <v>3.8791362746996849E-2</v>
      </c>
      <c r="I39" s="40">
        <v>4937779.9455999993</v>
      </c>
    </row>
    <row r="40" spans="1:9">
      <c r="A40" s="131" t="s">
        <v>0</v>
      </c>
      <c r="B40" s="29" t="s">
        <v>97</v>
      </c>
      <c r="C40" s="15">
        <v>3532397.2324295556</v>
      </c>
      <c r="D40" s="16">
        <v>-0.27410310741966204</v>
      </c>
      <c r="E40" s="601">
        <v>2564156.1743800002</v>
      </c>
      <c r="F40" s="16">
        <v>0.43697082128038667</v>
      </c>
      <c r="G40" s="601">
        <v>3684617.6037900033</v>
      </c>
      <c r="H40" s="16">
        <v>-0.15744161980983956</v>
      </c>
      <c r="I40" s="600">
        <v>3142528.4529555952</v>
      </c>
    </row>
    <row r="41" spans="1:9">
      <c r="A41" s="131" t="s">
        <v>0</v>
      </c>
      <c r="B41" s="29" t="s">
        <v>98</v>
      </c>
      <c r="C41" s="15">
        <v>-1193645.0529504414</v>
      </c>
      <c r="D41" s="16">
        <v>-1.0112159944332069</v>
      </c>
      <c r="E41" s="15">
        <v>-2400678.0221699998</v>
      </c>
      <c r="F41" s="16">
        <v>0.55480411118442208</v>
      </c>
      <c r="G41" s="15">
        <v>-1068771.9858399967</v>
      </c>
      <c r="H41" s="16">
        <v>0.75378527398639106</v>
      </c>
      <c r="I41" s="17">
        <v>-1795251.492644405</v>
      </c>
    </row>
    <row r="42" spans="1:9">
      <c r="A42" s="141" t="s">
        <v>0</v>
      </c>
      <c r="B42" s="31" t="s">
        <v>99</v>
      </c>
      <c r="C42" s="20">
        <v>84470309.209350422</v>
      </c>
      <c r="D42" s="129">
        <v>-9.9463914113078287E-3</v>
      </c>
      <c r="E42" s="20">
        <v>83630134.451320022</v>
      </c>
      <c r="F42" s="129">
        <v>9.9339451629551438E-3</v>
      </c>
      <c r="G42" s="20">
        <v>84460911.620930001</v>
      </c>
      <c r="H42" s="129">
        <v>8.8317894515779708E-3</v>
      </c>
      <c r="I42" s="21">
        <v>85206852.60925439</v>
      </c>
    </row>
    <row r="43" spans="1:9">
      <c r="A43" s="141">
        <v>0</v>
      </c>
      <c r="B43" s="31" t="s">
        <v>5</v>
      </c>
      <c r="C43" s="66">
        <v>0.74034948243146503</v>
      </c>
      <c r="D43" s="142">
        <v>0</v>
      </c>
      <c r="E43" s="41">
        <v>0.53449852948170729</v>
      </c>
      <c r="F43" s="142">
        <v>0</v>
      </c>
      <c r="G43" s="41">
        <v>0.78464970262311162</v>
      </c>
      <c r="H43" s="142">
        <v>0</v>
      </c>
      <c r="I43" s="42">
        <v>0.63642537488043938</v>
      </c>
    </row>
    <row r="45" spans="1:9">
      <c r="B45" s="599"/>
      <c r="C45" s="602"/>
      <c r="E45" s="602"/>
      <c r="G45" s="602"/>
      <c r="I45" s="602"/>
    </row>
  </sheetData>
  <phoneticPr fontId="7" type="noConversion"/>
  <pageMargins left="0.78740157499999996" right="0.78740157499999996" top="0.984251969" bottom="0.984251969" header="0.4921259845" footer="0.4921259845"/>
  <pageSetup paperSize="9" orientation="landscape"/>
  <headerFooter alignWithMargins="0">
    <oddHeader>&amp;LFachgruppe für kantonale Finanzfragen (FkF)
Groupe d'étude pour les finances cantonales&amp;CRechnung 2011 - Budget 2013
Compte 2011 - Budget 2013&amp;RZürich, 12.9.2013</oddHeader>
    <oddFooter>&amp;LQuelle/Source: FkF Sept. 2013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F47"/>
  <sheetViews>
    <sheetView zoomScaleNormal="100" workbookViewId="0"/>
  </sheetViews>
  <sheetFormatPr baseColWidth="10" defaultRowHeight="13"/>
  <cols>
    <col min="1" max="1" width="26.5" customWidth="1"/>
    <col min="2" max="3" width="15.5" customWidth="1"/>
    <col min="4" max="4" width="15.6640625" customWidth="1"/>
    <col min="5" max="5" width="21.33203125" customWidth="1"/>
    <col min="6" max="6" width="2.1640625" customWidth="1"/>
  </cols>
  <sheetData>
    <row r="1" spans="1:6">
      <c r="B1" s="4"/>
      <c r="C1" s="4"/>
      <c r="D1" s="4"/>
      <c r="E1" s="4"/>
      <c r="F1" s="4"/>
    </row>
    <row r="2" spans="1:6" ht="18" customHeight="1">
      <c r="A2" s="48" t="s">
        <v>191</v>
      </c>
      <c r="B2" s="55"/>
    </row>
    <row r="3" spans="1:6" ht="17.25" customHeight="1" thickBot="1">
      <c r="A3" s="48" t="s">
        <v>192</v>
      </c>
      <c r="B3" s="4"/>
      <c r="C3" s="4"/>
      <c r="D3" s="4"/>
      <c r="E3" s="4"/>
      <c r="F3" s="4"/>
    </row>
    <row r="4" spans="1:6" ht="14" thickTop="1">
      <c r="A4" s="169" t="s">
        <v>2</v>
      </c>
      <c r="B4" s="168" t="s">
        <v>10</v>
      </c>
      <c r="C4" s="168" t="s">
        <v>3</v>
      </c>
      <c r="D4" s="168" t="s">
        <v>11</v>
      </c>
      <c r="E4" s="168" t="s">
        <v>5</v>
      </c>
      <c r="F4" s="188"/>
    </row>
    <row r="5" spans="1:6">
      <c r="A5" s="170" t="s">
        <v>1</v>
      </c>
      <c r="B5" s="44" t="s">
        <v>18</v>
      </c>
      <c r="C5" s="44" t="s">
        <v>4</v>
      </c>
      <c r="D5" s="44" t="s">
        <v>12</v>
      </c>
      <c r="E5" s="44" t="s">
        <v>6</v>
      </c>
      <c r="F5" s="189"/>
    </row>
    <row r="6" spans="1:6">
      <c r="A6" s="171"/>
      <c r="B6" s="45" t="s">
        <v>19</v>
      </c>
      <c r="C6" s="45"/>
      <c r="D6" s="60"/>
      <c r="E6" s="45"/>
      <c r="F6" s="189"/>
    </row>
    <row r="7" spans="1:6" ht="16">
      <c r="A7" s="172"/>
      <c r="B7" s="61" t="s">
        <v>16</v>
      </c>
      <c r="C7" s="62"/>
      <c r="D7" s="62"/>
      <c r="E7" s="145"/>
      <c r="F7" s="190"/>
    </row>
    <row r="8" spans="1:6" ht="24" customHeight="1">
      <c r="A8" s="173" t="s">
        <v>193</v>
      </c>
      <c r="B8" s="166">
        <v>-1723294</v>
      </c>
      <c r="C8" s="166">
        <v>677010</v>
      </c>
      <c r="D8" s="166">
        <v>-1685892.9200699972</v>
      </c>
      <c r="E8" s="67" t="s">
        <v>100</v>
      </c>
      <c r="F8" s="191"/>
    </row>
    <row r="9" spans="1:6" ht="24" customHeight="1">
      <c r="A9" s="173" t="s">
        <v>101</v>
      </c>
      <c r="B9" s="166">
        <v>56641.993919998407</v>
      </c>
      <c r="C9" s="166">
        <v>582002.33457999991</v>
      </c>
      <c r="D9" s="166">
        <v>12658.97575999843</v>
      </c>
      <c r="E9" s="64">
        <v>1.0217507302082107</v>
      </c>
      <c r="F9" s="191"/>
    </row>
    <row r="10" spans="1:6" ht="24" customHeight="1">
      <c r="A10" s="173" t="s">
        <v>104</v>
      </c>
      <c r="B10" s="166">
        <v>49514.952930000145</v>
      </c>
      <c r="C10" s="166">
        <v>180361.93865000003</v>
      </c>
      <c r="D10" s="166">
        <v>24465.014280000119</v>
      </c>
      <c r="E10" s="146">
        <v>1.1356439970823085</v>
      </c>
      <c r="F10" s="191"/>
    </row>
    <row r="11" spans="1:6" ht="24" customHeight="1">
      <c r="A11" s="173" t="s">
        <v>106</v>
      </c>
      <c r="B11" s="166">
        <v>10894</v>
      </c>
      <c r="C11" s="166">
        <v>24828</v>
      </c>
      <c r="D11" s="166">
        <v>2536</v>
      </c>
      <c r="E11" s="146">
        <v>1.10214274206541</v>
      </c>
      <c r="F11" s="191"/>
    </row>
    <row r="12" spans="1:6" ht="24" customHeight="1">
      <c r="A12" s="173" t="s">
        <v>107</v>
      </c>
      <c r="B12" s="166">
        <v>-48277.90000000014</v>
      </c>
      <c r="C12" s="166">
        <v>69031.199999999997</v>
      </c>
      <c r="D12" s="166">
        <v>-40540.000000000131</v>
      </c>
      <c r="E12" s="67">
        <v>0.4127293165988693</v>
      </c>
      <c r="F12" s="191"/>
    </row>
    <row r="13" spans="1:6" ht="24" customHeight="1">
      <c r="A13" s="173" t="s">
        <v>108</v>
      </c>
      <c r="B13" s="166">
        <v>-1287</v>
      </c>
      <c r="C13" s="166">
        <v>21792</v>
      </c>
      <c r="D13" s="166">
        <v>-12043</v>
      </c>
      <c r="E13" s="146">
        <v>0.44736600587371511</v>
      </c>
      <c r="F13" s="191"/>
    </row>
    <row r="14" spans="1:6" ht="24" customHeight="1">
      <c r="A14" s="173" t="s">
        <v>194</v>
      </c>
      <c r="B14" s="166">
        <v>608.20000000001164</v>
      </c>
      <c r="C14" s="166">
        <v>38439.60000000002</v>
      </c>
      <c r="D14" s="166">
        <v>-15584.179999999989</v>
      </c>
      <c r="E14" s="146">
        <v>0.59457268548267528</v>
      </c>
      <c r="F14" s="191"/>
    </row>
    <row r="15" spans="1:6" ht="24" customHeight="1">
      <c r="A15" s="173" t="s">
        <v>195</v>
      </c>
      <c r="B15" s="166">
        <v>8102.3999999999651</v>
      </c>
      <c r="C15" s="166">
        <v>17685.7</v>
      </c>
      <c r="D15" s="166">
        <v>5561.1999999999898</v>
      </c>
      <c r="E15" s="146">
        <v>1.3144461344476039</v>
      </c>
      <c r="F15" s="191"/>
    </row>
    <row r="16" spans="1:6" ht="24" customHeight="1">
      <c r="A16" s="173" t="s">
        <v>111</v>
      </c>
      <c r="B16" s="166">
        <v>84786.300000000047</v>
      </c>
      <c r="C16" s="166">
        <v>106365.09999999999</v>
      </c>
      <c r="D16" s="166">
        <v>45547.500000000044</v>
      </c>
      <c r="E16" s="146">
        <v>1.4282184663954629</v>
      </c>
      <c r="F16" s="191"/>
    </row>
    <row r="17" spans="1:6" ht="24" customHeight="1">
      <c r="A17" s="173" t="s">
        <v>196</v>
      </c>
      <c r="B17" s="166">
        <v>2789.1899999999441</v>
      </c>
      <c r="C17" s="166">
        <v>177502.14</v>
      </c>
      <c r="D17" s="166">
        <v>65800.839999999967</v>
      </c>
      <c r="E17" s="146">
        <v>1.3707606344681504</v>
      </c>
      <c r="F17" s="191"/>
    </row>
    <row r="18" spans="1:6" ht="24" customHeight="1">
      <c r="A18" s="173" t="s">
        <v>159</v>
      </c>
      <c r="B18" s="166">
        <v>19272.94000000041</v>
      </c>
      <c r="C18" s="166">
        <v>133569.31</v>
      </c>
      <c r="D18" s="166">
        <v>-18980.969999999594</v>
      </c>
      <c r="E18" s="64">
        <v>0.85789422734908494</v>
      </c>
      <c r="F18" s="191"/>
    </row>
    <row r="19" spans="1:6" ht="24" customHeight="1">
      <c r="A19" s="173" t="s">
        <v>162</v>
      </c>
      <c r="B19" s="166">
        <v>217334.89999999944</v>
      </c>
      <c r="C19" s="166">
        <v>326432.94999999995</v>
      </c>
      <c r="D19" s="166">
        <v>63198.219999999506</v>
      </c>
      <c r="E19" s="64">
        <v>1.1936024534287961</v>
      </c>
      <c r="F19" s="191"/>
    </row>
    <row r="20" spans="1:6" ht="24" customHeight="1">
      <c r="A20" s="173" t="s">
        <v>197</v>
      </c>
      <c r="B20" s="166">
        <v>-18907.917000000831</v>
      </c>
      <c r="C20" s="166">
        <v>347572.4</v>
      </c>
      <c r="D20" s="166">
        <v>-288100.11699999985</v>
      </c>
      <c r="E20" s="146">
        <v>0.17110761096105498</v>
      </c>
      <c r="F20" s="191"/>
    </row>
    <row r="21" spans="1:6" ht="24" customHeight="1">
      <c r="A21" s="173" t="s">
        <v>164</v>
      </c>
      <c r="B21" s="166">
        <v>-11448.933769999887</v>
      </c>
      <c r="C21" s="166">
        <v>29835.764449999999</v>
      </c>
      <c r="D21" s="166">
        <v>-27783.385719999886</v>
      </c>
      <c r="E21" s="146">
        <v>6.8789212136312908E-2</v>
      </c>
      <c r="F21" s="191"/>
    </row>
    <row r="22" spans="1:6" ht="24" customHeight="1">
      <c r="A22" s="173" t="s">
        <v>165</v>
      </c>
      <c r="B22" s="166">
        <v>-5347</v>
      </c>
      <c r="C22" s="166">
        <v>53465</v>
      </c>
      <c r="D22" s="166">
        <v>-27456</v>
      </c>
      <c r="E22" s="146">
        <v>0.48646778266155427</v>
      </c>
      <c r="F22" s="191"/>
    </row>
    <row r="23" spans="1:6" ht="24" customHeight="1">
      <c r="A23" s="173" t="s">
        <v>166</v>
      </c>
      <c r="B23" s="166">
        <v>442.39999999999418</v>
      </c>
      <c r="C23" s="166">
        <v>9363.5</v>
      </c>
      <c r="D23" s="166">
        <v>-1557.6000000000058</v>
      </c>
      <c r="E23" s="67">
        <v>0.83365194638756812</v>
      </c>
      <c r="F23" s="191"/>
    </row>
    <row r="24" spans="1:6" ht="24" customHeight="1">
      <c r="A24" s="173" t="s">
        <v>167</v>
      </c>
      <c r="B24" s="166">
        <v>-64847.249580000527</v>
      </c>
      <c r="C24" s="166">
        <v>152208.46843999997</v>
      </c>
      <c r="D24" s="166">
        <v>-120117.0486300005</v>
      </c>
      <c r="E24" s="67">
        <v>0.21083859616293157</v>
      </c>
      <c r="F24" s="191"/>
    </row>
    <row r="25" spans="1:6" ht="24" customHeight="1">
      <c r="A25" s="173" t="s">
        <v>168</v>
      </c>
      <c r="B25" s="166">
        <v>102888</v>
      </c>
      <c r="C25" s="166">
        <v>195909</v>
      </c>
      <c r="D25" s="166">
        <v>95629</v>
      </c>
      <c r="E25" s="146">
        <v>1.4881296928676069</v>
      </c>
      <c r="F25" s="191"/>
    </row>
    <row r="26" spans="1:6" ht="24" customHeight="1">
      <c r="A26" s="173" t="s">
        <v>169</v>
      </c>
      <c r="B26" s="166">
        <v>14549.073710001074</v>
      </c>
      <c r="C26" s="166">
        <v>214431.08325000003</v>
      </c>
      <c r="D26" s="166">
        <v>29783.886290001043</v>
      </c>
      <c r="E26" s="146">
        <v>1.1388972430609638</v>
      </c>
      <c r="F26" s="191"/>
    </row>
    <row r="27" spans="1:6" ht="24" customHeight="1">
      <c r="A27" s="173" t="s">
        <v>170</v>
      </c>
      <c r="B27" s="166">
        <v>28136</v>
      </c>
      <c r="C27" s="166">
        <v>82426</v>
      </c>
      <c r="D27" s="166">
        <v>22295</v>
      </c>
      <c r="E27" s="146">
        <v>1.2704850411277995</v>
      </c>
      <c r="F27" s="191"/>
    </row>
    <row r="28" spans="1:6" ht="24" customHeight="1">
      <c r="A28" s="173" t="s">
        <v>172</v>
      </c>
      <c r="B28" s="166">
        <v>16294.695160000585</v>
      </c>
      <c r="C28" s="166">
        <v>243162.65991000002</v>
      </c>
      <c r="D28" s="166">
        <v>-38067.534879999439</v>
      </c>
      <c r="E28" s="67">
        <v>0.84344827082378071</v>
      </c>
      <c r="F28" s="191"/>
    </row>
    <row r="29" spans="1:6" ht="24" customHeight="1">
      <c r="A29" s="173" t="s">
        <v>173</v>
      </c>
      <c r="B29" s="166">
        <v>345665.84025999717</v>
      </c>
      <c r="C29" s="166">
        <v>234192.77639999997</v>
      </c>
      <c r="D29" s="166">
        <v>298267.10767999722</v>
      </c>
      <c r="E29" s="64">
        <v>2.2735965313061519</v>
      </c>
      <c r="F29" s="191"/>
    </row>
    <row r="30" spans="1:6" ht="24" customHeight="1">
      <c r="A30" s="173" t="s">
        <v>176</v>
      </c>
      <c r="B30" s="166">
        <v>6927.6000000000931</v>
      </c>
      <c r="C30" s="166">
        <v>228014.09999999998</v>
      </c>
      <c r="D30" s="166">
        <v>40676.40000000014</v>
      </c>
      <c r="E30" s="146">
        <v>1.1783942308830908</v>
      </c>
      <c r="F30" s="191"/>
    </row>
    <row r="31" spans="1:6" ht="24" customHeight="1">
      <c r="A31" s="173" t="s">
        <v>177</v>
      </c>
      <c r="B31" s="166">
        <v>2966.600000000326</v>
      </c>
      <c r="C31" s="166">
        <v>76578.100000000006</v>
      </c>
      <c r="D31" s="166">
        <v>-50.199999999676947</v>
      </c>
      <c r="E31" s="146">
        <v>0.9993444601002156</v>
      </c>
      <c r="F31" s="191"/>
    </row>
    <row r="32" spans="1:6" ht="24" customHeight="1">
      <c r="A32" s="173" t="s">
        <v>178</v>
      </c>
      <c r="B32" s="166">
        <v>193099.62678955868</v>
      </c>
      <c r="C32" s="166">
        <v>502554.30479999998</v>
      </c>
      <c r="D32" s="166">
        <v>383134.59926955873</v>
      </c>
      <c r="E32" s="67">
        <v>1.5277764406186043</v>
      </c>
      <c r="F32" s="192"/>
    </row>
    <row r="33" spans="1:6" ht="24" customHeight="1">
      <c r="A33" s="173" t="s">
        <v>186</v>
      </c>
      <c r="B33" s="167">
        <v>784.6123099999968</v>
      </c>
      <c r="C33" s="167">
        <v>46523.004829999998</v>
      </c>
      <c r="D33" s="167">
        <v>-7025.8399300000019</v>
      </c>
      <c r="E33" s="147">
        <v>0.84898138123981526</v>
      </c>
      <c r="F33" s="193"/>
    </row>
    <row r="34" spans="1:6" ht="16">
      <c r="A34" s="172"/>
      <c r="B34" s="63"/>
      <c r="C34" s="63"/>
      <c r="D34" s="63"/>
      <c r="E34" s="148"/>
      <c r="F34" s="191"/>
    </row>
    <row r="35" spans="1:6" ht="16">
      <c r="A35" s="173" t="s">
        <v>189</v>
      </c>
      <c r="B35" s="166">
        <v>-711710.67527044518</v>
      </c>
      <c r="C35" s="46">
        <v>4771256.4353100006</v>
      </c>
      <c r="D35" s="166">
        <v>-1193645.0529504414</v>
      </c>
      <c r="E35" s="146">
        <v>0.74034948243146503</v>
      </c>
      <c r="F35" s="191"/>
    </row>
    <row r="36" spans="1:6" ht="17" thickBot="1">
      <c r="A36" s="184">
        <v>0</v>
      </c>
      <c r="B36" s="185"/>
      <c r="C36" s="185"/>
      <c r="D36" s="185"/>
      <c r="E36" s="185"/>
      <c r="F36" s="194"/>
    </row>
    <row r="37" spans="1:6" ht="17" thickTop="1">
      <c r="A37" s="4" t="s">
        <v>7</v>
      </c>
      <c r="B37" s="4"/>
      <c r="C37" s="4"/>
      <c r="D37" s="4"/>
      <c r="E37" s="47"/>
      <c r="F37" s="47"/>
    </row>
    <row r="38" spans="1:6">
      <c r="A38" s="1" t="s">
        <v>17</v>
      </c>
      <c r="B38" s="4"/>
      <c r="C38" s="4"/>
      <c r="D38" s="4"/>
      <c r="E38" s="4"/>
      <c r="F38" s="4"/>
    </row>
    <row r="39" spans="1:6">
      <c r="A39" t="s">
        <v>198</v>
      </c>
      <c r="B39" s="4"/>
      <c r="C39" s="4"/>
      <c r="D39" s="4"/>
      <c r="E39" s="4"/>
      <c r="F39" s="4"/>
    </row>
    <row r="40" spans="1:6">
      <c r="B40" s="4"/>
      <c r="C40" s="4"/>
      <c r="D40" s="4"/>
      <c r="E40" s="4"/>
      <c r="F40" s="4"/>
    </row>
    <row r="41" spans="1:6">
      <c r="A41" s="144"/>
      <c r="B41" s="144"/>
      <c r="C41" s="144"/>
      <c r="D41" s="144"/>
      <c r="E41" s="144"/>
    </row>
    <row r="46" spans="1:6">
      <c r="A46" s="149"/>
    </row>
    <row r="47" spans="1:6">
      <c r="A47" s="150"/>
    </row>
  </sheetData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40"/>
  <sheetViews>
    <sheetView zoomScaleNormal="100" workbookViewId="0"/>
  </sheetViews>
  <sheetFormatPr baseColWidth="10" defaultRowHeight="13"/>
  <cols>
    <col min="1" max="1" width="26.33203125" customWidth="1"/>
    <col min="2" max="2" width="17.1640625" customWidth="1"/>
    <col min="3" max="4" width="16.6640625" customWidth="1"/>
    <col min="5" max="5" width="21.83203125" customWidth="1"/>
  </cols>
  <sheetData>
    <row r="1" spans="1:5">
      <c r="B1" s="4"/>
      <c r="C1" s="4"/>
      <c r="D1" s="4"/>
      <c r="E1" s="4"/>
    </row>
    <row r="2" spans="1:5" ht="20.25" customHeight="1">
      <c r="A2" s="48" t="s">
        <v>199</v>
      </c>
      <c r="B2" s="55"/>
    </row>
    <row r="3" spans="1:5" ht="17.25" customHeight="1" thickBot="1">
      <c r="A3" s="48" t="s">
        <v>200</v>
      </c>
      <c r="B3" s="4"/>
      <c r="C3" s="4"/>
      <c r="D3" s="4"/>
      <c r="E3" s="4"/>
    </row>
    <row r="4" spans="1:5" ht="14" thickTop="1">
      <c r="A4" s="169" t="s">
        <v>2</v>
      </c>
      <c r="B4" s="168" t="s">
        <v>10</v>
      </c>
      <c r="C4" s="168" t="s">
        <v>3</v>
      </c>
      <c r="D4" s="168" t="s">
        <v>11</v>
      </c>
      <c r="E4" s="174" t="s">
        <v>5</v>
      </c>
    </row>
    <row r="5" spans="1:5">
      <c r="A5" s="170" t="s">
        <v>1</v>
      </c>
      <c r="B5" s="44" t="s">
        <v>18</v>
      </c>
      <c r="C5" s="44" t="s">
        <v>4</v>
      </c>
      <c r="D5" s="44" t="s">
        <v>12</v>
      </c>
      <c r="E5" s="175" t="s">
        <v>6</v>
      </c>
    </row>
    <row r="6" spans="1:5">
      <c r="A6" s="171"/>
      <c r="B6" s="45" t="s">
        <v>19</v>
      </c>
      <c r="C6" s="45"/>
      <c r="D6" s="60"/>
      <c r="E6" s="176"/>
    </row>
    <row r="7" spans="1:5" ht="24.5" customHeight="1">
      <c r="A7" s="172"/>
      <c r="B7" s="61" t="s">
        <v>16</v>
      </c>
      <c r="C7" s="62"/>
      <c r="D7" s="62"/>
      <c r="E7" s="177"/>
    </row>
    <row r="8" spans="1:5" ht="24" customHeight="1">
      <c r="A8" s="173" t="s">
        <v>193</v>
      </c>
      <c r="B8" s="166">
        <v>-81781.993000000715</v>
      </c>
      <c r="C8" s="166">
        <v>947172.39999999991</v>
      </c>
      <c r="D8" s="166">
        <v>-624650.65600000136</v>
      </c>
      <c r="E8" s="178">
        <v>0.34051007398441785</v>
      </c>
    </row>
    <row r="9" spans="1:5" ht="24" customHeight="1">
      <c r="A9" s="173" t="s">
        <v>101</v>
      </c>
      <c r="B9" s="166">
        <v>17364.25346999988</v>
      </c>
      <c r="C9" s="166">
        <v>592587.71649999986</v>
      </c>
      <c r="D9" s="166">
        <v>46856.206989999977</v>
      </c>
      <c r="E9" s="179">
        <v>1.0790704999198206</v>
      </c>
    </row>
    <row r="10" spans="1:5" ht="24" customHeight="1">
      <c r="A10" s="173" t="s">
        <v>201</v>
      </c>
      <c r="B10" s="166">
        <v>-6703.722110000439</v>
      </c>
      <c r="C10" s="166">
        <v>145866.16405000002</v>
      </c>
      <c r="D10" s="166">
        <v>-27159.959160000086</v>
      </c>
      <c r="E10" s="178">
        <v>0.81380219780997198</v>
      </c>
    </row>
    <row r="11" spans="1:5" ht="24" customHeight="1">
      <c r="A11" s="173" t="s">
        <v>202</v>
      </c>
      <c r="B11" s="166">
        <v>2599.0109999999404</v>
      </c>
      <c r="C11" s="166">
        <v>26624.5</v>
      </c>
      <c r="D11" s="166">
        <v>-13075.668999999947</v>
      </c>
      <c r="E11" s="178">
        <v>0.50888583823170586</v>
      </c>
    </row>
    <row r="12" spans="1:5" ht="24" customHeight="1">
      <c r="A12" s="173" t="s">
        <v>107</v>
      </c>
      <c r="B12" s="166">
        <v>-92963.499999999767</v>
      </c>
      <c r="C12" s="166">
        <v>76784.900000000009</v>
      </c>
      <c r="D12" s="166">
        <v>-94885.29999999977</v>
      </c>
      <c r="E12" s="180" t="s">
        <v>100</v>
      </c>
    </row>
    <row r="13" spans="1:5" ht="24" customHeight="1">
      <c r="A13" s="173" t="s">
        <v>203</v>
      </c>
      <c r="B13" s="166">
        <v>-1991</v>
      </c>
      <c r="C13" s="166">
        <v>26020</v>
      </c>
      <c r="D13" s="166">
        <v>-26379</v>
      </c>
      <c r="E13" s="180" t="s">
        <v>100</v>
      </c>
    </row>
    <row r="14" spans="1:5" ht="24" customHeight="1">
      <c r="A14" s="173" t="s">
        <v>194</v>
      </c>
      <c r="B14" s="166">
        <v>-444.10000000003492</v>
      </c>
      <c r="C14" s="166">
        <v>28440</v>
      </c>
      <c r="D14" s="166">
        <v>-15415.500000000036</v>
      </c>
      <c r="E14" s="178">
        <v>0.45796413502109579</v>
      </c>
    </row>
    <row r="15" spans="1:5" ht="24" customHeight="1">
      <c r="A15" s="173" t="s">
        <v>195</v>
      </c>
      <c r="B15" s="166">
        <v>-3159.9000000000815</v>
      </c>
      <c r="C15" s="166">
        <v>18017.300000000003</v>
      </c>
      <c r="D15" s="166">
        <v>-2691.6999999999916</v>
      </c>
      <c r="E15" s="180">
        <v>0.85060469659715987</v>
      </c>
    </row>
    <row r="16" spans="1:5" ht="24" customHeight="1">
      <c r="A16" s="173" t="s">
        <v>204</v>
      </c>
      <c r="B16" s="166">
        <v>-3799.3500000000931</v>
      </c>
      <c r="C16" s="166">
        <v>93977.7</v>
      </c>
      <c r="D16" s="166">
        <v>-13929.062000000078</v>
      </c>
      <c r="E16" s="178">
        <v>0.85178332732126794</v>
      </c>
    </row>
    <row r="17" spans="1:5" ht="24" customHeight="1">
      <c r="A17" s="173" t="s">
        <v>196</v>
      </c>
      <c r="B17" s="166">
        <v>1011</v>
      </c>
      <c r="C17" s="166">
        <v>120702.00000000001</v>
      </c>
      <c r="D17" s="166">
        <v>99416.21000000037</v>
      </c>
      <c r="E17" s="178">
        <v>1.8236500637934778</v>
      </c>
    </row>
    <row r="18" spans="1:5" ht="24" customHeight="1">
      <c r="A18" s="173" t="s">
        <v>205</v>
      </c>
      <c r="B18" s="166">
        <v>-110594.62900000019</v>
      </c>
      <c r="C18" s="166">
        <v>128621.9</v>
      </c>
      <c r="D18" s="166">
        <v>-159946.52900000013</v>
      </c>
      <c r="E18" s="179" t="s">
        <v>100</v>
      </c>
    </row>
    <row r="19" spans="1:5" ht="24" customHeight="1">
      <c r="A19" s="173" t="s">
        <v>162</v>
      </c>
      <c r="B19" s="166">
        <v>77829.544999999925</v>
      </c>
      <c r="C19" s="166">
        <v>308400</v>
      </c>
      <c r="D19" s="166">
        <v>-115596.53700000007</v>
      </c>
      <c r="E19" s="179">
        <v>0.62517335603112822</v>
      </c>
    </row>
    <row r="20" spans="1:5" ht="24" customHeight="1">
      <c r="A20" s="173" t="s">
        <v>197</v>
      </c>
      <c r="B20" s="166">
        <v>-28720.200000000186</v>
      </c>
      <c r="C20" s="166">
        <v>203910</v>
      </c>
      <c r="D20" s="166">
        <v>-227738.50000000035</v>
      </c>
      <c r="E20" s="180" t="s">
        <v>100</v>
      </c>
    </row>
    <row r="21" spans="1:5" ht="24" customHeight="1">
      <c r="A21" s="173" t="s">
        <v>164</v>
      </c>
      <c r="B21" s="166">
        <v>-35881.29999999993</v>
      </c>
      <c r="C21" s="166">
        <v>29006.5</v>
      </c>
      <c r="D21" s="166">
        <v>-49216.999999999927</v>
      </c>
      <c r="E21" s="180" t="s">
        <v>100</v>
      </c>
    </row>
    <row r="22" spans="1:5" ht="24" customHeight="1">
      <c r="A22" s="173" t="s">
        <v>165</v>
      </c>
      <c r="B22" s="166">
        <v>-13196.399999999965</v>
      </c>
      <c r="C22" s="166">
        <v>42815</v>
      </c>
      <c r="D22" s="166">
        <v>-25015.999999999964</v>
      </c>
      <c r="E22" s="180">
        <v>0.4157187901436421</v>
      </c>
    </row>
    <row r="23" spans="1:5" ht="24" customHeight="1">
      <c r="A23" s="173" t="s">
        <v>166</v>
      </c>
      <c r="B23" s="166">
        <v>-8937</v>
      </c>
      <c r="C23" s="166">
        <v>9370</v>
      </c>
      <c r="D23" s="166">
        <v>-16653</v>
      </c>
      <c r="E23" s="180" t="s">
        <v>100</v>
      </c>
    </row>
    <row r="24" spans="1:5" ht="24" customHeight="1">
      <c r="A24" s="173" t="s">
        <v>167</v>
      </c>
      <c r="B24" s="166">
        <v>-28411.200000000186</v>
      </c>
      <c r="C24" s="166">
        <v>194213.3</v>
      </c>
      <c r="D24" s="166">
        <v>-108451.10000000018</v>
      </c>
      <c r="E24" s="180">
        <v>0.44158767705404217</v>
      </c>
    </row>
    <row r="25" spans="1:5" ht="24" customHeight="1">
      <c r="A25" s="173" t="s">
        <v>168</v>
      </c>
      <c r="B25" s="166">
        <v>-25799</v>
      </c>
      <c r="C25" s="166">
        <v>195935</v>
      </c>
      <c r="D25" s="166">
        <v>-39037</v>
      </c>
      <c r="E25" s="178">
        <v>0.80076556000714527</v>
      </c>
    </row>
    <row r="26" spans="1:5" ht="24" customHeight="1">
      <c r="A26" s="173" t="s">
        <v>169</v>
      </c>
      <c r="B26" s="166">
        <v>-60117.080999999307</v>
      </c>
      <c r="C26" s="166">
        <v>259034.55</v>
      </c>
      <c r="D26" s="166">
        <v>-48493.080999999307</v>
      </c>
      <c r="E26" s="178">
        <v>0.81279300000714461</v>
      </c>
    </row>
    <row r="27" spans="1:5" ht="24" customHeight="1">
      <c r="A27" s="173" t="s">
        <v>206</v>
      </c>
      <c r="B27" s="166">
        <v>-13540</v>
      </c>
      <c r="C27" s="166">
        <v>97201</v>
      </c>
      <c r="D27" s="166">
        <v>-27159.959160000086</v>
      </c>
      <c r="E27" s="178">
        <v>0.81380219780997198</v>
      </c>
    </row>
    <row r="28" spans="1:5" ht="24" customHeight="1">
      <c r="A28" s="173" t="s">
        <v>172</v>
      </c>
      <c r="B28" s="166">
        <v>-220406</v>
      </c>
      <c r="C28" s="166">
        <v>229900</v>
      </c>
      <c r="D28" s="166">
        <v>-255106</v>
      </c>
      <c r="E28" s="180" t="s">
        <v>100</v>
      </c>
    </row>
    <row r="29" spans="1:5" ht="24" customHeight="1">
      <c r="A29" s="173" t="s">
        <v>173</v>
      </c>
      <c r="B29" s="166">
        <v>13121.399999999441</v>
      </c>
      <c r="C29" s="166">
        <v>300000</v>
      </c>
      <c r="D29" s="166">
        <v>-113800.20000000056</v>
      </c>
      <c r="E29" s="179">
        <v>0.62066599999999816</v>
      </c>
    </row>
    <row r="30" spans="1:5" ht="24" customHeight="1">
      <c r="A30" s="173" t="s">
        <v>176</v>
      </c>
      <c r="B30" s="166">
        <v>2715.0000000004657</v>
      </c>
      <c r="C30" s="166">
        <v>182692.49999999994</v>
      </c>
      <c r="D30" s="166">
        <v>1869.900000000518</v>
      </c>
      <c r="E30" s="178">
        <v>1.0102352313313383</v>
      </c>
    </row>
    <row r="31" spans="1:5" ht="24" customHeight="1">
      <c r="A31" s="173" t="s">
        <v>177</v>
      </c>
      <c r="B31" s="166">
        <v>-17340.199999999721</v>
      </c>
      <c r="C31" s="166">
        <v>60496.299999999996</v>
      </c>
      <c r="D31" s="166">
        <v>-17647.199999999713</v>
      </c>
      <c r="E31" s="180">
        <v>0.70829290386354682</v>
      </c>
    </row>
    <row r="32" spans="1:5" ht="24" customHeight="1">
      <c r="A32" s="173" t="s">
        <v>178</v>
      </c>
      <c r="B32" s="166">
        <v>-349228.38499999885</v>
      </c>
      <c r="C32" s="166">
        <v>798116.03300000005</v>
      </c>
      <c r="D32" s="166">
        <v>-641602.81299999892</v>
      </c>
      <c r="E32" s="180">
        <v>0.34104961975258485</v>
      </c>
    </row>
    <row r="33" spans="1:5" ht="24" customHeight="1">
      <c r="A33" s="173" t="s">
        <v>207</v>
      </c>
      <c r="B33" s="167">
        <v>-3180.5999999999767</v>
      </c>
      <c r="C33" s="167">
        <v>41282</v>
      </c>
      <c r="D33" s="167">
        <v>-1821.6000000000495</v>
      </c>
      <c r="E33" s="182">
        <v>0.9558742308996645</v>
      </c>
    </row>
    <row r="34" spans="1:5" ht="16">
      <c r="A34" s="172"/>
      <c r="B34" s="63"/>
      <c r="C34" s="63"/>
      <c r="D34" s="63"/>
      <c r="E34" s="183"/>
    </row>
    <row r="35" spans="1:5" ht="16">
      <c r="A35" s="173" t="s">
        <v>189</v>
      </c>
      <c r="B35" s="166">
        <v>-991555.35063999973</v>
      </c>
      <c r="C35" s="46">
        <v>5157186.7635499984</v>
      </c>
      <c r="D35" s="166">
        <v>-2517331.0483299997</v>
      </c>
      <c r="E35" s="178">
        <v>0.53449852948170729</v>
      </c>
    </row>
    <row r="36" spans="1:5" ht="17" thickBot="1">
      <c r="A36" s="184">
        <v>0</v>
      </c>
      <c r="B36" s="185"/>
      <c r="C36" s="185"/>
      <c r="D36" s="185"/>
      <c r="E36" s="186"/>
    </row>
    <row r="37" spans="1:5" ht="17" thickTop="1">
      <c r="A37" s="4" t="s">
        <v>7</v>
      </c>
      <c r="B37" s="47"/>
      <c r="C37" s="47"/>
      <c r="D37" s="47"/>
      <c r="E37" s="47"/>
    </row>
    <row r="38" spans="1:5">
      <c r="A38" s="1" t="s">
        <v>17</v>
      </c>
      <c r="B38" s="151"/>
      <c r="C38" s="151"/>
      <c r="D38" s="151"/>
      <c r="E38" s="151"/>
    </row>
    <row r="39" spans="1:5">
      <c r="A39" t="s">
        <v>198</v>
      </c>
      <c r="B39" s="151"/>
      <c r="C39" s="151"/>
      <c r="D39" s="151"/>
      <c r="E39" s="151"/>
    </row>
    <row r="40" spans="1:5">
      <c r="B40" s="151"/>
      <c r="C40" s="151"/>
      <c r="D40" s="151"/>
      <c r="E40" s="151"/>
    </row>
  </sheetData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F46"/>
  <sheetViews>
    <sheetView zoomScaleNormal="100" workbookViewId="0"/>
  </sheetViews>
  <sheetFormatPr baseColWidth="10" defaultRowHeight="13"/>
  <cols>
    <col min="1" max="1" width="25.6640625" customWidth="1"/>
    <col min="2" max="2" width="17.1640625" customWidth="1"/>
    <col min="3" max="4" width="16.6640625" customWidth="1"/>
    <col min="5" max="5" width="21.83203125" customWidth="1"/>
  </cols>
  <sheetData>
    <row r="1" spans="1:6">
      <c r="B1" s="4"/>
      <c r="C1" s="4"/>
      <c r="D1" s="4"/>
      <c r="E1" s="4"/>
    </row>
    <row r="2" spans="1:6" ht="18" customHeight="1">
      <c r="A2" s="48" t="s">
        <v>208</v>
      </c>
      <c r="B2" s="55"/>
    </row>
    <row r="3" spans="1:6" ht="20.25" customHeight="1" thickBot="1">
      <c r="A3" s="48" t="s">
        <v>209</v>
      </c>
      <c r="B3" s="4"/>
      <c r="C3" s="4"/>
      <c r="D3" s="4"/>
      <c r="E3" s="4"/>
    </row>
    <row r="4" spans="1:6" ht="14" thickTop="1">
      <c r="A4" s="169" t="s">
        <v>2</v>
      </c>
      <c r="B4" s="168" t="s">
        <v>10</v>
      </c>
      <c r="C4" s="168" t="s">
        <v>3</v>
      </c>
      <c r="D4" s="168" t="s">
        <v>11</v>
      </c>
      <c r="E4" s="174" t="s">
        <v>5</v>
      </c>
    </row>
    <row r="5" spans="1:6">
      <c r="A5" s="170" t="s">
        <v>1</v>
      </c>
      <c r="B5" s="44" t="s">
        <v>18</v>
      </c>
      <c r="C5" s="44" t="s">
        <v>4</v>
      </c>
      <c r="D5" s="44" t="s">
        <v>12</v>
      </c>
      <c r="E5" s="175" t="s">
        <v>6</v>
      </c>
    </row>
    <row r="6" spans="1:6">
      <c r="A6" s="171"/>
      <c r="B6" s="45" t="s">
        <v>19</v>
      </c>
      <c r="C6" s="45"/>
      <c r="D6" s="60"/>
      <c r="E6" s="176"/>
    </row>
    <row r="7" spans="1:6" ht="24.5" customHeight="1">
      <c r="A7" s="172"/>
      <c r="B7" s="61" t="s">
        <v>16</v>
      </c>
      <c r="C7" s="62"/>
      <c r="D7" s="62"/>
      <c r="E7" s="177"/>
    </row>
    <row r="8" spans="1:6" ht="24" customHeight="1">
      <c r="A8" s="173" t="s">
        <v>193</v>
      </c>
      <c r="B8" s="166">
        <v>105626.64999999851</v>
      </c>
      <c r="C8" s="166">
        <v>518609</v>
      </c>
      <c r="D8" s="166">
        <v>193234.90999999852</v>
      </c>
      <c r="E8" s="180">
        <v>1.3726023073259401</v>
      </c>
      <c r="F8" t="s">
        <v>0</v>
      </c>
    </row>
    <row r="9" spans="1:6" ht="24" customHeight="1">
      <c r="A9" s="173" t="s">
        <v>101</v>
      </c>
      <c r="B9" s="166">
        <v>-188921.67879999988</v>
      </c>
      <c r="C9" s="166">
        <v>837701.94354999997</v>
      </c>
      <c r="D9" s="166">
        <v>-429572.74155999994</v>
      </c>
      <c r="E9" s="179">
        <v>0.48720097301008591</v>
      </c>
    </row>
    <row r="10" spans="1:6" ht="24" customHeight="1">
      <c r="A10" s="173" t="s">
        <v>201</v>
      </c>
      <c r="B10" s="166">
        <v>-57390.922699999996</v>
      </c>
      <c r="C10" s="166">
        <v>139908.67518999998</v>
      </c>
      <c r="D10" s="166">
        <v>-59790.491889999743</v>
      </c>
      <c r="E10" s="178">
        <v>0.57264628652367311</v>
      </c>
      <c r="F10" t="s">
        <v>0</v>
      </c>
    </row>
    <row r="11" spans="1:6" ht="24" customHeight="1">
      <c r="A11" s="173" t="s">
        <v>202</v>
      </c>
      <c r="B11" s="166">
        <v>4634.9640000000363</v>
      </c>
      <c r="C11" s="166">
        <v>20443.703999999998</v>
      </c>
      <c r="D11" s="166">
        <v>-3264.6699999999546</v>
      </c>
      <c r="E11" s="178">
        <v>0.84030927076619999</v>
      </c>
    </row>
    <row r="12" spans="1:6" ht="24" customHeight="1">
      <c r="A12" s="173" t="s">
        <v>107</v>
      </c>
      <c r="B12" s="166">
        <v>-94820</v>
      </c>
      <c r="C12" s="166">
        <v>55308</v>
      </c>
      <c r="D12" s="166">
        <v>-77420</v>
      </c>
      <c r="E12" s="180" t="s">
        <v>100</v>
      </c>
    </row>
    <row r="13" spans="1:6" ht="24" customHeight="1">
      <c r="A13" s="173" t="s">
        <v>203</v>
      </c>
      <c r="B13" s="166">
        <v>-2194</v>
      </c>
      <c r="C13" s="166">
        <v>21323</v>
      </c>
      <c r="D13" s="166">
        <v>-15574</v>
      </c>
      <c r="E13" s="178">
        <v>0.26961496975097315</v>
      </c>
    </row>
    <row r="14" spans="1:6" ht="24" customHeight="1">
      <c r="A14" s="173" t="s">
        <v>194</v>
      </c>
      <c r="B14" s="166">
        <v>162.85000000003492</v>
      </c>
      <c r="C14" s="166">
        <v>22324.199999999997</v>
      </c>
      <c r="D14" s="166">
        <v>-8255.4999999999527</v>
      </c>
      <c r="E14" s="178">
        <v>0.6301995144282907</v>
      </c>
      <c r="F14" t="s">
        <v>0</v>
      </c>
    </row>
    <row r="15" spans="1:6" ht="24" customHeight="1">
      <c r="A15" s="173" t="s">
        <v>195</v>
      </c>
      <c r="B15" s="166">
        <v>706.29999999998836</v>
      </c>
      <c r="C15" s="166">
        <v>13636.999999999998</v>
      </c>
      <c r="D15" s="166">
        <v>6677.8000000000939</v>
      </c>
      <c r="E15" s="180">
        <v>1.4896788906732439</v>
      </c>
    </row>
    <row r="16" spans="1:6" ht="24" customHeight="1">
      <c r="A16" s="173" t="s">
        <v>204</v>
      </c>
      <c r="B16" s="166">
        <v>6037.6669999998994</v>
      </c>
      <c r="C16" s="166">
        <v>80612.951000000001</v>
      </c>
      <c r="D16" s="166">
        <v>4460.9659999999276</v>
      </c>
      <c r="E16" s="178">
        <v>1.0553380808500601</v>
      </c>
    </row>
    <row r="17" spans="1:6" ht="24" customHeight="1">
      <c r="A17" s="173" t="s">
        <v>196</v>
      </c>
      <c r="B17" s="166">
        <v>10576.800000000279</v>
      </c>
      <c r="C17" s="166">
        <v>110579</v>
      </c>
      <c r="D17" s="166">
        <v>3499.5000000007276</v>
      </c>
      <c r="E17" s="178">
        <v>1.0316470577596173</v>
      </c>
      <c r="F17" t="s">
        <v>0</v>
      </c>
    </row>
    <row r="18" spans="1:6" ht="24" customHeight="1">
      <c r="A18" s="173" t="s">
        <v>205</v>
      </c>
      <c r="B18" s="166">
        <v>-111391.19399999967</v>
      </c>
      <c r="C18" s="166">
        <v>122794.44599999998</v>
      </c>
      <c r="D18" s="166">
        <v>-169811.04599999974</v>
      </c>
      <c r="E18" s="179" t="s">
        <v>100</v>
      </c>
      <c r="F18" t="s">
        <v>0</v>
      </c>
    </row>
    <row r="19" spans="1:6" ht="24" customHeight="1">
      <c r="A19" s="173" t="s">
        <v>162</v>
      </c>
      <c r="B19" s="166">
        <v>183013.78399999905</v>
      </c>
      <c r="C19" s="166">
        <v>572836.14399999997</v>
      </c>
      <c r="D19" s="166">
        <v>-269435.1010000009</v>
      </c>
      <c r="E19" s="179">
        <v>0.52964717079723778</v>
      </c>
    </row>
    <row r="20" spans="1:6" ht="24" customHeight="1">
      <c r="A20" s="173" t="s">
        <v>197</v>
      </c>
      <c r="B20" s="166">
        <v>-32252.999999999534</v>
      </c>
      <c r="C20" s="166">
        <v>114946.3</v>
      </c>
      <c r="D20" s="166">
        <v>-164129.70000000036</v>
      </c>
      <c r="E20" s="180" t="s">
        <v>100</v>
      </c>
      <c r="F20" t="s">
        <v>0</v>
      </c>
    </row>
    <row r="21" spans="1:6" ht="24" customHeight="1">
      <c r="A21" s="173" t="s">
        <v>164</v>
      </c>
      <c r="B21" s="166">
        <v>-29894.585770000122</v>
      </c>
      <c r="C21" s="166">
        <v>35117.773929999996</v>
      </c>
      <c r="D21" s="166">
        <v>-49673.58916000012</v>
      </c>
      <c r="E21" s="180" t="s">
        <v>100</v>
      </c>
    </row>
    <row r="22" spans="1:6" ht="24" customHeight="1">
      <c r="A22" s="173" t="s">
        <v>165</v>
      </c>
      <c r="B22" s="166">
        <v>-21938.199999999895</v>
      </c>
      <c r="C22" s="166">
        <v>116262.2</v>
      </c>
      <c r="D22" s="166">
        <v>-107835.39999999989</v>
      </c>
      <c r="E22" s="180">
        <v>7.2480995542834256E-2</v>
      </c>
    </row>
    <row r="23" spans="1:6" ht="24" customHeight="1">
      <c r="A23" s="173" t="s">
        <v>166</v>
      </c>
      <c r="B23" s="166">
        <v>295.19999999998254</v>
      </c>
      <c r="C23" s="166">
        <v>8930.7000000000007</v>
      </c>
      <c r="D23" s="166">
        <v>-3705.1000000000186</v>
      </c>
      <c r="E23" s="180">
        <v>0.5851277055549936</v>
      </c>
    </row>
    <row r="24" spans="1:6" ht="24" customHeight="1">
      <c r="A24" s="173" t="s">
        <v>167</v>
      </c>
      <c r="B24" s="166">
        <v>-5293.1999999992549</v>
      </c>
      <c r="C24" s="166">
        <v>174025.50000000003</v>
      </c>
      <c r="D24" s="166">
        <v>-79559.399999999281</v>
      </c>
      <c r="E24" s="178">
        <v>0.54282906815380927</v>
      </c>
      <c r="F24" t="s">
        <v>0</v>
      </c>
    </row>
    <row r="25" spans="1:6" ht="24" customHeight="1">
      <c r="A25" s="173" t="s">
        <v>168</v>
      </c>
      <c r="B25" s="166">
        <v>43748</v>
      </c>
      <c r="C25" s="166">
        <v>164192</v>
      </c>
      <c r="D25" s="166">
        <v>44478</v>
      </c>
      <c r="E25" s="178">
        <v>1.2708901773533425</v>
      </c>
      <c r="F25" t="s">
        <v>0</v>
      </c>
    </row>
    <row r="26" spans="1:6" ht="24" customHeight="1">
      <c r="A26" s="173" t="s">
        <v>169</v>
      </c>
      <c r="B26" s="166">
        <v>899.70000000018626</v>
      </c>
      <c r="C26" s="166">
        <v>238670.69199999998</v>
      </c>
      <c r="D26" s="166">
        <v>13220.134000000195</v>
      </c>
      <c r="E26" s="178">
        <v>1.0553906886900055</v>
      </c>
      <c r="F26" t="s">
        <v>0</v>
      </c>
    </row>
    <row r="27" spans="1:6" ht="24" customHeight="1">
      <c r="A27" s="173" t="s">
        <v>206</v>
      </c>
      <c r="B27" s="166">
        <v>-36584</v>
      </c>
      <c r="C27" s="166">
        <v>87828</v>
      </c>
      <c r="D27" s="166">
        <v>-94035</v>
      </c>
      <c r="E27" s="180" t="s">
        <v>100</v>
      </c>
    </row>
    <row r="28" spans="1:6" ht="24" customHeight="1">
      <c r="A28" s="173" t="s">
        <v>172</v>
      </c>
      <c r="B28" s="166">
        <v>-97585.183859999292</v>
      </c>
      <c r="C28" s="166">
        <v>179286.38309999998</v>
      </c>
      <c r="D28" s="166">
        <v>-91179.342859999248</v>
      </c>
      <c r="E28" s="180">
        <v>0.49143185732548106</v>
      </c>
    </row>
    <row r="29" spans="1:6" ht="24" customHeight="1">
      <c r="A29" s="173" t="s">
        <v>173</v>
      </c>
      <c r="B29" s="166">
        <v>6449.7500000018626</v>
      </c>
      <c r="C29" s="166">
        <v>257888</v>
      </c>
      <c r="D29" s="166">
        <v>-82289.649999998132</v>
      </c>
      <c r="E29" s="179">
        <v>0.68090934824420624</v>
      </c>
      <c r="F29" t="s">
        <v>0</v>
      </c>
    </row>
    <row r="30" spans="1:6" ht="24" customHeight="1">
      <c r="A30" s="173" t="s">
        <v>176</v>
      </c>
      <c r="B30" s="166">
        <v>1144.5</v>
      </c>
      <c r="C30" s="166">
        <v>181099.90000000002</v>
      </c>
      <c r="D30" s="166">
        <v>920.09999999997672</v>
      </c>
      <c r="E30" s="178">
        <v>1.0050806212482721</v>
      </c>
      <c r="F30" t="s">
        <v>0</v>
      </c>
    </row>
    <row r="31" spans="1:6" ht="24" customHeight="1">
      <c r="A31" s="173" t="s">
        <v>177</v>
      </c>
      <c r="B31" s="166">
        <v>56.017000000458211</v>
      </c>
      <c r="C31" s="166">
        <v>60826</v>
      </c>
      <c r="D31" s="166">
        <v>3660.2390000004598</v>
      </c>
      <c r="E31" s="180">
        <v>1.0601755663696522</v>
      </c>
      <c r="F31" t="s">
        <v>0</v>
      </c>
    </row>
    <row r="32" spans="1:6" ht="24" customHeight="1">
      <c r="A32" s="173" t="s">
        <v>178</v>
      </c>
      <c r="B32" s="166">
        <v>-459786.45099999942</v>
      </c>
      <c r="C32" s="166">
        <v>580395.09000000008</v>
      </c>
      <c r="D32" s="166">
        <v>368272.17900000024</v>
      </c>
      <c r="E32" s="180">
        <v>1.5127310932694067</v>
      </c>
    </row>
    <row r="33" spans="1:5" ht="24" customHeight="1">
      <c r="A33" s="173" t="s">
        <v>207</v>
      </c>
      <c r="B33" s="167">
        <v>-7142.964810000034</v>
      </c>
      <c r="C33" s="167">
        <v>37842.886859999999</v>
      </c>
      <c r="D33" s="167">
        <v>-1665.0813699999053</v>
      </c>
      <c r="E33" s="182">
        <v>0.95600014935013056</v>
      </c>
    </row>
    <row r="34" spans="1:5" ht="16">
      <c r="A34" s="172"/>
      <c r="B34" s="63"/>
      <c r="C34" s="63"/>
      <c r="D34" s="63"/>
      <c r="E34" s="183"/>
    </row>
    <row r="35" spans="1:5" ht="16">
      <c r="A35" s="173" t="s">
        <v>189</v>
      </c>
      <c r="B35" s="166">
        <v>-781843.19893999677</v>
      </c>
      <c r="C35" s="46">
        <v>4753389.4896299997</v>
      </c>
      <c r="D35" s="166">
        <v>-1068771.9858399967</v>
      </c>
      <c r="E35" s="178">
        <v>0.78464970262311162</v>
      </c>
    </row>
    <row r="36" spans="1:5" ht="17" thickBot="1">
      <c r="A36" s="187">
        <v>0</v>
      </c>
      <c r="B36" s="185"/>
      <c r="C36" s="185"/>
      <c r="D36" s="185"/>
      <c r="E36" s="186"/>
    </row>
    <row r="37" spans="1:5" ht="17" thickTop="1">
      <c r="A37" s="4" t="s">
        <v>7</v>
      </c>
      <c r="B37" s="47"/>
      <c r="C37" s="47"/>
      <c r="D37" s="47"/>
      <c r="E37" s="47"/>
    </row>
    <row r="38" spans="1:5">
      <c r="A38" s="1" t="s">
        <v>17</v>
      </c>
      <c r="B38" s="4"/>
      <c r="C38" s="4"/>
      <c r="D38" s="4"/>
      <c r="E38" s="4"/>
    </row>
    <row r="39" spans="1:5">
      <c r="A39" s="4" t="s">
        <v>198</v>
      </c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B42" s="4"/>
      <c r="C42" s="4"/>
      <c r="D42" s="4"/>
      <c r="E42" s="4"/>
    </row>
    <row r="43" spans="1:5">
      <c r="B43" s="4"/>
      <c r="C43" s="4"/>
      <c r="D43" s="4"/>
      <c r="E43" s="4"/>
    </row>
    <row r="44" spans="1:5">
      <c r="B44" s="4"/>
      <c r="C44" s="4"/>
      <c r="D44" s="4"/>
      <c r="E44" s="4"/>
    </row>
    <row r="45" spans="1:5"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</sheetData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6" zoomScaleNormal="100" workbookViewId="0"/>
  </sheetViews>
  <sheetFormatPr baseColWidth="10" defaultRowHeight="13"/>
  <cols>
    <col min="1" max="1" width="27.33203125" customWidth="1"/>
    <col min="2" max="2" width="17.1640625" customWidth="1"/>
    <col min="3" max="3" width="13.5" customWidth="1"/>
    <col min="4" max="4" width="14.83203125" customWidth="1"/>
    <col min="5" max="5" width="22.1640625" customWidth="1"/>
  </cols>
  <sheetData>
    <row r="1" spans="1:5">
      <c r="B1" s="4"/>
      <c r="C1" s="4"/>
      <c r="D1" s="4"/>
      <c r="E1" s="4"/>
    </row>
    <row r="2" spans="1:5" ht="16">
      <c r="A2" s="48" t="s">
        <v>210</v>
      </c>
      <c r="B2" s="55"/>
    </row>
    <row r="3" spans="1:5" ht="17" thickBot="1">
      <c r="A3" s="48" t="s">
        <v>211</v>
      </c>
      <c r="B3" s="4"/>
      <c r="C3" s="4"/>
      <c r="D3" s="4"/>
      <c r="E3" s="4"/>
    </row>
    <row r="4" spans="1:5" ht="14" thickTop="1">
      <c r="A4" s="169" t="s">
        <v>2</v>
      </c>
      <c r="B4" s="168" t="s">
        <v>10</v>
      </c>
      <c r="C4" s="168" t="s">
        <v>3</v>
      </c>
      <c r="D4" s="168" t="s">
        <v>11</v>
      </c>
      <c r="E4" s="174" t="s">
        <v>5</v>
      </c>
    </row>
    <row r="5" spans="1:5">
      <c r="A5" s="170" t="s">
        <v>1</v>
      </c>
      <c r="B5" s="44" t="s">
        <v>18</v>
      </c>
      <c r="C5" s="44" t="s">
        <v>4</v>
      </c>
      <c r="D5" s="44" t="s">
        <v>12</v>
      </c>
      <c r="E5" s="175" t="s">
        <v>6</v>
      </c>
    </row>
    <row r="6" spans="1:5">
      <c r="A6" s="171"/>
      <c r="B6" s="45" t="s">
        <v>19</v>
      </c>
      <c r="C6" s="45"/>
      <c r="D6" s="60"/>
      <c r="E6" s="176"/>
    </row>
    <row r="7" spans="1:5" ht="28.5" customHeight="1">
      <c r="A7" s="172"/>
      <c r="B7" s="61" t="s">
        <v>16</v>
      </c>
      <c r="C7" s="62"/>
      <c r="D7" s="62"/>
      <c r="E7" s="177"/>
    </row>
    <row r="8" spans="1:5" ht="24" customHeight="1">
      <c r="A8" s="173" t="s">
        <v>193</v>
      </c>
      <c r="B8" s="166">
        <v>17567.388999998569</v>
      </c>
      <c r="C8" s="166">
        <v>776288.8</v>
      </c>
      <c r="D8" s="166">
        <v>-211305.644000003</v>
      </c>
      <c r="E8" s="178">
        <v>0.7278002155898643</v>
      </c>
    </row>
    <row r="9" spans="1:5" ht="24" customHeight="1">
      <c r="A9" s="173" t="s">
        <v>101</v>
      </c>
      <c r="B9" s="166">
        <v>9175.487879998982</v>
      </c>
      <c r="C9" s="166">
        <v>591700.15559999994</v>
      </c>
      <c r="D9" s="166">
        <v>51640.732349999016</v>
      </c>
      <c r="E9" s="179">
        <v>1.0872751711508912</v>
      </c>
    </row>
    <row r="10" spans="1:5" ht="24" customHeight="1">
      <c r="A10" s="173" t="s">
        <v>201</v>
      </c>
      <c r="B10" s="166">
        <v>-11123.494000000414</v>
      </c>
      <c r="C10" s="166">
        <v>139480.83099999995</v>
      </c>
      <c r="D10" s="166">
        <v>-12084.356000000262</v>
      </c>
      <c r="E10" s="178">
        <v>0.91336188698215981</v>
      </c>
    </row>
    <row r="11" spans="1:5" ht="24" customHeight="1">
      <c r="A11" s="173" t="s">
        <v>202</v>
      </c>
      <c r="B11" s="166">
        <v>5344.6790000000619</v>
      </c>
      <c r="C11" s="166">
        <v>27796.5</v>
      </c>
      <c r="D11" s="166">
        <v>-12260.516999999974</v>
      </c>
      <c r="E11" s="178">
        <v>0.55891867681182972</v>
      </c>
    </row>
    <row r="12" spans="1:5" ht="24" customHeight="1">
      <c r="A12" s="173" t="s">
        <v>107</v>
      </c>
      <c r="B12" s="166">
        <v>-100668</v>
      </c>
      <c r="C12" s="166">
        <v>86788</v>
      </c>
      <c r="D12" s="166">
        <v>-109053</v>
      </c>
      <c r="E12" s="179" t="s">
        <v>100</v>
      </c>
    </row>
    <row r="13" spans="1:5" ht="24" customHeight="1">
      <c r="A13" s="173" t="s">
        <v>203</v>
      </c>
      <c r="B13" s="166">
        <v>-1965</v>
      </c>
      <c r="C13" s="166">
        <v>28657</v>
      </c>
      <c r="D13" s="166">
        <v>-26661</v>
      </c>
      <c r="E13" s="178">
        <v>6.9651394074746131E-2</v>
      </c>
    </row>
    <row r="14" spans="1:5" ht="24" customHeight="1">
      <c r="A14" s="173" t="s">
        <v>194</v>
      </c>
      <c r="B14" s="166">
        <v>-400.20000000006985</v>
      </c>
      <c r="C14" s="166">
        <v>24726</v>
      </c>
      <c r="D14" s="166">
        <v>-9631.5000000000509</v>
      </c>
      <c r="E14" s="178">
        <v>0.61047075952438523</v>
      </c>
    </row>
    <row r="15" spans="1:5" ht="24" customHeight="1">
      <c r="A15" s="173" t="s">
        <v>195</v>
      </c>
      <c r="B15" s="166">
        <v>-658.69999999995343</v>
      </c>
      <c r="C15" s="166">
        <v>17260.300000000003</v>
      </c>
      <c r="D15" s="166">
        <v>-5764.5999999999785</v>
      </c>
      <c r="E15" s="180">
        <v>0.66601970997027993</v>
      </c>
    </row>
    <row r="16" spans="1:5" ht="24" customHeight="1">
      <c r="A16" s="173" t="s">
        <v>204</v>
      </c>
      <c r="B16" s="166">
        <v>-24843.704999999842</v>
      </c>
      <c r="C16" s="166">
        <v>108814.3</v>
      </c>
      <c r="D16" s="166">
        <v>-93362.682999999903</v>
      </c>
      <c r="E16" s="178">
        <v>0.14199987501642805</v>
      </c>
    </row>
    <row r="17" spans="1:5" ht="24" customHeight="1">
      <c r="A17" s="173" t="s">
        <v>196</v>
      </c>
      <c r="B17" s="166">
        <v>497.90000000037253</v>
      </c>
      <c r="C17" s="166">
        <v>154963</v>
      </c>
      <c r="D17" s="166">
        <v>-120753.40000000008</v>
      </c>
      <c r="E17" s="178">
        <v>0.2207597942734712</v>
      </c>
    </row>
    <row r="18" spans="1:5" ht="24" customHeight="1">
      <c r="A18" s="173" t="s">
        <v>205</v>
      </c>
      <c r="B18" s="166">
        <v>-146119.19999999972</v>
      </c>
      <c r="C18" s="166">
        <v>137428</v>
      </c>
      <c r="D18" s="166">
        <v>-225120.2</v>
      </c>
      <c r="E18" s="179" t="s">
        <v>100</v>
      </c>
    </row>
    <row r="19" spans="1:5" ht="24" customHeight="1">
      <c r="A19" s="173" t="s">
        <v>212</v>
      </c>
      <c r="B19" s="166">
        <v>7733.0430000000633</v>
      </c>
      <c r="C19" s="166">
        <v>372937</v>
      </c>
      <c r="D19" s="166">
        <v>-230166.43299999996</v>
      </c>
      <c r="E19" s="179">
        <v>0.38282757409428414</v>
      </c>
    </row>
    <row r="20" spans="1:5" ht="24" customHeight="1">
      <c r="A20" s="173" t="s">
        <v>197</v>
      </c>
      <c r="B20" s="166">
        <v>-24756.976000000257</v>
      </c>
      <c r="C20" s="166">
        <v>300480.40000000002</v>
      </c>
      <c r="D20" s="166">
        <v>-310781.70400000026</v>
      </c>
      <c r="E20" s="179" t="s">
        <v>100</v>
      </c>
    </row>
    <row r="21" spans="1:5" ht="24" customHeight="1">
      <c r="A21" s="173" t="s">
        <v>164</v>
      </c>
      <c r="B21" s="166">
        <v>-23626.699999999953</v>
      </c>
      <c r="C21" s="166">
        <v>31108</v>
      </c>
      <c r="D21" s="166">
        <v>-37448.799999999952</v>
      </c>
      <c r="E21" s="180" t="s">
        <v>100</v>
      </c>
    </row>
    <row r="22" spans="1:5" ht="24" customHeight="1">
      <c r="A22" s="173" t="s">
        <v>213</v>
      </c>
      <c r="B22" s="166">
        <v>-17220</v>
      </c>
      <c r="C22" s="166">
        <v>39179.5</v>
      </c>
      <c r="D22" s="166">
        <v>-28951.099999999948</v>
      </c>
      <c r="E22" s="179">
        <v>0.26106509781901382</v>
      </c>
    </row>
    <row r="23" spans="1:5" ht="24" customHeight="1">
      <c r="A23" s="173" t="s">
        <v>166</v>
      </c>
      <c r="B23" s="166">
        <v>-7633</v>
      </c>
      <c r="C23" s="166">
        <v>11328.85</v>
      </c>
      <c r="D23" s="166">
        <v>-16797.849999999999</v>
      </c>
      <c r="E23" s="180" t="s">
        <v>100</v>
      </c>
    </row>
    <row r="24" spans="1:5" ht="24" customHeight="1">
      <c r="A24" s="173" t="s">
        <v>167</v>
      </c>
      <c r="B24" s="166">
        <v>-27028.700000000186</v>
      </c>
      <c r="C24" s="166">
        <v>171285.5</v>
      </c>
      <c r="D24" s="166">
        <v>-82931.10000000018</v>
      </c>
      <c r="E24" s="178">
        <v>0.51583117076459961</v>
      </c>
    </row>
    <row r="25" spans="1:5" ht="24" customHeight="1">
      <c r="A25" s="173" t="s">
        <v>214</v>
      </c>
      <c r="B25" s="166">
        <v>-52514</v>
      </c>
      <c r="C25" s="166">
        <v>207724</v>
      </c>
      <c r="D25" s="166">
        <v>-149817</v>
      </c>
      <c r="E25" s="179">
        <v>0.27876894340567293</v>
      </c>
    </row>
    <row r="26" spans="1:5" ht="24" customHeight="1">
      <c r="A26" s="173" t="s">
        <v>169</v>
      </c>
      <c r="B26" s="166">
        <v>2068.1689999997616</v>
      </c>
      <c r="C26" s="166">
        <v>236293.50900000002</v>
      </c>
      <c r="D26" s="166">
        <v>14192.168999999732</v>
      </c>
      <c r="E26" s="178">
        <v>1.0600616117643744</v>
      </c>
    </row>
    <row r="27" spans="1:5" ht="24" customHeight="1">
      <c r="A27" s="173" t="s">
        <v>206</v>
      </c>
      <c r="B27" s="166">
        <v>-16012</v>
      </c>
      <c r="C27" s="166">
        <v>89415</v>
      </c>
      <c r="D27" s="166">
        <v>-73343</v>
      </c>
      <c r="E27" s="179">
        <v>0.17974612760722475</v>
      </c>
    </row>
    <row r="28" spans="1:5" ht="24" customHeight="1">
      <c r="A28" s="173" t="s">
        <v>172</v>
      </c>
      <c r="B28" s="166">
        <v>-165597.28000000073</v>
      </c>
      <c r="C28" s="166">
        <v>223597.6</v>
      </c>
      <c r="D28" s="166">
        <v>-201234.88000000073</v>
      </c>
      <c r="E28" s="180">
        <v>0.10001323806695274</v>
      </c>
    </row>
    <row r="29" spans="1:5" ht="24" customHeight="1">
      <c r="A29" s="173" t="s">
        <v>173</v>
      </c>
      <c r="B29" s="166">
        <v>1817.0999999977648</v>
      </c>
      <c r="C29" s="166">
        <v>320900</v>
      </c>
      <c r="D29" s="166">
        <v>-135614.90000000224</v>
      </c>
      <c r="E29" s="179">
        <v>0.57739202243688925</v>
      </c>
    </row>
    <row r="30" spans="1:5" ht="24" customHeight="1">
      <c r="A30" s="173" t="s">
        <v>176</v>
      </c>
      <c r="B30" s="166">
        <v>6077.4000000003725</v>
      </c>
      <c r="C30" s="166">
        <v>177535.5</v>
      </c>
      <c r="D30" s="166">
        <v>106.60000000038417</v>
      </c>
      <c r="E30" s="178">
        <v>1.0006004432916256</v>
      </c>
    </row>
    <row r="31" spans="1:5" ht="24" customHeight="1">
      <c r="A31" s="173" t="s">
        <v>177</v>
      </c>
      <c r="B31" s="166">
        <v>-11531.452000000048</v>
      </c>
      <c r="C31" s="166">
        <v>63230.600000000006</v>
      </c>
      <c r="D31" s="166">
        <v>-18939.791000000056</v>
      </c>
      <c r="E31" s="178">
        <v>0.70046479078167767</v>
      </c>
    </row>
    <row r="32" spans="1:5" ht="24" customHeight="1">
      <c r="A32" s="173" t="s">
        <v>178</v>
      </c>
      <c r="B32" s="166">
        <v>-31590.003994399682</v>
      </c>
      <c r="C32" s="166">
        <v>560483</v>
      </c>
      <c r="D32" s="166">
        <v>66314.610005600262</v>
      </c>
      <c r="E32" s="181">
        <v>1.0900323189694865</v>
      </c>
    </row>
    <row r="33" spans="1:5" ht="24" customHeight="1">
      <c r="A33" s="173" t="s">
        <v>207</v>
      </c>
      <c r="B33" s="167">
        <v>726.59999999997672</v>
      </c>
      <c r="C33" s="167">
        <v>38378.6</v>
      </c>
      <c r="D33" s="166">
        <v>-354</v>
      </c>
      <c r="E33" s="179">
        <v>0.99077610960274731</v>
      </c>
    </row>
    <row r="34" spans="1:5" ht="16">
      <c r="A34" s="172"/>
      <c r="B34" s="63"/>
      <c r="C34" s="63"/>
      <c r="D34" s="63"/>
      <c r="E34" s="183"/>
    </row>
    <row r="35" spans="1:5" ht="16">
      <c r="A35" s="173" t="s">
        <v>189</v>
      </c>
      <c r="B35" s="166">
        <v>-612280.64311440487</v>
      </c>
      <c r="C35" s="46">
        <v>4937779.9455999993</v>
      </c>
      <c r="D35" s="166">
        <v>-1795251.492644405</v>
      </c>
      <c r="E35" s="178">
        <v>0.63642537488043938</v>
      </c>
    </row>
    <row r="36" spans="1:5" ht="17" thickBot="1">
      <c r="A36" s="184">
        <v>0</v>
      </c>
      <c r="B36" s="185"/>
      <c r="C36" s="185"/>
      <c r="D36" s="185"/>
      <c r="E36" s="186"/>
    </row>
    <row r="37" spans="1:5" ht="17" thickTop="1">
      <c r="A37" s="4" t="s">
        <v>7</v>
      </c>
      <c r="B37" s="47"/>
      <c r="C37" s="47"/>
      <c r="D37" s="47"/>
      <c r="E37" s="47"/>
    </row>
    <row r="38" spans="1:5">
      <c r="A38" t="s">
        <v>17</v>
      </c>
      <c r="B38" s="4"/>
      <c r="C38" s="4"/>
      <c r="D38" s="4"/>
      <c r="E38" s="4"/>
    </row>
    <row r="39" spans="1:5">
      <c r="A39" t="s">
        <v>198</v>
      </c>
      <c r="B39" s="4"/>
      <c r="C39" s="4"/>
      <c r="D39" s="4"/>
      <c r="E39" s="4"/>
    </row>
    <row r="40" spans="1:5">
      <c r="B40" s="4"/>
      <c r="C40" s="4"/>
      <c r="D40" s="4"/>
      <c r="E40" s="4"/>
    </row>
  </sheetData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I62"/>
  <sheetViews>
    <sheetView topLeftCell="A19" zoomScaleNormal="100" workbookViewId="0"/>
  </sheetViews>
  <sheetFormatPr baseColWidth="10" defaultRowHeight="13"/>
  <cols>
    <col min="1" max="1" width="23.83203125" style="90" customWidth="1"/>
    <col min="2" max="2" width="14.6640625" style="94" customWidth="1"/>
    <col min="3" max="3" width="19.5" style="94" customWidth="1"/>
    <col min="4" max="6" width="15.33203125" style="94" customWidth="1"/>
    <col min="7" max="7" width="11.5" style="71" customWidth="1"/>
    <col min="8" max="8" width="25.6640625" style="77" customWidth="1"/>
    <col min="9" max="9" width="14.83203125" style="77" customWidth="1"/>
    <col min="10" max="10" width="16.6640625" style="77" customWidth="1"/>
    <col min="11" max="11" width="18.6640625" style="77" customWidth="1"/>
    <col min="12" max="12" width="13.6640625" style="77" customWidth="1"/>
    <col min="13" max="13" width="13.6640625" style="77" hidden="1" customWidth="1"/>
    <col min="14" max="14" width="13.5" style="77" customWidth="1"/>
    <col min="15" max="61" width="11.5" style="55" customWidth="1"/>
  </cols>
  <sheetData>
    <row r="1" spans="1:61" s="75" customFormat="1" ht="37.5" customHeight="1" thickBot="1">
      <c r="A1" s="613" t="s">
        <v>13</v>
      </c>
      <c r="B1" s="614"/>
      <c r="C1" s="613"/>
      <c r="D1" s="613"/>
      <c r="E1" s="613"/>
      <c r="F1" s="613"/>
      <c r="G1" s="72"/>
      <c r="H1" s="73"/>
      <c r="I1" s="73"/>
      <c r="J1" s="73"/>
      <c r="K1" s="73"/>
      <c r="L1" s="73"/>
      <c r="M1" s="73"/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</row>
    <row r="2" spans="1:61" ht="15" customHeight="1" thickTop="1">
      <c r="A2" s="152" t="s">
        <v>2</v>
      </c>
      <c r="B2" s="76" t="s">
        <v>24</v>
      </c>
      <c r="C2" s="76" t="s">
        <v>22</v>
      </c>
      <c r="D2" s="76" t="s">
        <v>215</v>
      </c>
      <c r="E2" s="76" t="s">
        <v>24</v>
      </c>
      <c r="F2" s="128" t="s">
        <v>215</v>
      </c>
      <c r="H2" s="44"/>
      <c r="I2" s="44"/>
      <c r="J2" s="44"/>
      <c r="K2" s="44"/>
      <c r="L2" s="44"/>
      <c r="M2" s="44"/>
    </row>
    <row r="3" spans="1:61" ht="14">
      <c r="A3" s="78" t="s">
        <v>1</v>
      </c>
      <c r="B3" s="116" t="s">
        <v>105</v>
      </c>
      <c r="C3" s="116" t="s">
        <v>115</v>
      </c>
      <c r="D3" s="126" t="s">
        <v>216</v>
      </c>
      <c r="E3" s="116" t="s">
        <v>105</v>
      </c>
      <c r="F3" s="80" t="s">
        <v>217</v>
      </c>
      <c r="H3" s="44"/>
      <c r="I3" s="44"/>
      <c r="J3" s="44"/>
      <c r="K3" s="44"/>
      <c r="L3" s="44"/>
      <c r="M3" s="44"/>
    </row>
    <row r="4" spans="1:61" ht="18" customHeight="1">
      <c r="A4" s="157">
        <v>0</v>
      </c>
      <c r="B4" s="127">
        <v>2012</v>
      </c>
      <c r="C4" s="127">
        <v>2012</v>
      </c>
      <c r="D4" s="162">
        <v>0</v>
      </c>
      <c r="E4" s="127">
        <v>2013</v>
      </c>
      <c r="F4" s="165">
        <v>0</v>
      </c>
      <c r="H4" s="44"/>
      <c r="I4" s="44"/>
      <c r="J4" s="44"/>
      <c r="K4" s="44"/>
      <c r="L4" s="44"/>
      <c r="M4" s="44"/>
    </row>
    <row r="5" spans="1:61" s="85" customFormat="1" ht="25.5" customHeight="1">
      <c r="A5" s="153" t="s">
        <v>16</v>
      </c>
      <c r="B5" s="158">
        <v>0</v>
      </c>
      <c r="C5" s="159">
        <v>0</v>
      </c>
      <c r="D5" s="160">
        <v>0</v>
      </c>
      <c r="E5" s="130" t="s">
        <v>102</v>
      </c>
      <c r="F5" s="161">
        <v>0</v>
      </c>
      <c r="G5" s="56"/>
      <c r="H5" s="81"/>
      <c r="I5" s="44"/>
      <c r="J5" s="81"/>
      <c r="K5" s="81"/>
      <c r="L5" s="81"/>
      <c r="M5" s="82"/>
      <c r="N5" s="83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</row>
    <row r="6" spans="1:61" s="85" customFormat="1" ht="24" customHeight="1">
      <c r="A6" s="108" t="s">
        <v>21</v>
      </c>
      <c r="B6" s="196">
        <v>-81781.993000000715</v>
      </c>
      <c r="C6" s="196">
        <v>105626.64999999851</v>
      </c>
      <c r="D6" s="197">
        <v>187408.64299999923</v>
      </c>
      <c r="E6" s="198">
        <v>17567.388999998569</v>
      </c>
      <c r="F6" s="199">
        <v>-88059.26099999994</v>
      </c>
      <c r="G6" s="56"/>
      <c r="H6" s="87"/>
      <c r="I6" s="88"/>
      <c r="J6" s="88"/>
      <c r="K6" s="88"/>
      <c r="L6" s="67"/>
      <c r="M6" s="82"/>
      <c r="N6" s="83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</row>
    <row r="7" spans="1:61" s="85" customFormat="1" ht="24" customHeight="1">
      <c r="A7" s="103" t="s">
        <v>101</v>
      </c>
      <c r="B7" s="104">
        <v>17364.25346999988</v>
      </c>
      <c r="C7" s="104">
        <v>-188921.67879999988</v>
      </c>
      <c r="D7" s="104">
        <v>-206285.93226999976</v>
      </c>
      <c r="E7" s="117">
        <v>9175.487879998982</v>
      </c>
      <c r="F7" s="200">
        <v>198097.16667999886</v>
      </c>
      <c r="G7" s="56"/>
      <c r="H7" s="87"/>
      <c r="I7" s="88"/>
      <c r="J7" s="88"/>
      <c r="K7" s="88"/>
      <c r="L7" s="64"/>
      <c r="M7" s="82"/>
      <c r="N7" s="83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</row>
    <row r="8" spans="1:61" s="85" customFormat="1" ht="24" customHeight="1">
      <c r="A8" s="103" t="s">
        <v>104</v>
      </c>
      <c r="B8" s="104">
        <v>-6703.722110000439</v>
      </c>
      <c r="C8" s="104">
        <v>-57390.922699999996</v>
      </c>
      <c r="D8" s="104">
        <v>-50687.200589999557</v>
      </c>
      <c r="E8" s="201">
        <v>-11123.494000000414</v>
      </c>
      <c r="F8" s="202">
        <v>46267.428699999582</v>
      </c>
      <c r="G8" s="56"/>
      <c r="H8" s="87"/>
      <c r="I8" s="88"/>
      <c r="J8" s="88"/>
      <c r="K8" s="88"/>
      <c r="L8" s="67"/>
      <c r="M8" s="82"/>
      <c r="N8" s="83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</row>
    <row r="9" spans="1:61" s="85" customFormat="1" ht="24" customHeight="1">
      <c r="A9" s="103" t="s">
        <v>106</v>
      </c>
      <c r="B9" s="104">
        <v>2599.0109999999404</v>
      </c>
      <c r="C9" s="104">
        <v>4634.9640000000363</v>
      </c>
      <c r="D9" s="104">
        <v>2035.9530000000959</v>
      </c>
      <c r="E9" s="201">
        <v>5344.6790000000619</v>
      </c>
      <c r="F9" s="200">
        <v>709.71500000002561</v>
      </c>
      <c r="G9" s="56"/>
      <c r="H9" s="87"/>
      <c r="I9" s="88"/>
      <c r="J9" s="88"/>
      <c r="K9" s="88"/>
      <c r="L9" s="67"/>
      <c r="M9" s="82"/>
      <c r="N9" s="83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</row>
    <row r="10" spans="1:61" s="85" customFormat="1" ht="24" customHeight="1">
      <c r="A10" s="103" t="s">
        <v>107</v>
      </c>
      <c r="B10" s="104">
        <v>-92963.499999999767</v>
      </c>
      <c r="C10" s="104">
        <v>-94820</v>
      </c>
      <c r="D10" s="104">
        <v>-1856.5000000002328</v>
      </c>
      <c r="E10" s="118">
        <v>-100668</v>
      </c>
      <c r="F10" s="202">
        <v>-5848</v>
      </c>
      <c r="G10" s="56"/>
      <c r="H10" s="87"/>
      <c r="I10" s="88"/>
      <c r="J10" s="88"/>
      <c r="K10" s="88"/>
      <c r="L10" s="67"/>
      <c r="M10" s="82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</row>
    <row r="11" spans="1:61" s="85" customFormat="1" ht="24" customHeight="1">
      <c r="A11" s="103" t="s">
        <v>108</v>
      </c>
      <c r="B11" s="104">
        <v>-1991</v>
      </c>
      <c r="C11" s="104">
        <v>-2194</v>
      </c>
      <c r="D11" s="104">
        <v>-203</v>
      </c>
      <c r="E11" s="118">
        <v>-1965</v>
      </c>
      <c r="F11" s="200">
        <v>229</v>
      </c>
      <c r="G11" s="56"/>
      <c r="H11" s="87"/>
      <c r="I11" s="88"/>
      <c r="J11" s="88"/>
      <c r="K11" s="88"/>
      <c r="L11" s="67"/>
      <c r="M11" s="82"/>
      <c r="N11" s="83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</row>
    <row r="12" spans="1:61" s="85" customFormat="1" ht="24" customHeight="1">
      <c r="A12" s="103" t="s">
        <v>109</v>
      </c>
      <c r="B12" s="203">
        <v>-444.10000000003492</v>
      </c>
      <c r="C12" s="203">
        <v>162.85000000003492</v>
      </c>
      <c r="D12" s="104">
        <v>606.95000000006985</v>
      </c>
      <c r="E12" s="201">
        <v>-400.20000000006985</v>
      </c>
      <c r="F12" s="202">
        <v>-563.05000000010477</v>
      </c>
      <c r="G12" s="56"/>
      <c r="H12" s="87"/>
      <c r="I12" s="88"/>
      <c r="J12" s="88"/>
      <c r="K12" s="88"/>
      <c r="L12" s="67"/>
      <c r="M12" s="82"/>
      <c r="N12" s="83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</row>
    <row r="13" spans="1:61" s="85" customFormat="1" ht="24" customHeight="1">
      <c r="A13" s="103" t="s">
        <v>110</v>
      </c>
      <c r="B13" s="104">
        <v>-3159.9000000000815</v>
      </c>
      <c r="C13" s="104">
        <v>706.29999999998836</v>
      </c>
      <c r="D13" s="104">
        <v>3866.2000000000698</v>
      </c>
      <c r="E13" s="201">
        <v>-658.69999999995343</v>
      </c>
      <c r="F13" s="200">
        <v>-1364.9999999999418</v>
      </c>
      <c r="G13" s="56"/>
      <c r="H13" s="87"/>
      <c r="I13" s="88"/>
      <c r="J13" s="88"/>
      <c r="K13" s="88"/>
      <c r="L13" s="67"/>
      <c r="M13" s="82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</row>
    <row r="14" spans="1:61" s="85" customFormat="1" ht="24" customHeight="1">
      <c r="A14" s="103" t="s">
        <v>111</v>
      </c>
      <c r="B14" s="104">
        <v>-3799.3500000000931</v>
      </c>
      <c r="C14" s="104">
        <v>6037.6669999998994</v>
      </c>
      <c r="D14" s="104">
        <v>9837.0169999999925</v>
      </c>
      <c r="E14" s="201">
        <v>-24843.704999999842</v>
      </c>
      <c r="F14" s="202">
        <v>-30881.371999999741</v>
      </c>
      <c r="G14" s="56"/>
      <c r="H14" s="87"/>
      <c r="I14" s="88"/>
      <c r="J14" s="88"/>
      <c r="K14" s="88"/>
      <c r="L14" s="67"/>
      <c r="M14" s="82"/>
      <c r="N14" s="8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</row>
    <row r="15" spans="1:61" s="85" customFormat="1" ht="24" customHeight="1">
      <c r="A15" s="103" t="s">
        <v>114</v>
      </c>
      <c r="B15" s="203">
        <v>1011</v>
      </c>
      <c r="C15" s="203">
        <v>10576.800000000279</v>
      </c>
      <c r="D15" s="104">
        <v>9565.8000000002794</v>
      </c>
      <c r="E15" s="201">
        <v>497.90000000037253</v>
      </c>
      <c r="F15" s="200">
        <v>-10078.899999999907</v>
      </c>
      <c r="G15" s="56"/>
      <c r="H15" s="87"/>
      <c r="I15" s="88"/>
      <c r="J15" s="88"/>
      <c r="K15" s="88"/>
      <c r="L15" s="67"/>
      <c r="M15" s="82"/>
      <c r="N15" s="8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</row>
    <row r="16" spans="1:61" s="85" customFormat="1" ht="24" customHeight="1">
      <c r="A16" s="103" t="s">
        <v>159</v>
      </c>
      <c r="B16" s="104">
        <v>-110594.62900000019</v>
      </c>
      <c r="C16" s="104">
        <v>-111391.19399999967</v>
      </c>
      <c r="D16" s="104">
        <v>-796.56499999947846</v>
      </c>
      <c r="E16" s="204">
        <v>-146119.19999999972</v>
      </c>
      <c r="F16" s="202">
        <v>-34728.006000000052</v>
      </c>
      <c r="G16" s="56"/>
      <c r="H16" s="87"/>
      <c r="I16" s="88"/>
      <c r="J16" s="88"/>
      <c r="K16" s="88"/>
      <c r="L16" s="64"/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</row>
    <row r="17" spans="1:61" s="85" customFormat="1" ht="24" customHeight="1">
      <c r="A17" s="103" t="s">
        <v>162</v>
      </c>
      <c r="B17" s="104">
        <v>77829.544999999925</v>
      </c>
      <c r="C17" s="104">
        <v>183013.78399999905</v>
      </c>
      <c r="D17" s="104">
        <v>105184.23899999913</v>
      </c>
      <c r="E17" s="117">
        <v>7733.0430000000633</v>
      </c>
      <c r="F17" s="200">
        <v>-175280.74099999899</v>
      </c>
      <c r="G17" s="56"/>
      <c r="H17" s="87"/>
      <c r="I17" s="88"/>
      <c r="J17" s="88"/>
      <c r="K17" s="88"/>
      <c r="L17" s="64"/>
      <c r="M17" s="82"/>
      <c r="N17" s="83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</row>
    <row r="18" spans="1:61" s="85" customFormat="1" ht="24" customHeight="1">
      <c r="A18" s="103" t="s">
        <v>163</v>
      </c>
      <c r="B18" s="203">
        <v>-28720.200000000186</v>
      </c>
      <c r="C18" s="203">
        <v>-32252.999999999534</v>
      </c>
      <c r="D18" s="104">
        <v>-3532.7999999993481</v>
      </c>
      <c r="E18" s="201">
        <v>-24756.976000000257</v>
      </c>
      <c r="F18" s="202">
        <v>7496.0239999992773</v>
      </c>
      <c r="G18" s="56"/>
      <c r="H18" s="87"/>
      <c r="I18" s="88"/>
      <c r="J18" s="88"/>
      <c r="K18" s="88"/>
      <c r="L18" s="67"/>
      <c r="M18" s="82"/>
      <c r="N18" s="83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</row>
    <row r="19" spans="1:61" s="85" customFormat="1" ht="24" customHeight="1">
      <c r="A19" s="103" t="s">
        <v>164</v>
      </c>
      <c r="B19" s="104">
        <v>-35881.29999999993</v>
      </c>
      <c r="C19" s="104">
        <v>-29894.585770000122</v>
      </c>
      <c r="D19" s="104">
        <v>5986.7142299998086</v>
      </c>
      <c r="E19" s="118">
        <v>-23626.699999999953</v>
      </c>
      <c r="F19" s="200">
        <v>6267.8857700001681</v>
      </c>
      <c r="G19" s="56"/>
      <c r="H19" s="87"/>
      <c r="I19" s="88"/>
      <c r="J19" s="88"/>
      <c r="K19" s="88"/>
      <c r="L19" s="67"/>
      <c r="M19" s="82"/>
      <c r="N19" s="83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</row>
    <row r="20" spans="1:61" s="85" customFormat="1" ht="24" customHeight="1">
      <c r="A20" s="103" t="s">
        <v>165</v>
      </c>
      <c r="B20" s="104">
        <v>-13196.399999999965</v>
      </c>
      <c r="C20" s="104">
        <v>-21938.199999999895</v>
      </c>
      <c r="D20" s="104">
        <v>-8741.7999999999302</v>
      </c>
      <c r="E20" s="118">
        <v>-17220</v>
      </c>
      <c r="F20" s="202">
        <v>4718.1999999998952</v>
      </c>
      <c r="G20" s="56"/>
      <c r="H20" s="87"/>
      <c r="I20" s="88"/>
      <c r="J20" s="88"/>
      <c r="K20" s="88"/>
      <c r="L20" s="67"/>
      <c r="M20" s="82"/>
      <c r="N20" s="8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</row>
    <row r="21" spans="1:61" s="85" customFormat="1" ht="24" customHeight="1">
      <c r="A21" s="103" t="s">
        <v>166</v>
      </c>
      <c r="B21" s="104">
        <v>-8937</v>
      </c>
      <c r="C21" s="104">
        <v>295.19999999998254</v>
      </c>
      <c r="D21" s="104">
        <v>9232.1999999999825</v>
      </c>
      <c r="E21" s="118">
        <v>-7633</v>
      </c>
      <c r="F21" s="200">
        <v>-7928.1999999999825</v>
      </c>
      <c r="G21" s="56"/>
      <c r="H21" s="87"/>
      <c r="I21" s="88"/>
      <c r="J21" s="88"/>
      <c r="K21" s="88"/>
      <c r="L21" s="67"/>
      <c r="M21" s="82"/>
      <c r="N21" s="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</row>
    <row r="22" spans="1:61" s="85" customFormat="1" ht="24" customHeight="1">
      <c r="A22" s="103" t="s">
        <v>167</v>
      </c>
      <c r="B22" s="104">
        <v>-28411.200000000186</v>
      </c>
      <c r="C22" s="104">
        <v>-5293.1999999992549</v>
      </c>
      <c r="D22" s="104">
        <v>23118.000000000931</v>
      </c>
      <c r="E22" s="118">
        <v>-27028.700000000186</v>
      </c>
      <c r="F22" s="202">
        <v>-21735.500000000931</v>
      </c>
      <c r="G22" s="56"/>
      <c r="H22" s="87"/>
      <c r="I22" s="88"/>
      <c r="J22" s="88"/>
      <c r="K22" s="88"/>
      <c r="L22" s="67"/>
      <c r="M22" s="82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</row>
    <row r="23" spans="1:61" s="85" customFormat="1" ht="24" customHeight="1">
      <c r="A23" s="103" t="s">
        <v>168</v>
      </c>
      <c r="B23" s="104">
        <v>-25799</v>
      </c>
      <c r="C23" s="104">
        <v>43748</v>
      </c>
      <c r="D23" s="104">
        <v>69547</v>
      </c>
      <c r="E23" s="118">
        <v>-52514</v>
      </c>
      <c r="F23" s="200">
        <v>-96262</v>
      </c>
      <c r="G23" s="56"/>
      <c r="H23" s="87"/>
      <c r="I23" s="88"/>
      <c r="J23" s="88"/>
      <c r="K23" s="88"/>
      <c r="L23" s="67"/>
      <c r="M23" s="82"/>
      <c r="N23" s="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</row>
    <row r="24" spans="1:61" s="85" customFormat="1" ht="24" customHeight="1">
      <c r="A24" s="103" t="s">
        <v>169</v>
      </c>
      <c r="B24" s="104">
        <v>-60117.080999999307</v>
      </c>
      <c r="C24" s="104">
        <v>899.70000000018626</v>
      </c>
      <c r="D24" s="104">
        <v>61016.780999999493</v>
      </c>
      <c r="E24" s="118">
        <v>2068.1689999997616</v>
      </c>
      <c r="F24" s="202">
        <v>1168.4689999995753</v>
      </c>
      <c r="G24" s="56"/>
      <c r="H24" s="87"/>
      <c r="I24" s="88"/>
      <c r="J24" s="88"/>
      <c r="K24" s="88"/>
      <c r="L24" s="67"/>
      <c r="M24" s="82"/>
      <c r="N24" s="83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</row>
    <row r="25" spans="1:61" s="85" customFormat="1" ht="24" customHeight="1">
      <c r="A25" s="103" t="s">
        <v>170</v>
      </c>
      <c r="B25" s="104">
        <v>-13540</v>
      </c>
      <c r="C25" s="104">
        <v>-36584</v>
      </c>
      <c r="D25" s="104">
        <v>-23044</v>
      </c>
      <c r="E25" s="201">
        <v>-16012</v>
      </c>
      <c r="F25" s="200">
        <v>20572</v>
      </c>
      <c r="G25" s="56"/>
      <c r="H25" s="87"/>
      <c r="I25" s="88"/>
      <c r="J25" s="88"/>
      <c r="K25" s="88"/>
      <c r="L25" s="67"/>
      <c r="M25" s="82"/>
      <c r="N25" s="83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</row>
    <row r="26" spans="1:61" s="85" customFormat="1" ht="24" customHeight="1">
      <c r="A26" s="103" t="s">
        <v>172</v>
      </c>
      <c r="B26" s="104">
        <v>-220406</v>
      </c>
      <c r="C26" s="104">
        <v>-97585.183859999292</v>
      </c>
      <c r="D26" s="104">
        <v>122820.81614000071</v>
      </c>
      <c r="E26" s="118">
        <v>-165597.28000000073</v>
      </c>
      <c r="F26" s="202">
        <v>-68012.096140001435</v>
      </c>
      <c r="G26" s="56"/>
      <c r="H26" s="87"/>
      <c r="I26" s="88"/>
      <c r="J26" s="88"/>
      <c r="K26" s="88"/>
      <c r="L26" s="67"/>
      <c r="M26" s="82"/>
      <c r="N26" s="83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</row>
    <row r="27" spans="1:61" s="85" customFormat="1" ht="24" customHeight="1">
      <c r="A27" s="103" t="s">
        <v>173</v>
      </c>
      <c r="B27" s="104">
        <v>13121.399999999441</v>
      </c>
      <c r="C27" s="104">
        <v>6449.7500000018626</v>
      </c>
      <c r="D27" s="104">
        <v>-6671.6499999975786</v>
      </c>
      <c r="E27" s="117">
        <v>1817.0999999977648</v>
      </c>
      <c r="F27" s="200">
        <v>-4632.6500000040978</v>
      </c>
      <c r="G27" s="56"/>
      <c r="H27" s="87"/>
      <c r="I27" s="88"/>
      <c r="J27" s="88"/>
      <c r="K27" s="88"/>
      <c r="L27" s="64"/>
      <c r="M27" s="82"/>
      <c r="N27" s="8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</row>
    <row r="28" spans="1:61" s="85" customFormat="1" ht="24" customHeight="1">
      <c r="A28" s="103" t="s">
        <v>176</v>
      </c>
      <c r="B28" s="104">
        <v>2715.0000000004657</v>
      </c>
      <c r="C28" s="104">
        <v>1144.5</v>
      </c>
      <c r="D28" s="104">
        <v>-1570.5000000004657</v>
      </c>
      <c r="E28" s="118">
        <v>6077.4000000003725</v>
      </c>
      <c r="F28" s="202">
        <v>4932.9000000003725</v>
      </c>
      <c r="G28" s="56"/>
      <c r="H28" s="87"/>
      <c r="I28" s="88"/>
      <c r="J28" s="88"/>
      <c r="K28" s="88"/>
      <c r="L28" s="67"/>
      <c r="M28" s="82"/>
      <c r="N28" s="83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</row>
    <row r="29" spans="1:61" s="85" customFormat="1" ht="24" customHeight="1">
      <c r="A29" s="103" t="s">
        <v>177</v>
      </c>
      <c r="B29" s="104">
        <v>-17340.199999999721</v>
      </c>
      <c r="C29" s="104">
        <v>56.017000000458211</v>
      </c>
      <c r="D29" s="104">
        <v>17396.217000000179</v>
      </c>
      <c r="E29" s="118">
        <v>-11531.452000000048</v>
      </c>
      <c r="F29" s="200">
        <v>-11587.469000000507</v>
      </c>
      <c r="G29" s="56"/>
      <c r="H29" s="87"/>
      <c r="I29" s="88"/>
      <c r="J29" s="88"/>
      <c r="K29" s="88"/>
      <c r="L29" s="67"/>
      <c r="M29" s="82"/>
      <c r="N29" s="83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</row>
    <row r="30" spans="1:61" s="85" customFormat="1" ht="24" customHeight="1">
      <c r="A30" s="103" t="s">
        <v>178</v>
      </c>
      <c r="B30" s="104">
        <v>-349228.38499999885</v>
      </c>
      <c r="C30" s="104">
        <v>-459786.45099999942</v>
      </c>
      <c r="D30" s="104">
        <v>-110558.06600000057</v>
      </c>
      <c r="E30" s="117">
        <v>-31590.003994399682</v>
      </c>
      <c r="F30" s="202">
        <v>428196.44700559974</v>
      </c>
      <c r="G30" s="56"/>
      <c r="H30" s="87"/>
      <c r="I30" s="88"/>
      <c r="J30" s="88"/>
      <c r="K30" s="88"/>
      <c r="L30" s="64"/>
      <c r="M30" s="64"/>
      <c r="N30" s="83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</row>
    <row r="31" spans="1:61" s="85" customFormat="1" ht="24" customHeight="1">
      <c r="A31" s="103" t="s">
        <v>186</v>
      </c>
      <c r="B31" s="104">
        <v>-3180.5999999999767</v>
      </c>
      <c r="C31" s="104">
        <v>-7142.964810000034</v>
      </c>
      <c r="D31" s="104">
        <v>-3962.3648100000573</v>
      </c>
      <c r="E31" s="201">
        <v>726.59999999997672</v>
      </c>
      <c r="F31" s="200">
        <v>7869.5648100000108</v>
      </c>
      <c r="G31" s="56"/>
      <c r="H31" s="87"/>
      <c r="I31" s="88"/>
      <c r="J31" s="88"/>
      <c r="K31" s="88"/>
      <c r="L31" s="67"/>
      <c r="M31" s="82"/>
      <c r="N31" s="83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</row>
    <row r="32" spans="1:61" s="84" customFormat="1" ht="25.5" customHeight="1">
      <c r="A32" s="108" t="s">
        <v>189</v>
      </c>
      <c r="B32" s="205">
        <v>-991555.35063999973</v>
      </c>
      <c r="C32" s="205">
        <v>-781843.19893999677</v>
      </c>
      <c r="D32" s="205">
        <v>209712.15170000296</v>
      </c>
      <c r="E32" s="205">
        <v>-612280.64311440487</v>
      </c>
      <c r="F32" s="206">
        <v>169562.5558255919</v>
      </c>
      <c r="G32" s="83"/>
      <c r="H32" s="81"/>
      <c r="I32" s="88"/>
      <c r="J32" s="88"/>
      <c r="K32" s="88"/>
      <c r="L32" s="67"/>
      <c r="M32" s="82"/>
      <c r="N32" s="83"/>
    </row>
    <row r="33" spans="1:14" s="84" customFormat="1" ht="12" customHeight="1" thickBot="1">
      <c r="A33" s="105"/>
      <c r="B33" s="106"/>
      <c r="C33" s="106"/>
      <c r="D33" s="106"/>
      <c r="E33" s="106"/>
      <c r="F33" s="107"/>
      <c r="G33" s="83"/>
      <c r="H33" s="89"/>
      <c r="I33" s="81"/>
      <c r="J33" s="81"/>
      <c r="K33" s="81"/>
      <c r="L33" s="81"/>
      <c r="M33" s="82"/>
      <c r="N33" s="83"/>
    </row>
    <row r="34" spans="1:14" ht="17" thickTop="1">
      <c r="A34" s="207" t="s">
        <v>218</v>
      </c>
      <c r="B34" s="86"/>
      <c r="C34" s="86"/>
      <c r="D34" s="86"/>
      <c r="E34" s="86"/>
      <c r="F34" s="155"/>
      <c r="I34" s="81"/>
      <c r="J34" s="81"/>
      <c r="K34" s="81"/>
      <c r="L34" s="81"/>
      <c r="M34" s="81"/>
    </row>
    <row r="35" spans="1:14" ht="16">
      <c r="A35" s="84"/>
      <c r="B35" s="86"/>
      <c r="C35" s="86"/>
      <c r="D35" s="86"/>
      <c r="E35" s="86"/>
      <c r="F35" s="155"/>
      <c r="I35" s="49"/>
      <c r="J35" s="49"/>
      <c r="K35" s="49"/>
      <c r="L35" s="49"/>
      <c r="M35" s="49"/>
    </row>
    <row r="36" spans="1:14">
      <c r="A36" s="93"/>
      <c r="B36" s="92"/>
      <c r="C36" s="92"/>
      <c r="D36" s="92"/>
      <c r="E36" s="92"/>
      <c r="F36" s="92"/>
      <c r="H36" s="49"/>
    </row>
    <row r="37" spans="1:14">
      <c r="A37" s="93"/>
      <c r="B37" s="92"/>
      <c r="C37" s="92"/>
      <c r="D37" s="92"/>
      <c r="E37" s="92"/>
      <c r="F37" s="92"/>
    </row>
    <row r="38" spans="1:14">
      <c r="A38" s="93"/>
      <c r="B38" s="92"/>
      <c r="C38" s="92"/>
      <c r="D38" s="92"/>
      <c r="E38" s="92"/>
      <c r="F38" s="92"/>
    </row>
    <row r="39" spans="1:14">
      <c r="A39" s="93"/>
      <c r="B39" s="92"/>
      <c r="C39" s="92"/>
      <c r="D39" s="92"/>
      <c r="E39" s="92"/>
      <c r="F39" s="92"/>
    </row>
    <row r="40" spans="1:14">
      <c r="A40" s="93"/>
      <c r="B40" s="92"/>
      <c r="C40" s="92"/>
      <c r="D40" s="92"/>
      <c r="E40" s="92"/>
      <c r="F40" s="92"/>
    </row>
    <row r="41" spans="1:14">
      <c r="A41" s="93"/>
      <c r="B41" s="92"/>
      <c r="C41" s="92"/>
      <c r="D41" s="92"/>
      <c r="E41" s="92"/>
      <c r="F41" s="92"/>
    </row>
    <row r="42" spans="1:14">
      <c r="B42" s="92"/>
      <c r="C42" s="92"/>
      <c r="D42" s="92"/>
      <c r="E42" s="92"/>
      <c r="F42" s="92"/>
    </row>
    <row r="43" spans="1:14">
      <c r="A43" s="93"/>
      <c r="B43" s="92"/>
      <c r="C43" s="92"/>
      <c r="D43" s="92"/>
      <c r="E43" s="92"/>
      <c r="F43" s="92"/>
    </row>
    <row r="44" spans="1:14">
      <c r="B44" s="92"/>
      <c r="C44" s="92"/>
      <c r="D44" s="92"/>
      <c r="E44" s="92"/>
      <c r="F44" s="92"/>
      <c r="H44" s="49"/>
    </row>
    <row r="45" spans="1:14">
      <c r="B45" s="92"/>
      <c r="C45" s="92"/>
      <c r="D45" s="92"/>
      <c r="E45" s="92"/>
      <c r="F45" s="92"/>
      <c r="H45" s="49"/>
    </row>
    <row r="46" spans="1:14">
      <c r="B46" s="92"/>
      <c r="C46" s="92"/>
      <c r="D46" s="92"/>
      <c r="E46" s="92"/>
      <c r="F46" s="92"/>
      <c r="H46" s="49"/>
    </row>
    <row r="47" spans="1:14">
      <c r="B47" s="92"/>
      <c r="C47" s="92"/>
      <c r="D47" s="92"/>
      <c r="E47" s="92"/>
      <c r="F47" s="92"/>
    </row>
    <row r="48" spans="1:14">
      <c r="B48" s="92"/>
      <c r="C48" s="92"/>
      <c r="D48" s="92"/>
      <c r="E48" s="92"/>
      <c r="F48" s="92"/>
    </row>
    <row r="49" spans="1:6">
      <c r="A49" s="93"/>
      <c r="B49" s="92"/>
      <c r="C49" s="92"/>
      <c r="D49" s="92"/>
      <c r="E49" s="92"/>
      <c r="F49" s="92"/>
    </row>
    <row r="50" spans="1:6">
      <c r="A50" s="93"/>
      <c r="B50" s="92"/>
      <c r="C50" s="92"/>
      <c r="D50" s="92"/>
      <c r="E50" s="92"/>
      <c r="F50" s="92"/>
    </row>
    <row r="51" spans="1:6">
      <c r="A51" s="93"/>
      <c r="B51" s="92"/>
      <c r="C51" s="92"/>
      <c r="D51" s="92"/>
      <c r="E51" s="92"/>
      <c r="F51" s="92"/>
    </row>
    <row r="52" spans="1:6">
      <c r="B52" s="92"/>
      <c r="C52" s="92"/>
      <c r="D52" s="92"/>
      <c r="E52" s="92"/>
      <c r="F52" s="92"/>
    </row>
    <row r="53" spans="1:6">
      <c r="B53" s="92"/>
      <c r="C53" s="92"/>
      <c r="D53" s="92"/>
      <c r="E53" s="92"/>
      <c r="F53" s="92"/>
    </row>
    <row r="54" spans="1:6">
      <c r="B54" s="92"/>
      <c r="C54" s="92"/>
      <c r="D54" s="92"/>
      <c r="E54" s="92"/>
      <c r="F54" s="92"/>
    </row>
    <row r="55" spans="1:6">
      <c r="B55" s="92"/>
      <c r="C55" s="92"/>
      <c r="D55" s="92"/>
      <c r="E55" s="92"/>
      <c r="F55" s="92"/>
    </row>
    <row r="56" spans="1:6">
      <c r="B56" s="92"/>
      <c r="C56" s="92"/>
      <c r="D56" s="92"/>
      <c r="E56" s="92"/>
      <c r="F56" s="92"/>
    </row>
    <row r="57" spans="1:6">
      <c r="B57" s="92"/>
      <c r="C57" s="92"/>
      <c r="D57" s="92"/>
      <c r="E57" s="92"/>
      <c r="F57" s="92"/>
    </row>
    <row r="58" spans="1:6">
      <c r="B58" s="92"/>
      <c r="C58" s="92"/>
      <c r="D58" s="92"/>
      <c r="E58" s="92"/>
      <c r="F58" s="92"/>
    </row>
    <row r="59" spans="1:6">
      <c r="B59" s="92"/>
      <c r="C59" s="92"/>
      <c r="D59" s="92"/>
      <c r="E59" s="92"/>
      <c r="F59" s="92"/>
    </row>
    <row r="60" spans="1:6">
      <c r="B60" s="92"/>
      <c r="C60" s="92"/>
      <c r="D60" s="92"/>
      <c r="E60" s="92"/>
      <c r="F60" s="92"/>
    </row>
    <row r="61" spans="1:6">
      <c r="B61" s="92"/>
      <c r="C61" s="92"/>
      <c r="D61" s="92"/>
      <c r="E61" s="92"/>
      <c r="F61" s="92"/>
    </row>
    <row r="62" spans="1:6">
      <c r="A62" s="93"/>
      <c r="B62" s="92"/>
      <c r="C62" s="92"/>
      <c r="D62" s="92"/>
      <c r="E62" s="92"/>
      <c r="F62" s="92"/>
    </row>
  </sheetData>
  <mergeCells count="1">
    <mergeCell ref="A1:F1"/>
  </mergeCells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I62"/>
  <sheetViews>
    <sheetView zoomScaleNormal="100" workbookViewId="0"/>
  </sheetViews>
  <sheetFormatPr baseColWidth="10" defaultRowHeight="13"/>
  <cols>
    <col min="1" max="1" width="19.6640625" style="90" customWidth="1"/>
    <col min="2" max="4" width="15.33203125" style="94" customWidth="1"/>
    <col min="5" max="5" width="15.33203125" style="100" customWidth="1"/>
    <col min="6" max="6" width="15.83203125" style="94" customWidth="1"/>
    <col min="7" max="7" width="11.5" style="71" customWidth="1"/>
    <col min="8" max="8" width="25.6640625" style="98" customWidth="1"/>
    <col min="9" max="9" width="14.83203125" style="77" customWidth="1"/>
    <col min="10" max="10" width="16.6640625" style="77" customWidth="1"/>
    <col min="11" max="11" width="18.6640625" style="77" customWidth="1"/>
    <col min="12" max="12" width="13.6640625" style="77" customWidth="1"/>
    <col min="13" max="13" width="13.6640625" style="77" hidden="1" customWidth="1"/>
    <col min="14" max="14" width="13.5" style="77" customWidth="1"/>
    <col min="15" max="61" width="11.5" style="55" customWidth="1"/>
  </cols>
  <sheetData>
    <row r="1" spans="1:61" s="75" customFormat="1" ht="36" customHeight="1" thickBot="1">
      <c r="A1" s="613" t="s">
        <v>14</v>
      </c>
      <c r="B1" s="614"/>
      <c r="C1" s="613"/>
      <c r="D1" s="613"/>
      <c r="E1" s="613"/>
      <c r="F1" s="613"/>
      <c r="G1" s="72"/>
      <c r="H1" s="95"/>
      <c r="I1" s="73"/>
      <c r="J1" s="73"/>
      <c r="K1" s="73"/>
      <c r="L1" s="73"/>
      <c r="M1" s="73"/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</row>
    <row r="2" spans="1:61" ht="15" customHeight="1" thickTop="1">
      <c r="A2" s="152" t="s">
        <v>2</v>
      </c>
      <c r="B2" s="76" t="s">
        <v>24</v>
      </c>
      <c r="C2" s="76" t="s">
        <v>22</v>
      </c>
      <c r="D2" s="76" t="s">
        <v>215</v>
      </c>
      <c r="E2" s="76" t="s">
        <v>24</v>
      </c>
      <c r="F2" s="128" t="s">
        <v>215</v>
      </c>
      <c r="H2" s="79"/>
      <c r="I2" s="44"/>
      <c r="J2" s="44"/>
      <c r="K2" s="44"/>
      <c r="L2" s="44"/>
      <c r="M2" s="44"/>
    </row>
    <row r="3" spans="1:61" ht="14">
      <c r="A3" s="78" t="s">
        <v>1</v>
      </c>
      <c r="B3" s="116" t="s">
        <v>105</v>
      </c>
      <c r="C3" s="116" t="s">
        <v>115</v>
      </c>
      <c r="D3" s="126" t="s">
        <v>216</v>
      </c>
      <c r="E3" s="116" t="s">
        <v>105</v>
      </c>
      <c r="F3" s="80" t="s">
        <v>217</v>
      </c>
      <c r="H3" s="79"/>
      <c r="I3" s="44"/>
      <c r="J3" s="44"/>
      <c r="K3" s="44"/>
      <c r="L3" s="44"/>
      <c r="M3" s="44"/>
    </row>
    <row r="4" spans="1:61">
      <c r="A4" s="157">
        <v>0</v>
      </c>
      <c r="B4" s="127">
        <v>2012</v>
      </c>
      <c r="C4" s="127">
        <v>2012</v>
      </c>
      <c r="D4" s="162">
        <v>0</v>
      </c>
      <c r="E4" s="127">
        <v>2013</v>
      </c>
      <c r="F4" s="165">
        <v>0</v>
      </c>
      <c r="H4" s="79"/>
      <c r="I4" s="44"/>
      <c r="J4" s="44"/>
      <c r="K4" s="44"/>
      <c r="L4" s="44"/>
      <c r="M4" s="44"/>
    </row>
    <row r="5" spans="1:61" s="85" customFormat="1" ht="28.5" customHeight="1">
      <c r="A5" s="156" t="s">
        <v>16</v>
      </c>
      <c r="B5" s="163">
        <v>0</v>
      </c>
      <c r="C5" s="164">
        <v>0</v>
      </c>
      <c r="D5" s="160">
        <v>0</v>
      </c>
      <c r="E5" s="85" t="s">
        <v>102</v>
      </c>
      <c r="F5" s="161">
        <v>0</v>
      </c>
      <c r="G5" s="56"/>
      <c r="H5" s="86"/>
      <c r="I5" s="44"/>
      <c r="J5" s="81"/>
      <c r="K5" s="81"/>
      <c r="L5" s="81"/>
      <c r="M5" s="82"/>
      <c r="N5" s="83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</row>
    <row r="6" spans="1:61" s="85" customFormat="1" ht="24" customHeight="1">
      <c r="A6" s="108" t="s">
        <v>21</v>
      </c>
      <c r="B6" s="196">
        <v>-624650.65600000136</v>
      </c>
      <c r="C6" s="196">
        <v>193234.90999999852</v>
      </c>
      <c r="D6" s="197">
        <v>817885.56599999988</v>
      </c>
      <c r="E6" s="198">
        <v>-211305.644000003</v>
      </c>
      <c r="F6" s="120">
        <v>404540.55400000152</v>
      </c>
      <c r="G6" s="56"/>
      <c r="H6" s="86"/>
      <c r="I6" s="88"/>
      <c r="J6" s="88"/>
      <c r="K6" s="88"/>
      <c r="L6" s="67"/>
      <c r="M6" s="82"/>
      <c r="N6" s="83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</row>
    <row r="7" spans="1:61" s="85" customFormat="1" ht="24" customHeight="1">
      <c r="A7" s="103" t="s">
        <v>101</v>
      </c>
      <c r="B7" s="104">
        <v>46856.206989999977</v>
      </c>
      <c r="C7" s="104">
        <v>-429572.74155999994</v>
      </c>
      <c r="D7" s="104">
        <v>476428.94854999991</v>
      </c>
      <c r="E7" s="198">
        <v>51640.732349999016</v>
      </c>
      <c r="F7" s="121">
        <v>-481213.47390999895</v>
      </c>
      <c r="G7" s="56"/>
      <c r="H7" s="86"/>
      <c r="I7" s="88"/>
      <c r="J7" s="88"/>
      <c r="K7" s="88"/>
      <c r="L7" s="64"/>
      <c r="M7" s="82"/>
      <c r="N7" s="83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</row>
    <row r="8" spans="1:61" s="85" customFormat="1" ht="24" customHeight="1">
      <c r="A8" s="103" t="s">
        <v>104</v>
      </c>
      <c r="B8" s="104">
        <v>-27159.959160000086</v>
      </c>
      <c r="C8" s="104">
        <v>-59790.491889999743</v>
      </c>
      <c r="D8" s="104">
        <v>32630.532729999657</v>
      </c>
      <c r="E8" s="198">
        <v>-12084.356000000262</v>
      </c>
      <c r="F8" s="119">
        <v>-47706.135889999481</v>
      </c>
      <c r="G8" s="56"/>
      <c r="H8" s="86"/>
      <c r="I8" s="88"/>
      <c r="J8" s="88"/>
      <c r="K8" s="88"/>
      <c r="L8" s="67"/>
      <c r="M8" s="82"/>
      <c r="N8" s="83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</row>
    <row r="9" spans="1:61" s="85" customFormat="1" ht="24" customHeight="1">
      <c r="A9" s="103" t="s">
        <v>106</v>
      </c>
      <c r="B9" s="104">
        <v>-13075.668999999947</v>
      </c>
      <c r="C9" s="104">
        <v>-3264.6699999999546</v>
      </c>
      <c r="D9" s="104">
        <v>-9810.9989999999925</v>
      </c>
      <c r="E9" s="198">
        <v>-12260.516999999974</v>
      </c>
      <c r="F9" s="121">
        <v>8995.8470000000198</v>
      </c>
      <c r="G9" s="56"/>
      <c r="H9" s="86"/>
      <c r="I9" s="88"/>
      <c r="J9" s="88"/>
      <c r="K9" s="88"/>
      <c r="L9" s="67"/>
      <c r="M9" s="82"/>
      <c r="N9" s="83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</row>
    <row r="10" spans="1:61" s="85" customFormat="1" ht="24" customHeight="1">
      <c r="A10" s="103" t="s">
        <v>107</v>
      </c>
      <c r="B10" s="104">
        <v>-94885.29999999977</v>
      </c>
      <c r="C10" s="104">
        <v>-77420</v>
      </c>
      <c r="D10" s="104">
        <v>-17465.29999999977</v>
      </c>
      <c r="E10" s="198">
        <v>-109053</v>
      </c>
      <c r="F10" s="119">
        <v>31633</v>
      </c>
      <c r="G10" s="56"/>
      <c r="H10" s="86"/>
      <c r="I10" s="88"/>
      <c r="J10" s="88"/>
      <c r="K10" s="88"/>
      <c r="L10" s="67"/>
      <c r="M10" s="82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</row>
    <row r="11" spans="1:61" s="85" customFormat="1" ht="24" customHeight="1">
      <c r="A11" s="103" t="s">
        <v>108</v>
      </c>
      <c r="B11" s="104">
        <v>-26379</v>
      </c>
      <c r="C11" s="104">
        <v>-15574</v>
      </c>
      <c r="D11" s="104">
        <v>-10805</v>
      </c>
      <c r="E11" s="198">
        <v>-26661</v>
      </c>
      <c r="F11" s="121">
        <v>11087</v>
      </c>
      <c r="G11" s="56"/>
      <c r="H11" s="86"/>
      <c r="I11" s="88"/>
      <c r="J11" s="88"/>
      <c r="K11" s="88"/>
      <c r="L11" s="67"/>
      <c r="M11" s="82"/>
      <c r="N11" s="83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</row>
    <row r="12" spans="1:61" s="85" customFormat="1" ht="24" customHeight="1">
      <c r="A12" s="103" t="s">
        <v>109</v>
      </c>
      <c r="B12" s="203">
        <v>-15415.500000000036</v>
      </c>
      <c r="C12" s="203">
        <v>-8255.4999999999527</v>
      </c>
      <c r="D12" s="104">
        <v>-7160.0000000000837</v>
      </c>
      <c r="E12" s="198">
        <v>-9631.5000000000509</v>
      </c>
      <c r="F12" s="119">
        <v>1376.0000000000982</v>
      </c>
      <c r="G12" s="56"/>
      <c r="H12" s="86"/>
      <c r="I12" s="88"/>
      <c r="J12" s="88"/>
      <c r="K12" s="88"/>
      <c r="L12" s="67"/>
      <c r="M12" s="82"/>
      <c r="N12" s="83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</row>
    <row r="13" spans="1:61" s="85" customFormat="1" ht="24" customHeight="1">
      <c r="A13" s="103" t="s">
        <v>110</v>
      </c>
      <c r="B13" s="104">
        <v>-2691.6999999999916</v>
      </c>
      <c r="C13" s="104">
        <v>6677.8000000000939</v>
      </c>
      <c r="D13" s="104">
        <v>-9369.5000000000855</v>
      </c>
      <c r="E13" s="198">
        <v>-5764.5999999999785</v>
      </c>
      <c r="F13" s="121">
        <v>12442.400000000072</v>
      </c>
      <c r="G13" s="56"/>
      <c r="H13" s="86"/>
      <c r="I13" s="88"/>
      <c r="J13" s="88"/>
      <c r="K13" s="88"/>
      <c r="L13" s="67"/>
      <c r="M13" s="82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</row>
    <row r="14" spans="1:61" s="85" customFormat="1" ht="24" customHeight="1">
      <c r="A14" s="103" t="s">
        <v>111</v>
      </c>
      <c r="B14" s="104">
        <v>-13929.062000000078</v>
      </c>
      <c r="C14" s="104">
        <v>4460.9659999999276</v>
      </c>
      <c r="D14" s="104">
        <v>-18390.028000000006</v>
      </c>
      <c r="E14" s="198">
        <v>-93362.682999999903</v>
      </c>
      <c r="F14" s="119">
        <v>97823.64899999983</v>
      </c>
      <c r="G14" s="56"/>
      <c r="H14" s="86"/>
      <c r="I14" s="88"/>
      <c r="J14" s="88"/>
      <c r="K14" s="88"/>
      <c r="L14" s="67"/>
      <c r="M14" s="82"/>
      <c r="N14" s="8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</row>
    <row r="15" spans="1:61" s="85" customFormat="1" ht="24" customHeight="1">
      <c r="A15" s="103" t="s">
        <v>114</v>
      </c>
      <c r="B15" s="203">
        <v>99416.21000000037</v>
      </c>
      <c r="C15" s="203">
        <v>3499.5000000007276</v>
      </c>
      <c r="D15" s="104">
        <v>95916.709999999643</v>
      </c>
      <c r="E15" s="198">
        <v>-120753.40000000008</v>
      </c>
      <c r="F15" s="121">
        <v>124252.90000000081</v>
      </c>
      <c r="G15" s="56"/>
      <c r="H15" s="86"/>
      <c r="I15" s="88"/>
      <c r="J15" s="88"/>
      <c r="K15" s="88"/>
      <c r="L15" s="67"/>
      <c r="M15" s="82"/>
      <c r="N15" s="8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</row>
    <row r="16" spans="1:61" s="85" customFormat="1" ht="24" customHeight="1">
      <c r="A16" s="103" t="s">
        <v>159</v>
      </c>
      <c r="B16" s="104">
        <v>-159946.52900000013</v>
      </c>
      <c r="C16" s="104">
        <v>-169811.04599999974</v>
      </c>
      <c r="D16" s="104">
        <v>9864.5169999996142</v>
      </c>
      <c r="E16" s="198">
        <v>-225120.2</v>
      </c>
      <c r="F16" s="119">
        <v>55309.154000000271</v>
      </c>
      <c r="G16" s="56"/>
      <c r="H16" s="86"/>
      <c r="I16" s="88"/>
      <c r="J16" s="88"/>
      <c r="K16" s="88"/>
      <c r="L16" s="64"/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</row>
    <row r="17" spans="1:61" s="85" customFormat="1" ht="24" customHeight="1">
      <c r="A17" s="103" t="s">
        <v>162</v>
      </c>
      <c r="B17" s="104">
        <v>-115596.53700000007</v>
      </c>
      <c r="C17" s="104">
        <v>-269435.1010000009</v>
      </c>
      <c r="D17" s="104">
        <v>153838.56400000083</v>
      </c>
      <c r="E17" s="198">
        <v>-230166.43299999996</v>
      </c>
      <c r="F17" s="121">
        <v>-39268.668000000936</v>
      </c>
      <c r="G17" s="56"/>
      <c r="H17" s="86"/>
      <c r="I17" s="88"/>
      <c r="J17" s="88"/>
      <c r="K17" s="88"/>
      <c r="L17" s="64"/>
      <c r="M17" s="82"/>
      <c r="N17" s="83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</row>
    <row r="18" spans="1:61" s="85" customFormat="1" ht="24" customHeight="1">
      <c r="A18" s="103" t="s">
        <v>163</v>
      </c>
      <c r="B18" s="203">
        <v>-227738.50000000035</v>
      </c>
      <c r="C18" s="203">
        <v>-164129.70000000036</v>
      </c>
      <c r="D18" s="104">
        <v>-63608.799999999988</v>
      </c>
      <c r="E18" s="198">
        <v>-310781.70400000026</v>
      </c>
      <c r="F18" s="119">
        <v>146652.0039999999</v>
      </c>
      <c r="G18" s="56"/>
      <c r="H18" s="86"/>
      <c r="I18" s="88"/>
      <c r="J18" s="88"/>
      <c r="K18" s="88"/>
      <c r="L18" s="67"/>
      <c r="M18" s="82"/>
      <c r="N18" s="83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</row>
    <row r="19" spans="1:61" s="85" customFormat="1" ht="24" customHeight="1">
      <c r="A19" s="103" t="s">
        <v>164</v>
      </c>
      <c r="B19" s="104">
        <v>-49216.999999999927</v>
      </c>
      <c r="C19" s="104">
        <v>-49673.58916000012</v>
      </c>
      <c r="D19" s="104">
        <v>456.58916000019235</v>
      </c>
      <c r="E19" s="198">
        <v>-37448.799999999952</v>
      </c>
      <c r="F19" s="121">
        <v>-12224.789160000168</v>
      </c>
      <c r="G19" s="56"/>
      <c r="H19" s="86"/>
      <c r="I19" s="88"/>
      <c r="J19" s="88"/>
      <c r="K19" s="88"/>
      <c r="L19" s="67"/>
      <c r="M19" s="82"/>
      <c r="N19" s="83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</row>
    <row r="20" spans="1:61" s="85" customFormat="1" ht="24" customHeight="1">
      <c r="A20" s="103" t="s">
        <v>165</v>
      </c>
      <c r="B20" s="104">
        <v>-25015.999999999964</v>
      </c>
      <c r="C20" s="104">
        <v>-107835.39999999989</v>
      </c>
      <c r="D20" s="104">
        <v>82819.399999999936</v>
      </c>
      <c r="E20" s="198">
        <v>-28951.099999999948</v>
      </c>
      <c r="F20" s="119">
        <v>-78884.299999999945</v>
      </c>
      <c r="G20" s="56"/>
      <c r="H20" s="86"/>
      <c r="I20" s="88"/>
      <c r="J20" s="88"/>
      <c r="K20" s="88"/>
      <c r="L20" s="67"/>
      <c r="M20" s="82"/>
      <c r="N20" s="8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</row>
    <row r="21" spans="1:61" s="85" customFormat="1" ht="24" customHeight="1">
      <c r="A21" s="103" t="s">
        <v>166</v>
      </c>
      <c r="B21" s="104">
        <v>-16653</v>
      </c>
      <c r="C21" s="104">
        <v>-3705.1000000000186</v>
      </c>
      <c r="D21" s="104">
        <v>-12947.899999999981</v>
      </c>
      <c r="E21" s="198">
        <v>-16797.849999999999</v>
      </c>
      <c r="F21" s="121">
        <v>13092.74999999998</v>
      </c>
      <c r="G21" s="56"/>
      <c r="H21" s="86"/>
      <c r="I21" s="88"/>
      <c r="J21" s="88"/>
      <c r="K21" s="88"/>
      <c r="L21" s="67"/>
      <c r="M21" s="82"/>
      <c r="N21" s="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</row>
    <row r="22" spans="1:61" s="85" customFormat="1" ht="24" customHeight="1">
      <c r="A22" s="103" t="s">
        <v>167</v>
      </c>
      <c r="B22" s="104">
        <v>-108451.10000000018</v>
      </c>
      <c r="C22" s="104">
        <v>-79559.399999999281</v>
      </c>
      <c r="D22" s="104">
        <v>-28891.700000000899</v>
      </c>
      <c r="E22" s="198">
        <v>-82931.10000000018</v>
      </c>
      <c r="F22" s="119">
        <v>3371.7000000008993</v>
      </c>
      <c r="G22" s="56"/>
      <c r="H22" s="86"/>
      <c r="I22" s="88"/>
      <c r="J22" s="88"/>
      <c r="K22" s="88"/>
      <c r="L22" s="67"/>
      <c r="M22" s="82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</row>
    <row r="23" spans="1:61" s="85" customFormat="1" ht="24" customHeight="1">
      <c r="A23" s="103" t="s">
        <v>168</v>
      </c>
      <c r="B23" s="104">
        <v>-39037</v>
      </c>
      <c r="C23" s="104">
        <v>44478</v>
      </c>
      <c r="D23" s="104">
        <v>-83515</v>
      </c>
      <c r="E23" s="198">
        <v>-149817</v>
      </c>
      <c r="F23" s="121">
        <v>194295</v>
      </c>
      <c r="G23" s="56"/>
      <c r="H23" s="86"/>
      <c r="I23" s="88"/>
      <c r="J23" s="88"/>
      <c r="K23" s="88"/>
      <c r="L23" s="67"/>
      <c r="M23" s="82"/>
      <c r="N23" s="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</row>
    <row r="24" spans="1:61" s="85" customFormat="1" ht="24" customHeight="1">
      <c r="A24" s="103" t="s">
        <v>169</v>
      </c>
      <c r="B24" s="104">
        <v>-48493.080999999307</v>
      </c>
      <c r="C24" s="104">
        <v>13220.134000000195</v>
      </c>
      <c r="D24" s="104">
        <v>-61713.214999999502</v>
      </c>
      <c r="E24" s="198">
        <v>14192.168999999732</v>
      </c>
      <c r="F24" s="119">
        <v>-972.03499999953783</v>
      </c>
      <c r="G24" s="56"/>
      <c r="H24" s="86"/>
      <c r="I24" s="88"/>
      <c r="J24" s="88"/>
      <c r="K24" s="88"/>
      <c r="L24" s="67"/>
      <c r="M24" s="82"/>
      <c r="N24" s="83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</row>
    <row r="25" spans="1:61" s="85" customFormat="1" ht="24" customHeight="1">
      <c r="A25" s="103" t="s">
        <v>170</v>
      </c>
      <c r="B25" s="104">
        <v>-27159.959160000086</v>
      </c>
      <c r="C25" s="104">
        <v>-94035</v>
      </c>
      <c r="D25" s="104">
        <v>66875.040839999914</v>
      </c>
      <c r="E25" s="198">
        <v>-73343</v>
      </c>
      <c r="F25" s="121">
        <v>-20692</v>
      </c>
      <c r="G25" s="56"/>
      <c r="H25" s="86"/>
      <c r="I25" s="88"/>
      <c r="J25" s="88"/>
      <c r="K25" s="88"/>
      <c r="L25" s="67"/>
      <c r="M25" s="82"/>
      <c r="N25" s="83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</row>
    <row r="26" spans="1:61" s="85" customFormat="1" ht="24" customHeight="1">
      <c r="A26" s="103" t="s">
        <v>172</v>
      </c>
      <c r="B26" s="104">
        <v>-255106</v>
      </c>
      <c r="C26" s="104">
        <v>-91179.342859999248</v>
      </c>
      <c r="D26" s="104">
        <v>-163926.65714000075</v>
      </c>
      <c r="E26" s="198">
        <v>-201234.88000000073</v>
      </c>
      <c r="F26" s="119">
        <v>110055.53714000148</v>
      </c>
      <c r="G26" s="56"/>
      <c r="H26" s="86"/>
      <c r="I26" s="88"/>
      <c r="J26" s="88"/>
      <c r="K26" s="88"/>
      <c r="L26" s="67"/>
      <c r="M26" s="82"/>
      <c r="N26" s="83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</row>
    <row r="27" spans="1:61" s="85" customFormat="1" ht="24" customHeight="1">
      <c r="A27" s="103" t="s">
        <v>173</v>
      </c>
      <c r="B27" s="104">
        <v>-113800.20000000056</v>
      </c>
      <c r="C27" s="104">
        <v>-82289.649999998132</v>
      </c>
      <c r="D27" s="104">
        <v>-31510.550000002433</v>
      </c>
      <c r="E27" s="198">
        <v>-135614.90000000224</v>
      </c>
      <c r="F27" s="121">
        <v>53325.250000004104</v>
      </c>
      <c r="G27" s="56"/>
      <c r="H27" s="86"/>
      <c r="I27" s="88"/>
      <c r="J27" s="88"/>
      <c r="K27" s="88"/>
      <c r="L27" s="64"/>
      <c r="M27" s="82"/>
      <c r="N27" s="8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</row>
    <row r="28" spans="1:61" s="85" customFormat="1" ht="24" customHeight="1">
      <c r="A28" s="103" t="s">
        <v>176</v>
      </c>
      <c r="B28" s="104">
        <v>1869.900000000518</v>
      </c>
      <c r="C28" s="104">
        <v>920.09999999997672</v>
      </c>
      <c r="D28" s="104">
        <v>949.80000000054133</v>
      </c>
      <c r="E28" s="198">
        <v>106.60000000038417</v>
      </c>
      <c r="F28" s="119">
        <v>813.49999999959255</v>
      </c>
      <c r="G28" s="56"/>
      <c r="H28" s="86"/>
      <c r="I28" s="88"/>
      <c r="J28" s="88"/>
      <c r="K28" s="88"/>
      <c r="L28" s="67"/>
      <c r="M28" s="82"/>
      <c r="N28" s="83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</row>
    <row r="29" spans="1:61" s="85" customFormat="1" ht="24" customHeight="1">
      <c r="A29" s="103" t="s">
        <v>177</v>
      </c>
      <c r="B29" s="104">
        <v>-17647.199999999713</v>
      </c>
      <c r="C29" s="104">
        <v>3660.2390000004598</v>
      </c>
      <c r="D29" s="104">
        <v>-21307.439000000173</v>
      </c>
      <c r="E29" s="198">
        <v>-18939.791000000056</v>
      </c>
      <c r="F29" s="121">
        <v>22600.030000000515</v>
      </c>
      <c r="G29" s="56"/>
      <c r="H29" s="86"/>
      <c r="I29" s="88"/>
      <c r="J29" s="88"/>
      <c r="K29" s="88"/>
      <c r="L29" s="67"/>
      <c r="M29" s="82"/>
      <c r="N29" s="83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</row>
    <row r="30" spans="1:61" s="85" customFormat="1" ht="24" customHeight="1">
      <c r="A30" s="103" t="s">
        <v>178</v>
      </c>
      <c r="B30" s="104">
        <v>-641602.81299999892</v>
      </c>
      <c r="C30" s="104">
        <v>368272.17900000024</v>
      </c>
      <c r="D30" s="104">
        <v>1009874.9919999992</v>
      </c>
      <c r="E30" s="198">
        <v>66314.610005600262</v>
      </c>
      <c r="F30" s="119">
        <v>-301957.56899439998</v>
      </c>
      <c r="G30" s="56"/>
      <c r="H30" s="86"/>
      <c r="I30" s="88"/>
      <c r="J30" s="88"/>
      <c r="K30" s="88"/>
      <c r="L30" s="64"/>
      <c r="M30" s="64"/>
      <c r="N30" s="83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</row>
    <row r="31" spans="1:61" s="85" customFormat="1" ht="24" customHeight="1">
      <c r="A31" s="103" t="s">
        <v>186</v>
      </c>
      <c r="B31" s="104">
        <v>-1821.6000000000495</v>
      </c>
      <c r="C31" s="104">
        <v>-1665.0813699999053</v>
      </c>
      <c r="D31" s="104">
        <v>-156.51863000014419</v>
      </c>
      <c r="E31" s="198">
        <v>-354</v>
      </c>
      <c r="F31" s="121">
        <v>-1311.0813699999053</v>
      </c>
      <c r="G31" s="56"/>
      <c r="H31" s="86"/>
      <c r="I31" s="88"/>
      <c r="J31" s="88"/>
      <c r="K31" s="88"/>
      <c r="L31" s="67"/>
      <c r="M31" s="82"/>
      <c r="N31" s="83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</row>
    <row r="32" spans="1:61" s="84" customFormat="1" ht="26.25" customHeight="1">
      <c r="A32" s="108" t="s">
        <v>189</v>
      </c>
      <c r="B32" s="109">
        <v>-2400678.0221699998</v>
      </c>
      <c r="C32" s="109">
        <v>-1023643.8401399964</v>
      </c>
      <c r="D32" s="109">
        <v>1377034.1820300035</v>
      </c>
      <c r="E32" s="110">
        <v>-1795251.492644405</v>
      </c>
      <c r="F32" s="111">
        <v>-771607.65250440862</v>
      </c>
      <c r="G32" s="83"/>
      <c r="H32" s="86"/>
      <c r="I32" s="88"/>
      <c r="J32" s="88"/>
      <c r="K32" s="88"/>
      <c r="L32" s="67"/>
      <c r="M32" s="82"/>
      <c r="N32" s="83"/>
    </row>
    <row r="33" spans="1:14" s="84" customFormat="1" ht="20.25" customHeight="1" thickBot="1">
      <c r="A33" s="114" t="s">
        <v>8</v>
      </c>
      <c r="B33" s="106"/>
      <c r="C33" s="106"/>
      <c r="D33" s="113" t="s">
        <v>9</v>
      </c>
      <c r="E33" s="112"/>
      <c r="F33" s="107"/>
      <c r="G33" s="83"/>
      <c r="H33" s="96"/>
      <c r="I33" s="81"/>
      <c r="J33" s="81"/>
      <c r="K33" s="81"/>
      <c r="L33" s="81"/>
      <c r="M33" s="82"/>
      <c r="N33" s="83"/>
    </row>
    <row r="34" spans="1:14" ht="17" thickTop="1">
      <c r="A34" s="208" t="s">
        <v>218</v>
      </c>
      <c r="B34" s="91"/>
      <c r="C34" s="91"/>
      <c r="D34" s="91"/>
      <c r="E34" s="97"/>
      <c r="F34" s="91"/>
      <c r="I34" s="81"/>
      <c r="J34" s="81"/>
      <c r="K34" s="81"/>
      <c r="L34" s="81"/>
      <c r="M34" s="81"/>
    </row>
    <row r="35" spans="1:14">
      <c r="A35" s="149"/>
      <c r="B35" s="92"/>
      <c r="C35" s="92"/>
      <c r="D35" s="92"/>
      <c r="E35" s="65"/>
      <c r="F35" s="92"/>
      <c r="I35" s="49"/>
      <c r="J35" s="49"/>
      <c r="K35" s="49"/>
      <c r="L35" s="49"/>
      <c r="M35" s="49"/>
    </row>
    <row r="36" spans="1:14">
      <c r="A36" s="150"/>
      <c r="B36" s="92"/>
      <c r="C36" s="92"/>
      <c r="D36" s="92"/>
      <c r="E36" s="65"/>
      <c r="F36" s="92"/>
      <c r="H36" s="99"/>
    </row>
    <row r="37" spans="1:14">
      <c r="B37" s="92"/>
      <c r="C37" s="92"/>
      <c r="D37" s="92"/>
      <c r="E37" s="65"/>
      <c r="F37" s="92"/>
    </row>
    <row r="38" spans="1:14">
      <c r="B38" s="92"/>
      <c r="C38" s="92"/>
      <c r="D38" s="92"/>
      <c r="E38" s="65"/>
      <c r="F38" s="92"/>
    </row>
    <row r="39" spans="1:14">
      <c r="B39" s="92"/>
      <c r="C39" s="92"/>
      <c r="D39" s="92"/>
      <c r="E39" s="65"/>
      <c r="F39" s="92"/>
    </row>
    <row r="40" spans="1:14">
      <c r="A40" s="93"/>
      <c r="B40" s="92"/>
      <c r="C40" s="92"/>
      <c r="D40" s="92"/>
      <c r="E40" s="65"/>
      <c r="F40" s="92"/>
    </row>
    <row r="41" spans="1:14">
      <c r="A41" s="93"/>
      <c r="B41" s="92"/>
      <c r="C41" s="92"/>
      <c r="D41" s="92"/>
      <c r="E41" s="65"/>
      <c r="F41" s="92"/>
    </row>
    <row r="42" spans="1:14">
      <c r="B42" s="92"/>
      <c r="C42" s="92"/>
      <c r="D42" s="92"/>
      <c r="E42" s="65"/>
      <c r="F42" s="92"/>
    </row>
    <row r="43" spans="1:14">
      <c r="A43" s="93"/>
      <c r="B43" s="92"/>
      <c r="C43" s="92"/>
      <c r="D43" s="92"/>
      <c r="E43" s="65"/>
      <c r="F43" s="92"/>
    </row>
    <row r="44" spans="1:14">
      <c r="B44" s="92"/>
      <c r="C44" s="92"/>
      <c r="D44" s="92"/>
      <c r="E44" s="65"/>
      <c r="F44" s="92"/>
      <c r="H44" s="99"/>
    </row>
    <row r="45" spans="1:14">
      <c r="B45" s="92"/>
      <c r="C45" s="92"/>
      <c r="D45" s="92"/>
      <c r="E45" s="65"/>
      <c r="F45" s="92"/>
      <c r="H45" s="99"/>
    </row>
    <row r="46" spans="1:14">
      <c r="B46" s="92"/>
      <c r="C46" s="92"/>
      <c r="D46" s="92"/>
      <c r="E46" s="65"/>
      <c r="F46" s="92"/>
      <c r="H46" s="99"/>
    </row>
    <row r="47" spans="1:14">
      <c r="B47" s="92"/>
      <c r="C47" s="92"/>
      <c r="D47" s="92"/>
      <c r="E47" s="65"/>
      <c r="F47" s="92"/>
    </row>
    <row r="48" spans="1:14">
      <c r="B48" s="92"/>
      <c r="C48" s="92"/>
      <c r="D48" s="92"/>
      <c r="E48" s="65"/>
      <c r="F48" s="92"/>
    </row>
    <row r="49" spans="1:6">
      <c r="A49" s="93"/>
      <c r="B49" s="92"/>
      <c r="C49" s="92"/>
      <c r="D49" s="92"/>
      <c r="E49" s="65"/>
      <c r="F49" s="92"/>
    </row>
    <row r="50" spans="1:6">
      <c r="A50" s="93"/>
      <c r="B50" s="92"/>
      <c r="C50" s="92"/>
      <c r="D50" s="92"/>
      <c r="E50" s="65"/>
      <c r="F50" s="92"/>
    </row>
    <row r="51" spans="1:6">
      <c r="A51" s="93"/>
      <c r="B51" s="92"/>
      <c r="C51" s="92"/>
      <c r="D51" s="92"/>
      <c r="E51" s="65"/>
      <c r="F51" s="92"/>
    </row>
    <row r="52" spans="1:6">
      <c r="B52" s="92"/>
      <c r="C52" s="92"/>
      <c r="D52" s="92"/>
      <c r="E52" s="65"/>
      <c r="F52" s="92"/>
    </row>
    <row r="53" spans="1:6">
      <c r="B53" s="92"/>
      <c r="C53" s="92"/>
      <c r="D53" s="92"/>
      <c r="E53" s="65"/>
      <c r="F53" s="92"/>
    </row>
    <row r="54" spans="1:6">
      <c r="B54" s="92"/>
      <c r="C54" s="92"/>
      <c r="D54" s="92"/>
      <c r="E54" s="65"/>
      <c r="F54" s="92"/>
    </row>
    <row r="55" spans="1:6">
      <c r="B55" s="92"/>
      <c r="C55" s="92"/>
      <c r="D55" s="92"/>
      <c r="E55" s="65"/>
      <c r="F55" s="92"/>
    </row>
    <row r="56" spans="1:6">
      <c r="B56" s="92"/>
      <c r="C56" s="92"/>
      <c r="D56" s="92"/>
      <c r="E56" s="65"/>
      <c r="F56" s="92"/>
    </row>
    <row r="57" spans="1:6">
      <c r="B57" s="92"/>
      <c r="C57" s="92"/>
      <c r="D57" s="92"/>
      <c r="E57" s="65"/>
      <c r="F57" s="92"/>
    </row>
    <row r="58" spans="1:6">
      <c r="B58" s="92"/>
      <c r="C58" s="92"/>
      <c r="D58" s="92"/>
      <c r="E58" s="65"/>
      <c r="F58" s="92"/>
    </row>
    <row r="59" spans="1:6">
      <c r="B59" s="92"/>
      <c r="C59" s="92"/>
      <c r="D59" s="92"/>
      <c r="E59" s="65"/>
      <c r="F59" s="92"/>
    </row>
    <row r="60" spans="1:6">
      <c r="B60" s="92"/>
      <c r="C60" s="92"/>
      <c r="D60" s="92"/>
      <c r="E60" s="65"/>
      <c r="F60" s="92"/>
    </row>
    <row r="61" spans="1:6">
      <c r="B61" s="92"/>
      <c r="C61" s="92"/>
      <c r="D61" s="92"/>
      <c r="E61" s="65"/>
      <c r="F61" s="92"/>
    </row>
    <row r="62" spans="1:6">
      <c r="A62" s="93"/>
      <c r="B62" s="92"/>
      <c r="C62" s="92"/>
      <c r="D62" s="92"/>
      <c r="E62" s="65"/>
      <c r="F62" s="92"/>
    </row>
  </sheetData>
  <mergeCells count="1">
    <mergeCell ref="A1:F1"/>
  </mergeCells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I56"/>
  <sheetViews>
    <sheetView zoomScaleNormal="100" workbookViewId="0"/>
  </sheetViews>
  <sheetFormatPr baseColWidth="10" defaultRowHeight="16"/>
  <cols>
    <col min="1" max="1" width="22.5" style="90" customWidth="1"/>
    <col min="2" max="3" width="15.33203125" style="94" customWidth="1"/>
    <col min="4" max="4" width="15.5" style="94" customWidth="1"/>
    <col min="5" max="5" width="15.33203125" style="94" customWidth="1"/>
    <col min="6" max="6" width="15.33203125" style="102" customWidth="1"/>
    <col min="7" max="7" width="11.5" style="71" customWidth="1"/>
    <col min="8" max="8" width="25.6640625" style="77" customWidth="1"/>
    <col min="9" max="9" width="14.83203125" style="77" customWidth="1"/>
    <col min="10" max="10" width="16.6640625" style="77" customWidth="1"/>
    <col min="11" max="11" width="18.6640625" style="77" customWidth="1"/>
    <col min="12" max="12" width="13.6640625" style="77" customWidth="1"/>
    <col min="13" max="13" width="13.6640625" style="77" hidden="1" customWidth="1"/>
    <col min="14" max="14" width="13.5" style="77" customWidth="1"/>
    <col min="15" max="61" width="11.5" style="55" customWidth="1"/>
  </cols>
  <sheetData>
    <row r="1" spans="1:61" s="75" customFormat="1" ht="37.5" customHeight="1">
      <c r="A1" s="614" t="s">
        <v>15</v>
      </c>
      <c r="B1" s="615"/>
      <c r="C1" s="615"/>
      <c r="D1" s="615"/>
      <c r="E1" s="615"/>
      <c r="F1" s="615"/>
      <c r="G1" s="72"/>
      <c r="H1" s="73"/>
      <c r="I1" s="73"/>
      <c r="J1" s="73"/>
      <c r="K1" s="73"/>
      <c r="L1" s="73"/>
      <c r="M1" s="73"/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</row>
    <row r="2" spans="1:61" ht="15" customHeight="1">
      <c r="A2" s="219" t="s">
        <v>2</v>
      </c>
      <c r="B2" s="220" t="s">
        <v>24</v>
      </c>
      <c r="C2" s="220" t="s">
        <v>22</v>
      </c>
      <c r="D2" s="220" t="s">
        <v>215</v>
      </c>
      <c r="E2" s="220" t="s">
        <v>24</v>
      </c>
      <c r="F2" s="221" t="s">
        <v>215</v>
      </c>
      <c r="H2" s="44"/>
      <c r="I2" s="44"/>
      <c r="J2" s="44"/>
      <c r="K2" s="44"/>
      <c r="L2" s="44"/>
      <c r="M2" s="44"/>
    </row>
    <row r="3" spans="1:61" ht="14">
      <c r="A3" s="222" t="s">
        <v>1</v>
      </c>
      <c r="B3" s="116" t="s">
        <v>105</v>
      </c>
      <c r="C3" s="116" t="s">
        <v>115</v>
      </c>
      <c r="D3" s="126" t="s">
        <v>216</v>
      </c>
      <c r="E3" s="116" t="s">
        <v>105</v>
      </c>
      <c r="F3" s="223" t="s">
        <v>217</v>
      </c>
      <c r="H3" s="44"/>
      <c r="I3" s="44"/>
      <c r="J3" s="44"/>
      <c r="K3" s="44"/>
      <c r="L3" s="44"/>
      <c r="M3" s="44"/>
    </row>
    <row r="4" spans="1:61" ht="13">
      <c r="A4" s="225">
        <v>0</v>
      </c>
      <c r="B4" s="127">
        <v>2012</v>
      </c>
      <c r="C4" s="127">
        <v>2012</v>
      </c>
      <c r="D4" s="162">
        <v>0</v>
      </c>
      <c r="E4" s="127">
        <v>2013</v>
      </c>
      <c r="F4" s="236">
        <v>0</v>
      </c>
      <c r="H4" s="44"/>
      <c r="I4" s="44"/>
      <c r="J4" s="44"/>
      <c r="K4" s="44"/>
      <c r="L4" s="44"/>
      <c r="M4" s="44"/>
    </row>
    <row r="5" spans="1:61" s="85" customFormat="1" ht="27" customHeight="1">
      <c r="A5" s="224" t="s">
        <v>16</v>
      </c>
      <c r="B5" s="163">
        <v>0</v>
      </c>
      <c r="C5" s="164">
        <v>0</v>
      </c>
      <c r="D5" s="160">
        <v>0</v>
      </c>
      <c r="E5" s="130" t="s">
        <v>102</v>
      </c>
      <c r="F5" s="226">
        <v>0</v>
      </c>
      <c r="G5" s="56"/>
      <c r="H5" s="81"/>
      <c r="I5" s="44"/>
      <c r="J5" s="81"/>
      <c r="K5" s="81"/>
      <c r="L5" s="81"/>
      <c r="M5" s="82"/>
      <c r="N5" s="83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</row>
    <row r="6" spans="1:61" s="85" customFormat="1" ht="24" customHeight="1">
      <c r="A6" s="125" t="s">
        <v>21</v>
      </c>
      <c r="B6" s="209">
        <v>0.34051007398441785</v>
      </c>
      <c r="C6" s="209">
        <v>1.3726023073259401</v>
      </c>
      <c r="D6" s="122">
        <v>1.0320922333415223</v>
      </c>
      <c r="E6" s="209">
        <v>0.7278002155898643</v>
      </c>
      <c r="F6" s="210">
        <v>-0.64480209173607583</v>
      </c>
      <c r="G6" s="56"/>
      <c r="H6" s="81"/>
      <c r="I6" s="88"/>
      <c r="J6" s="88"/>
      <c r="K6" s="88"/>
      <c r="L6" s="67"/>
      <c r="M6" s="82"/>
      <c r="N6" s="83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</row>
    <row r="7" spans="1:61" s="85" customFormat="1" ht="24" customHeight="1">
      <c r="A7" s="125" t="s">
        <v>101</v>
      </c>
      <c r="B7" s="123">
        <v>1.0790704999198206</v>
      </c>
      <c r="C7" s="123">
        <v>0.48720097301008591</v>
      </c>
      <c r="D7" s="123">
        <v>-0.59186952690973471</v>
      </c>
      <c r="E7" s="124">
        <v>1.0872751711508912</v>
      </c>
      <c r="F7" s="211">
        <v>0.60007419814080531</v>
      </c>
      <c r="G7" s="56"/>
      <c r="H7" s="81"/>
      <c r="I7" s="88"/>
      <c r="J7" s="88"/>
      <c r="K7" s="88"/>
      <c r="L7" s="64"/>
      <c r="M7" s="82"/>
      <c r="N7" s="83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</row>
    <row r="8" spans="1:61" s="85" customFormat="1" ht="24" customHeight="1">
      <c r="A8" s="125" t="s">
        <v>104</v>
      </c>
      <c r="B8" s="123">
        <v>0.81380219780997198</v>
      </c>
      <c r="C8" s="123">
        <v>0.57264628652367311</v>
      </c>
      <c r="D8" s="123">
        <v>-0.24115591128629887</v>
      </c>
      <c r="E8" s="212">
        <v>0.91336188698215981</v>
      </c>
      <c r="F8" s="210">
        <v>0.3407156004584867</v>
      </c>
      <c r="G8" s="56"/>
      <c r="H8" s="81"/>
      <c r="I8" s="88"/>
      <c r="J8" s="88"/>
      <c r="K8" s="88"/>
      <c r="L8" s="67"/>
      <c r="M8" s="82"/>
      <c r="N8" s="83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</row>
    <row r="9" spans="1:61" s="85" customFormat="1" ht="24" customHeight="1">
      <c r="A9" s="125" t="s">
        <v>106</v>
      </c>
      <c r="B9" s="123">
        <v>0.50888583823170586</v>
      </c>
      <c r="C9" s="123">
        <v>0.84030927076619999</v>
      </c>
      <c r="D9" s="123">
        <v>0.33142343253449413</v>
      </c>
      <c r="E9" s="212">
        <v>0.55891867681182972</v>
      </c>
      <c r="F9" s="211">
        <v>-0.28139059395437027</v>
      </c>
      <c r="G9" s="56"/>
      <c r="H9" s="81"/>
      <c r="I9" s="88"/>
      <c r="J9" s="88"/>
      <c r="K9" s="88"/>
      <c r="L9" s="67"/>
      <c r="M9" s="82"/>
      <c r="N9" s="83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</row>
    <row r="10" spans="1:61" s="85" customFormat="1" ht="24" customHeight="1">
      <c r="A10" s="125" t="s">
        <v>107</v>
      </c>
      <c r="B10" s="123" t="s">
        <v>100</v>
      </c>
      <c r="C10" s="123" t="s">
        <v>100</v>
      </c>
      <c r="D10" s="124" t="s">
        <v>219</v>
      </c>
      <c r="E10" s="123" t="s">
        <v>100</v>
      </c>
      <c r="F10" s="213" t="s">
        <v>219</v>
      </c>
      <c r="G10" s="56"/>
      <c r="H10" s="81"/>
      <c r="I10" s="88"/>
      <c r="J10" s="88"/>
      <c r="K10" s="88"/>
      <c r="L10" s="67"/>
      <c r="M10" s="82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</row>
    <row r="11" spans="1:61" s="85" customFormat="1" ht="24" customHeight="1">
      <c r="A11" s="125" t="s">
        <v>108</v>
      </c>
      <c r="B11" s="123" t="s">
        <v>100</v>
      </c>
      <c r="C11" s="123">
        <v>0.26961496975097315</v>
      </c>
      <c r="D11" s="123">
        <v>0.27229888350632558</v>
      </c>
      <c r="E11" s="123">
        <v>6.9651394074746131E-2</v>
      </c>
      <c r="F11" s="211">
        <v>-0.19996357567622702</v>
      </c>
      <c r="G11" s="56"/>
      <c r="H11" s="81"/>
      <c r="I11" s="88"/>
      <c r="J11" s="88"/>
      <c r="K11" s="88"/>
      <c r="L11" s="67"/>
      <c r="M11" s="82"/>
      <c r="N11" s="83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</row>
    <row r="12" spans="1:61" s="85" customFormat="1" ht="24" customHeight="1">
      <c r="A12" s="125" t="s">
        <v>109</v>
      </c>
      <c r="B12" s="212">
        <v>0.45796413502109579</v>
      </c>
      <c r="C12" s="212">
        <v>0.6301995144282907</v>
      </c>
      <c r="D12" s="123">
        <v>0.17223537940719491</v>
      </c>
      <c r="E12" s="212">
        <v>0.61047075952438523</v>
      </c>
      <c r="F12" s="210">
        <v>-1.9728754903905465E-2</v>
      </c>
      <c r="G12" s="56"/>
      <c r="H12" s="81"/>
      <c r="I12" s="88"/>
      <c r="J12" s="88"/>
      <c r="K12" s="88"/>
      <c r="L12" s="67"/>
      <c r="M12" s="82"/>
      <c r="N12" s="83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</row>
    <row r="13" spans="1:61" s="85" customFormat="1" ht="24" customHeight="1">
      <c r="A13" s="125" t="s">
        <v>110</v>
      </c>
      <c r="B13" s="212">
        <v>0.85060469659715987</v>
      </c>
      <c r="C13" s="212">
        <v>1.4896788906732439</v>
      </c>
      <c r="D13" s="124">
        <v>0.63907419407608401</v>
      </c>
      <c r="E13" s="212">
        <v>0.66601970997027993</v>
      </c>
      <c r="F13" s="213">
        <v>-0.82365918070296396</v>
      </c>
      <c r="G13" s="56"/>
      <c r="H13" s="81"/>
      <c r="I13" s="88"/>
      <c r="J13" s="88"/>
      <c r="K13" s="88"/>
      <c r="L13" s="67"/>
      <c r="M13" s="82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</row>
    <row r="14" spans="1:61" s="85" customFormat="1" ht="24" customHeight="1">
      <c r="A14" s="125" t="s">
        <v>111</v>
      </c>
      <c r="B14" s="123">
        <v>0.85178332732126794</v>
      </c>
      <c r="C14" s="123">
        <v>1.0553380808500601</v>
      </c>
      <c r="D14" s="123">
        <v>0.20355475352879215</v>
      </c>
      <c r="E14" s="212">
        <v>0.14199987501642805</v>
      </c>
      <c r="F14" s="210">
        <v>-0.91333820583363201</v>
      </c>
      <c r="G14" s="56"/>
      <c r="H14" s="81"/>
      <c r="I14" s="88"/>
      <c r="J14" s="88"/>
      <c r="K14" s="88"/>
      <c r="L14" s="67"/>
      <c r="M14" s="82"/>
      <c r="N14" s="8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</row>
    <row r="15" spans="1:61" s="85" customFormat="1" ht="24" customHeight="1">
      <c r="A15" s="125" t="s">
        <v>114</v>
      </c>
      <c r="B15" s="212">
        <v>1.8236500637934778</v>
      </c>
      <c r="C15" s="212">
        <v>1.0316470577596173</v>
      </c>
      <c r="D15" s="123">
        <v>-0.79200300603386053</v>
      </c>
      <c r="E15" s="212">
        <v>0.2207597942734712</v>
      </c>
      <c r="F15" s="211">
        <v>-0.81088726348614615</v>
      </c>
      <c r="G15" s="56"/>
      <c r="H15" s="81"/>
      <c r="I15" s="88"/>
      <c r="J15" s="88"/>
      <c r="K15" s="88"/>
      <c r="L15" s="67"/>
      <c r="M15" s="82"/>
      <c r="N15" s="8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</row>
    <row r="16" spans="1:61" s="85" customFormat="1" ht="24" customHeight="1">
      <c r="A16" s="125" t="s">
        <v>159</v>
      </c>
      <c r="B16" s="123" t="s">
        <v>100</v>
      </c>
      <c r="C16" s="123" t="s">
        <v>100</v>
      </c>
      <c r="D16" s="123" t="s">
        <v>0</v>
      </c>
      <c r="E16" s="214" t="s">
        <v>100</v>
      </c>
      <c r="F16" s="210" t="s">
        <v>219</v>
      </c>
      <c r="G16" s="56"/>
      <c r="H16" s="81"/>
      <c r="I16" s="88"/>
      <c r="J16" s="88"/>
      <c r="K16" s="88"/>
      <c r="L16" s="64"/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</row>
    <row r="17" spans="1:61" s="85" customFormat="1" ht="24" customHeight="1">
      <c r="A17" s="125" t="s">
        <v>162</v>
      </c>
      <c r="B17" s="123">
        <v>0.62517335603112822</v>
      </c>
      <c r="C17" s="123">
        <v>0.52964717079723778</v>
      </c>
      <c r="D17" s="123">
        <v>-9.5526185233890448E-2</v>
      </c>
      <c r="E17" s="124">
        <v>0.38282757409428414</v>
      </c>
      <c r="F17" s="211">
        <v>-0.14681959670295364</v>
      </c>
      <c r="G17" s="56"/>
      <c r="H17" s="81"/>
      <c r="I17" s="88"/>
      <c r="J17" s="88"/>
      <c r="K17" s="88"/>
      <c r="L17" s="64"/>
      <c r="M17" s="82"/>
      <c r="N17" s="83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</row>
    <row r="18" spans="1:61" s="85" customFormat="1" ht="24" customHeight="1">
      <c r="A18" s="125" t="s">
        <v>163</v>
      </c>
      <c r="B18" s="212" t="s">
        <v>100</v>
      </c>
      <c r="C18" s="212" t="s">
        <v>100</v>
      </c>
      <c r="D18" s="123" t="s">
        <v>0</v>
      </c>
      <c r="E18" s="212" t="s">
        <v>100</v>
      </c>
      <c r="F18" s="210" t="s">
        <v>219</v>
      </c>
      <c r="G18" s="56"/>
      <c r="H18" s="81"/>
      <c r="I18" s="88"/>
      <c r="J18" s="88"/>
      <c r="K18" s="88"/>
      <c r="L18" s="67"/>
      <c r="M18" s="82"/>
      <c r="N18" s="83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</row>
    <row r="19" spans="1:61" s="85" customFormat="1" ht="24" customHeight="1">
      <c r="A19" s="125" t="s">
        <v>164</v>
      </c>
      <c r="B19" s="123" t="s">
        <v>100</v>
      </c>
      <c r="C19" s="123" t="s">
        <v>100</v>
      </c>
      <c r="D19" s="123" t="s">
        <v>0</v>
      </c>
      <c r="E19" s="123" t="s">
        <v>100</v>
      </c>
      <c r="F19" s="211" t="s">
        <v>219</v>
      </c>
      <c r="G19" s="56"/>
      <c r="H19" s="81"/>
      <c r="I19" s="88"/>
      <c r="J19" s="88"/>
      <c r="K19" s="88"/>
      <c r="L19" s="67"/>
      <c r="M19" s="82"/>
      <c r="N19" s="83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</row>
    <row r="20" spans="1:61" s="85" customFormat="1" ht="24" customHeight="1">
      <c r="A20" s="125" t="s">
        <v>165</v>
      </c>
      <c r="B20" s="123">
        <v>0.4157187901436421</v>
      </c>
      <c r="C20" s="123">
        <v>7.2480995542834256E-2</v>
      </c>
      <c r="D20" s="124">
        <v>-0.34323779460080783</v>
      </c>
      <c r="E20" s="123">
        <v>0.26106509781901382</v>
      </c>
      <c r="F20" s="210">
        <v>0.18858410227617955</v>
      </c>
      <c r="G20" s="56"/>
      <c r="H20" s="81"/>
      <c r="I20" s="88"/>
      <c r="J20" s="88"/>
      <c r="K20" s="88"/>
      <c r="L20" s="67"/>
      <c r="M20" s="82"/>
      <c r="N20" s="8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</row>
    <row r="21" spans="1:61" s="85" customFormat="1" ht="24" customHeight="1">
      <c r="A21" s="125" t="s">
        <v>166</v>
      </c>
      <c r="B21" s="123" t="s">
        <v>100</v>
      </c>
      <c r="C21" s="123">
        <v>0.5851277055549936</v>
      </c>
      <c r="D21" s="123" t="s">
        <v>219</v>
      </c>
      <c r="E21" s="123" t="s">
        <v>100</v>
      </c>
      <c r="F21" s="213" t="s">
        <v>219</v>
      </c>
      <c r="G21" s="56"/>
      <c r="H21" s="81"/>
      <c r="I21" s="88"/>
      <c r="J21" s="88"/>
      <c r="K21" s="88"/>
      <c r="L21" s="67"/>
      <c r="M21" s="82"/>
      <c r="N21" s="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</row>
    <row r="22" spans="1:61" s="85" customFormat="1" ht="24" customHeight="1">
      <c r="A22" s="125" t="s">
        <v>167</v>
      </c>
      <c r="B22" s="123">
        <v>0.44158767705404217</v>
      </c>
      <c r="C22" s="123">
        <v>0.54282906815380927</v>
      </c>
      <c r="D22" s="123">
        <v>0.1012413910997671</v>
      </c>
      <c r="E22" s="123">
        <v>0.51583117076459961</v>
      </c>
      <c r="F22" s="210">
        <v>-2.6997897389209657E-2</v>
      </c>
      <c r="G22" s="56"/>
      <c r="H22" s="81"/>
      <c r="I22" s="88"/>
      <c r="J22" s="88"/>
      <c r="K22" s="88"/>
      <c r="L22" s="67"/>
      <c r="M22" s="82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</row>
    <row r="23" spans="1:61" s="85" customFormat="1" ht="24" customHeight="1">
      <c r="A23" s="125" t="s">
        <v>168</v>
      </c>
      <c r="B23" s="123">
        <v>0.80076556000714527</v>
      </c>
      <c r="C23" s="123">
        <v>1.2708901773533425</v>
      </c>
      <c r="D23" s="123">
        <v>0.47012461734619726</v>
      </c>
      <c r="E23" s="123">
        <v>0.27876894340567293</v>
      </c>
      <c r="F23" s="211">
        <v>-0.9921212339476696</v>
      </c>
      <c r="G23" s="56"/>
      <c r="H23" s="81"/>
      <c r="I23" s="88"/>
      <c r="J23" s="88"/>
      <c r="K23" s="88"/>
      <c r="L23" s="67"/>
      <c r="M23" s="82"/>
      <c r="N23" s="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</row>
    <row r="24" spans="1:61" s="85" customFormat="1" ht="24" customHeight="1">
      <c r="A24" s="125" t="s">
        <v>169</v>
      </c>
      <c r="B24" s="123">
        <v>0.81279300000714461</v>
      </c>
      <c r="C24" s="123">
        <v>1.0553906886900055</v>
      </c>
      <c r="D24" s="123">
        <v>0.24259768868286091</v>
      </c>
      <c r="E24" s="123">
        <v>1.0600616117643744</v>
      </c>
      <c r="F24" s="210">
        <v>4.6709230743688934E-3</v>
      </c>
      <c r="G24" s="56"/>
      <c r="H24" s="81"/>
      <c r="I24" s="88"/>
      <c r="J24" s="88"/>
      <c r="K24" s="88"/>
      <c r="L24" s="67"/>
      <c r="M24" s="82"/>
      <c r="N24" s="83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</row>
    <row r="25" spans="1:61" s="85" customFormat="1" ht="24" customHeight="1">
      <c r="A25" s="125" t="s">
        <v>170</v>
      </c>
      <c r="B25" s="123">
        <v>0.81380219780997198</v>
      </c>
      <c r="C25" s="123" t="s">
        <v>100</v>
      </c>
      <c r="D25" s="123" t="s">
        <v>219</v>
      </c>
      <c r="E25" s="212">
        <v>0.17974612760722475</v>
      </c>
      <c r="F25" s="598" t="s">
        <v>219</v>
      </c>
      <c r="G25" s="56"/>
      <c r="H25" s="81"/>
      <c r="I25" s="88"/>
      <c r="J25" s="88"/>
      <c r="K25" s="88"/>
      <c r="L25" s="67"/>
      <c r="M25" s="82"/>
      <c r="N25" s="83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</row>
    <row r="26" spans="1:61" s="85" customFormat="1" ht="24" customHeight="1">
      <c r="A26" s="125" t="s">
        <v>172</v>
      </c>
      <c r="B26" s="123" t="s">
        <v>100</v>
      </c>
      <c r="C26" s="123">
        <v>0.49143185732548106</v>
      </c>
      <c r="D26" s="124" t="s">
        <v>219</v>
      </c>
      <c r="E26" s="123">
        <v>0.10001323806695274</v>
      </c>
      <c r="F26" s="215">
        <v>-0.39141861925852833</v>
      </c>
      <c r="G26" s="56"/>
      <c r="H26" s="81"/>
      <c r="I26" s="88"/>
      <c r="J26" s="88"/>
      <c r="K26" s="88"/>
      <c r="L26" s="67"/>
      <c r="M26" s="82"/>
      <c r="N26" s="83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</row>
    <row r="27" spans="1:61" s="85" customFormat="1" ht="24" customHeight="1">
      <c r="A27" s="125" t="s">
        <v>173</v>
      </c>
      <c r="B27" s="123">
        <v>0.62066599999999816</v>
      </c>
      <c r="C27" s="123">
        <v>0.68090934824420624</v>
      </c>
      <c r="D27" s="123">
        <v>6.0243348244208073E-2</v>
      </c>
      <c r="E27" s="124">
        <v>0.57739202243688925</v>
      </c>
      <c r="F27" s="213">
        <v>-0.10351732580731698</v>
      </c>
      <c r="G27" s="56"/>
      <c r="H27" s="81"/>
      <c r="I27" s="88"/>
      <c r="J27" s="88"/>
      <c r="K27" s="88"/>
      <c r="L27" s="64"/>
      <c r="M27" s="82"/>
      <c r="N27" s="8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</row>
    <row r="28" spans="1:61" s="85" customFormat="1" ht="24" customHeight="1">
      <c r="A28" s="125" t="s">
        <v>176</v>
      </c>
      <c r="B28" s="123">
        <v>1.0102352313313383</v>
      </c>
      <c r="C28" s="123">
        <v>1.0050806212482721</v>
      </c>
      <c r="D28" s="123">
        <v>-5.154610083066169E-3</v>
      </c>
      <c r="E28" s="123">
        <v>1.0006004432916256</v>
      </c>
      <c r="F28" s="210">
        <v>-4.4801779566465694E-3</v>
      </c>
      <c r="G28" s="56"/>
      <c r="H28" s="81"/>
      <c r="I28" s="88"/>
      <c r="J28" s="88"/>
      <c r="K28" s="88"/>
      <c r="L28" s="67"/>
      <c r="M28" s="82"/>
      <c r="N28" s="83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</row>
    <row r="29" spans="1:61" s="85" customFormat="1" ht="24" customHeight="1">
      <c r="A29" s="125" t="s">
        <v>177</v>
      </c>
      <c r="B29" s="123">
        <v>0.70829290386354682</v>
      </c>
      <c r="C29" s="123">
        <v>1.0601755663696522</v>
      </c>
      <c r="D29" s="123">
        <v>0.35188266250610534</v>
      </c>
      <c r="E29" s="123">
        <v>0.70046479078167767</v>
      </c>
      <c r="F29" s="213">
        <v>-0.35971077558797449</v>
      </c>
      <c r="G29" s="56"/>
      <c r="H29" s="81"/>
      <c r="I29" s="88"/>
      <c r="J29" s="88"/>
      <c r="K29" s="88"/>
      <c r="L29" s="67"/>
      <c r="M29" s="82"/>
      <c r="N29" s="83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</row>
    <row r="30" spans="1:61" s="85" customFormat="1" ht="24" customHeight="1">
      <c r="A30" s="125" t="s">
        <v>178</v>
      </c>
      <c r="B30" s="123">
        <v>0.34104961975258485</v>
      </c>
      <c r="C30" s="123">
        <v>1.5127310932694067</v>
      </c>
      <c r="D30" s="123">
        <v>1.1716814735168217</v>
      </c>
      <c r="E30" s="124">
        <v>1.0900323189694865</v>
      </c>
      <c r="F30" s="215">
        <v>-0.4226987742999202</v>
      </c>
      <c r="G30" s="56"/>
      <c r="H30" s="81"/>
      <c r="I30" s="88"/>
      <c r="J30" s="88"/>
      <c r="K30" s="88"/>
      <c r="L30" s="64"/>
      <c r="M30" s="64"/>
      <c r="N30" s="83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</row>
    <row r="31" spans="1:61" s="85" customFormat="1" ht="24" customHeight="1">
      <c r="A31" s="227" t="s">
        <v>186</v>
      </c>
      <c r="B31" s="216">
        <v>0.9558742308996645</v>
      </c>
      <c r="C31" s="216">
        <v>0.95600014935013056</v>
      </c>
      <c r="D31" s="216">
        <v>1.2591845046605599E-4</v>
      </c>
      <c r="E31" s="217">
        <v>0.99077610960274731</v>
      </c>
      <c r="F31" s="218">
        <v>3.4775960252616755E-2</v>
      </c>
      <c r="G31" s="56"/>
      <c r="H31" s="81"/>
      <c r="I31" s="88"/>
      <c r="J31" s="88"/>
      <c r="K31" s="88"/>
      <c r="L31" s="67"/>
      <c r="M31" s="82"/>
      <c r="N31" s="83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</row>
    <row r="32" spans="1:61" s="84" customFormat="1" ht="19.5" customHeight="1">
      <c r="A32" s="228" t="s">
        <v>189</v>
      </c>
      <c r="B32" s="230">
        <f>'Ergebnisse Budgets 2012'!E35</f>
        <v>0.53449852948170729</v>
      </c>
      <c r="C32" s="230">
        <v>0.78464970262311162</v>
      </c>
      <c r="D32" s="231">
        <v>0.25015117314140434</v>
      </c>
      <c r="E32" s="230">
        <v>0.63642537933474874</v>
      </c>
      <c r="F32" s="232">
        <v>-0.14822432328836288</v>
      </c>
      <c r="G32" s="83"/>
      <c r="H32" s="81"/>
      <c r="I32" s="88"/>
      <c r="J32" s="88"/>
      <c r="K32" s="88"/>
      <c r="L32" s="67"/>
      <c r="M32" s="82"/>
      <c r="N32" s="83"/>
    </row>
    <row r="33" spans="1:14" s="84" customFormat="1" ht="3.75" customHeight="1">
      <c r="A33" s="154"/>
      <c r="B33" s="67"/>
      <c r="C33" s="67"/>
      <c r="D33" s="67"/>
      <c r="E33" s="67"/>
      <c r="F33" s="229"/>
      <c r="G33" s="83"/>
      <c r="H33" s="89"/>
      <c r="I33" s="81"/>
      <c r="J33" s="81"/>
      <c r="K33" s="81"/>
      <c r="L33" s="81"/>
      <c r="M33" s="82"/>
      <c r="N33" s="83"/>
    </row>
    <row r="34" spans="1:14" ht="3.75" customHeight="1">
      <c r="B34" s="91"/>
      <c r="C34" s="91"/>
      <c r="D34" s="91"/>
      <c r="E34" s="91"/>
      <c r="F34" s="101"/>
      <c r="I34" s="81"/>
      <c r="J34" s="81"/>
      <c r="K34" s="81"/>
      <c r="L34" s="81"/>
      <c r="M34" s="81"/>
    </row>
    <row r="35" spans="1:14">
      <c r="A35" s="4" t="s">
        <v>7</v>
      </c>
      <c r="B35" s="92"/>
      <c r="C35" s="92"/>
      <c r="D35" s="92"/>
      <c r="E35" s="92"/>
      <c r="F35" s="101"/>
      <c r="I35" s="49"/>
      <c r="J35" s="49"/>
      <c r="K35" s="49"/>
      <c r="L35" s="49"/>
      <c r="M35" s="49"/>
    </row>
    <row r="36" spans="1:14">
      <c r="A36" s="1" t="s">
        <v>17</v>
      </c>
      <c r="B36" s="92"/>
      <c r="C36" s="92"/>
      <c r="D36" s="92"/>
      <c r="E36" s="92"/>
      <c r="F36" s="101"/>
      <c r="H36" s="49"/>
    </row>
    <row r="37" spans="1:14">
      <c r="A37" s="233" t="s">
        <v>218</v>
      </c>
      <c r="B37" s="92"/>
      <c r="C37" s="92"/>
      <c r="D37" s="92"/>
      <c r="E37" s="92"/>
      <c r="F37" s="101"/>
    </row>
    <row r="38" spans="1:14">
      <c r="A38" s="93"/>
      <c r="B38" s="92"/>
      <c r="C38" s="92"/>
      <c r="D38" s="92"/>
      <c r="E38" s="92"/>
      <c r="F38" s="101"/>
    </row>
    <row r="39" spans="1:14">
      <c r="B39" s="92"/>
      <c r="C39" s="92"/>
      <c r="D39" s="92"/>
      <c r="E39" s="92"/>
      <c r="F39" s="101"/>
      <c r="H39" s="49"/>
    </row>
    <row r="40" spans="1:14">
      <c r="B40" s="92"/>
      <c r="C40" s="92"/>
      <c r="D40" s="92"/>
      <c r="E40" s="92"/>
      <c r="F40" s="101"/>
      <c r="H40" s="49"/>
    </row>
    <row r="41" spans="1:14">
      <c r="B41" s="92"/>
      <c r="C41" s="92"/>
      <c r="D41" s="92"/>
      <c r="E41" s="92"/>
      <c r="F41" s="101"/>
    </row>
    <row r="42" spans="1:14">
      <c r="B42" s="92"/>
      <c r="C42" s="92"/>
      <c r="D42" s="92"/>
      <c r="E42" s="92"/>
      <c r="F42" s="101"/>
    </row>
    <row r="43" spans="1:14">
      <c r="A43" s="93"/>
      <c r="B43" s="92"/>
      <c r="C43" s="92"/>
      <c r="D43" s="92"/>
      <c r="E43" s="92"/>
      <c r="F43" s="101"/>
    </row>
    <row r="44" spans="1:14">
      <c r="A44" s="93"/>
      <c r="B44" s="92"/>
      <c r="C44" s="92"/>
      <c r="D44" s="92"/>
      <c r="E44" s="92"/>
      <c r="F44" s="101"/>
    </row>
    <row r="45" spans="1:14">
      <c r="A45" s="93"/>
      <c r="B45" s="92"/>
      <c r="C45" s="92"/>
      <c r="D45" s="92"/>
      <c r="E45" s="92"/>
      <c r="F45" s="101"/>
    </row>
    <row r="46" spans="1:14">
      <c r="B46" s="92"/>
      <c r="C46" s="92"/>
      <c r="D46" s="92"/>
      <c r="E46" s="92"/>
      <c r="F46" s="101"/>
    </row>
    <row r="47" spans="1:14">
      <c r="B47" s="92"/>
      <c r="C47" s="92"/>
      <c r="D47" s="92"/>
      <c r="E47" s="92"/>
      <c r="F47" s="101"/>
    </row>
    <row r="48" spans="1:14">
      <c r="B48" s="92"/>
      <c r="C48" s="92"/>
      <c r="D48" s="92"/>
      <c r="E48" s="92"/>
      <c r="F48" s="101"/>
    </row>
    <row r="49" spans="1:6">
      <c r="B49" s="92"/>
      <c r="C49" s="92"/>
      <c r="D49" s="92"/>
      <c r="E49" s="92"/>
      <c r="F49" s="101"/>
    </row>
    <row r="50" spans="1:6">
      <c r="B50" s="92"/>
      <c r="C50" s="92"/>
      <c r="D50" s="92"/>
      <c r="E50" s="92"/>
      <c r="F50" s="101"/>
    </row>
    <row r="51" spans="1:6">
      <c r="B51" s="92"/>
      <c r="C51" s="92"/>
      <c r="D51" s="92"/>
      <c r="E51" s="92"/>
      <c r="F51" s="101"/>
    </row>
    <row r="52" spans="1:6">
      <c r="B52" s="92"/>
      <c r="C52" s="92"/>
      <c r="D52" s="92"/>
      <c r="E52" s="92"/>
      <c r="F52" s="101"/>
    </row>
    <row r="53" spans="1:6">
      <c r="B53" s="92"/>
      <c r="C53" s="92"/>
      <c r="D53" s="92"/>
      <c r="E53" s="92"/>
      <c r="F53" s="101"/>
    </row>
    <row r="54" spans="1:6">
      <c r="B54" s="92"/>
      <c r="C54" s="92"/>
      <c r="D54" s="92"/>
      <c r="E54" s="92"/>
      <c r="F54" s="101"/>
    </row>
    <row r="55" spans="1:6">
      <c r="B55" s="92"/>
      <c r="C55" s="92"/>
      <c r="D55" s="92"/>
      <c r="E55" s="92"/>
      <c r="F55" s="101"/>
    </row>
    <row r="56" spans="1:6">
      <c r="A56" s="93"/>
      <c r="B56" s="92"/>
      <c r="C56" s="92"/>
      <c r="D56" s="92"/>
      <c r="E56" s="92"/>
      <c r="F56" s="101"/>
    </row>
  </sheetData>
  <mergeCells count="1">
    <mergeCell ref="A1:F1"/>
  </mergeCells>
  <phoneticPr fontId="7" type="noConversion"/>
  <pageMargins left="0.6692913385826772" right="0.55118110236220474" top="0.98425196850393704" bottom="0.75" header="0.51181102362204722" footer="0.47244094488188981"/>
  <pageSetup paperSize="9" scale="92" orientation="portrait" horizontalDpi="300" verticalDpi="300"/>
  <headerFooter alignWithMargins="0">
    <oddHeader>&amp;LFachgruppe für kantonale Finanzfragen (FkF)
Groupe d'étude pour les finances cantonales&amp;RZürich, 12.9.2013</oddHeader>
    <oddFooter>&amp;LQuelle/Source: FkF Sept. 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59</vt:i4>
      </vt:variant>
    </vt:vector>
  </HeadingPairs>
  <TitlesOfParts>
    <vt:vector size="104" baseType="lpstr">
      <vt:lpstr>ZH HRM2</vt:lpstr>
      <vt:lpstr>BE HRM1</vt:lpstr>
      <vt:lpstr>LU HRM1</vt:lpstr>
      <vt:lpstr>LU HRM2</vt:lpstr>
      <vt:lpstr>UR HRM1</vt:lpstr>
      <vt:lpstr>UR HRM2</vt:lpstr>
      <vt:lpstr>SZ HRM1</vt:lpstr>
      <vt:lpstr>OW HRM1</vt:lpstr>
      <vt:lpstr>OW HRM2</vt:lpstr>
      <vt:lpstr>NW HRM2</vt:lpstr>
      <vt:lpstr>GL HRM2</vt:lpstr>
      <vt:lpstr>ZG HRM1</vt:lpstr>
      <vt:lpstr>ZG HRM2</vt:lpstr>
      <vt:lpstr>FR MCH2</vt:lpstr>
      <vt:lpstr>SO HRM1</vt:lpstr>
      <vt:lpstr>SO HRM2</vt:lpstr>
      <vt:lpstr>BS HRM1</vt:lpstr>
      <vt:lpstr>BS HRM2</vt:lpstr>
      <vt:lpstr>BL HRM2</vt:lpstr>
      <vt:lpstr>SH HRM1</vt:lpstr>
      <vt:lpstr>AR HRM1</vt:lpstr>
      <vt:lpstr>AR HRM2</vt:lpstr>
      <vt:lpstr>AI HRM1</vt:lpstr>
      <vt:lpstr>SG HRM1</vt:lpstr>
      <vt:lpstr>GR HRM1</vt:lpstr>
      <vt:lpstr>GR HRM2</vt:lpstr>
      <vt:lpstr>AG HRM1</vt:lpstr>
      <vt:lpstr>TG HRM1</vt:lpstr>
      <vt:lpstr>TG HRM2</vt:lpstr>
      <vt:lpstr>TI HRM1</vt:lpstr>
      <vt:lpstr>VD MCH1</vt:lpstr>
      <vt:lpstr>VS MCH1</vt:lpstr>
      <vt:lpstr>NE MCH1</vt:lpstr>
      <vt:lpstr>GE IPSAS</vt:lpstr>
      <vt:lpstr>JU MCH1</vt:lpstr>
      <vt:lpstr>JU MCH2</vt:lpstr>
      <vt:lpstr>CHF</vt:lpstr>
      <vt:lpstr>CHD</vt:lpstr>
      <vt:lpstr>Ergebnisse Rechnung 2011</vt:lpstr>
      <vt:lpstr>Ergebnisse Budgets 2012</vt:lpstr>
      <vt:lpstr>Ergebnisse Rechnung 2012</vt:lpstr>
      <vt:lpstr>Budget 2013</vt:lpstr>
      <vt:lpstr>Übersicht Saldo L. R. </vt:lpstr>
      <vt:lpstr>Finanzierungsfehlbetrag</vt:lpstr>
      <vt:lpstr>Selbstfinanzierungsgrad</vt:lpstr>
      <vt:lpstr>'Ergebnisse Budgets 2012'!Abschluss_d</vt:lpstr>
      <vt:lpstr>'Ergebnisse Rechnung 2012'!Abschluss_d</vt:lpstr>
      <vt:lpstr>Finanzierungsfehlbetrag!Abschluss_d</vt:lpstr>
      <vt:lpstr>Selbstfinanzierungsgrad!Abschluss_d</vt:lpstr>
      <vt:lpstr>'Übersicht Saldo L. R. '!Abschluss_d</vt:lpstr>
      <vt:lpstr>Abschluss_d</vt:lpstr>
      <vt:lpstr>Finanzierungsfehlbetrag!Abschluss_f</vt:lpstr>
      <vt:lpstr>Selbstfinanzierungsgrad!Abschluss_f</vt:lpstr>
      <vt:lpstr>'Übersicht Saldo L. R. '!Abschluss_f</vt:lpstr>
      <vt:lpstr>find</vt:lpstr>
      <vt:lpstr>LRd</vt:lpstr>
      <vt:lpstr>od</vt:lpstr>
      <vt:lpstr>'AR HRM2'!Print_Area</vt:lpstr>
      <vt:lpstr>'BL HRM2'!Print_Area</vt:lpstr>
      <vt:lpstr>'BS HRM2'!Print_Area</vt:lpstr>
      <vt:lpstr>CHD!Print_Area</vt:lpstr>
      <vt:lpstr>CHF!Print_Area</vt:lpstr>
      <vt:lpstr>'Ergebnisse Budgets 2012'!Print_Area</vt:lpstr>
      <vt:lpstr>'Ergebnisse Rechnung 2011'!Print_Area</vt:lpstr>
      <vt:lpstr>'Ergebnisse Rechnung 2012'!Print_Area</vt:lpstr>
      <vt:lpstr>Finanzierungsfehlbetrag!Print_Area</vt:lpstr>
      <vt:lpstr>'FR MCH2'!Print_Area</vt:lpstr>
      <vt:lpstr>'GL HRM2'!Print_Area</vt:lpstr>
      <vt:lpstr>'GR HRM2'!Print_Area</vt:lpstr>
      <vt:lpstr>'JU MCH2'!Print_Area</vt:lpstr>
      <vt:lpstr>'LU HRM2'!Print_Area</vt:lpstr>
      <vt:lpstr>'NW HRM2'!Print_Area</vt:lpstr>
      <vt:lpstr>'OW HRM2'!Print_Area</vt:lpstr>
      <vt:lpstr>Selbstfinanzierungsgrad!Print_Area</vt:lpstr>
      <vt:lpstr>'SO HRM2'!Print_Area</vt:lpstr>
      <vt:lpstr>'TG HRM2'!Print_Area</vt:lpstr>
      <vt:lpstr>'Übersicht Saldo L. R. '!Print_Area</vt:lpstr>
      <vt:lpstr>'UR HRM2'!Print_Area</vt:lpstr>
      <vt:lpstr>'ZG HRM2'!Print_Area</vt:lpstr>
      <vt:lpstr>'ZH HRM2'!Print_Area</vt:lpstr>
      <vt:lpstr>'AR HRM2'!Print_Titles</vt:lpstr>
      <vt:lpstr>'BL HRM2'!Print_Titles</vt:lpstr>
      <vt:lpstr>'BS HRM2'!Print_Titles</vt:lpstr>
      <vt:lpstr>'FR MCH2'!Print_Titles</vt:lpstr>
      <vt:lpstr>'GL HRM2'!Print_Titles</vt:lpstr>
      <vt:lpstr>'GR HRM2'!Print_Titles</vt:lpstr>
      <vt:lpstr>'JU MCH2'!Print_Titles</vt:lpstr>
      <vt:lpstr>'LU HRM2'!Print_Titles</vt:lpstr>
      <vt:lpstr>'NW HRM2'!Print_Titles</vt:lpstr>
      <vt:lpstr>'OW HRM2'!Print_Titles</vt:lpstr>
      <vt:lpstr>'SO HRM2'!Print_Titles</vt:lpstr>
      <vt:lpstr>'TG HRM2'!Print_Titles</vt:lpstr>
      <vt:lpstr>'UR HRM2'!Print_Titles</vt:lpstr>
      <vt:lpstr>'ZG HRM2'!Print_Titles</vt:lpstr>
      <vt:lpstr>'ZH HRM2'!Print_Titles</vt:lpstr>
      <vt:lpstr>qd</vt:lpstr>
      <vt:lpstr>sd</vt:lpstr>
      <vt:lpstr>'Ergebnisse Budgets 2012'!SF_GradR</vt:lpstr>
      <vt:lpstr>'Ergebnisse Rechnung 2011'!SF_GradR</vt:lpstr>
      <vt:lpstr>'Ergebnisse Rechnung 2012'!SF_GradR</vt:lpstr>
      <vt:lpstr>Finanzierungsfehlbetrag!SF_GradR</vt:lpstr>
      <vt:lpstr>Selbstfinanzierungsgrad!SF_GradR</vt:lpstr>
      <vt:lpstr>'Übersicht Saldo L. R. '!SF_GradR</vt:lpstr>
      <vt:lpstr>SFd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Finanzverwaltung</dc:creator>
  <cp:lastModifiedBy>Grau, MarcChristopher</cp:lastModifiedBy>
  <cp:lastPrinted>2013-09-12T16:26:39Z</cp:lastPrinted>
  <dcterms:created xsi:type="dcterms:W3CDTF">1998-11-13T16:50:35Z</dcterms:created>
  <dcterms:modified xsi:type="dcterms:W3CDTF">2024-01-25T14:32:05Z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1348697941</vt:i4>
  </property>
  <property fmtid="{D5CDD505-2E9C-101B-9397-08002B2CF9AE}" pid="3" name="_EmailSubject">
    <vt:lpwstr>Dat</vt:lpwstr>
  </property>
  <property fmtid="{D5CDD505-2E9C-101B-9397-08002B2CF9AE}" pid="4" name="_AuthorEmail">
    <vt:lpwstr>m.meyer-kocherhans@bluewin.ch</vt:lpwstr>
  </property>
  <property fmtid="{D5CDD505-2E9C-101B-9397-08002B2CF9AE}" pid="5" name="_AuthorEmailDisplayName">
    <vt:lpwstr>Margrith Meyer</vt:lpwstr>
  </property>
  <property fmtid="{D5CDD505-2E9C-101B-9397-08002B2CF9AE}" pid="6" name="_PreviousAdHocReviewCycleID">
    <vt:i4>-2060120505</vt:i4>
  </property>
  <property fmtid="{D5CDD505-2E9C-101B-9397-08002B2CF9AE}" pid="7" name="_ReviewingToolsShownOnce">
    <vt:lpwstr/>
  </property>
</Properties>
</file>